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DieseArbeitsmappe" defaultThemeVersion="124226"/>
  <bookViews>
    <workbookView xWindow="0" yWindow="75" windowWidth="14940" windowHeight="12795"/>
  </bookViews>
  <sheets>
    <sheet name="Entwicklung Steuern" sheetId="22" r:id="rId1"/>
    <sheet name="Sacharten" sheetId="12" r:id="rId2"/>
    <sheet name="Personalplanung 2013-2016" sheetId="25" r:id="rId3"/>
    <sheet name="Kennzahlen 1" sheetId="14" r:id="rId4"/>
    <sheet name="Kennzahlen 2" sheetId="15" r:id="rId5"/>
    <sheet name="Aufgabenliste" sheetId="20" r:id="rId6"/>
    <sheet name="Zusammenstellung nach PG" sheetId="19" r:id="rId7"/>
    <sheet name="Bericht nach PG" sheetId="29" r:id="rId8"/>
    <sheet name="Nettoaufwand" sheetId="30" r:id="rId9"/>
    <sheet name="Tiefbau" sheetId="31" r:id="rId10"/>
    <sheet name="Grünanlagen - Grünplanung" sheetId="32" r:id="rId11"/>
    <sheet name="Fahrzeuge-Maschinen-Mobilien" sheetId="33" r:id="rId12"/>
    <sheet name="Informatik" sheetId="34" r:id="rId13"/>
    <sheet name="Übrige Investitionen" sheetId="35" r:id="rId14"/>
    <sheet name="Sonderrechnungen" sheetId="36" r:id="rId15"/>
    <sheet name="LiöI" sheetId="37" r:id="rId16"/>
  </sheets>
  <definedNames>
    <definedName name="_DAT1" localSheetId="11">'Fahrzeuge-Maschinen-Mobilien'!$A$2:$A$29</definedName>
    <definedName name="_DAT1" localSheetId="10">'Grünanlagen - Grünplanung'!$A$6:$A$26</definedName>
    <definedName name="_DAT1" localSheetId="12">Informatik!$A$2:$A$20</definedName>
    <definedName name="_DAT1" localSheetId="15">LiöI!$A$2:$A$4</definedName>
    <definedName name="_DAT1" localSheetId="8">Nettoaufwand!$A$4:$A$12</definedName>
    <definedName name="_DAT1" localSheetId="14">Sonderrechnungen!$A$2:$A$23</definedName>
    <definedName name="_DAT1" localSheetId="13">'Übrige Investitionen'!$A$6:$A$17</definedName>
    <definedName name="_DAT1">Tiefbau!$A$2:$A$147</definedName>
    <definedName name="_DAT10" localSheetId="11">'Fahrzeuge-Maschinen-Mobilien'!$I$2:$I$29</definedName>
    <definedName name="_DAT10" localSheetId="10">'Grünanlagen - Grünplanung'!$I$6:$I$26</definedName>
    <definedName name="_DAT10" localSheetId="12">Informatik!$I$2:$I$20</definedName>
    <definedName name="_DAT10" localSheetId="15">LiöI!$I$2:$I$4</definedName>
    <definedName name="_DAT10" localSheetId="8">Nettoaufwand!$E$4:$E$12</definedName>
    <definedName name="_DAT10" localSheetId="14">Sonderrechnungen!$I$2:$I$23</definedName>
    <definedName name="_DAT10" localSheetId="13">'Übrige Investitionen'!$I$6:$I$17</definedName>
    <definedName name="_DAT10">Tiefbau!$I$2:$I$147</definedName>
    <definedName name="_DAT11" localSheetId="11">'Fahrzeuge-Maschinen-Mobilien'!$J$2:$J$29</definedName>
    <definedName name="_DAT11" localSheetId="10">'Grünanlagen - Grünplanung'!$J$6:$J$26</definedName>
    <definedName name="_DAT11" localSheetId="12">Informatik!$J$2:$J$20</definedName>
    <definedName name="_DAT11" localSheetId="15">LiöI!$J$2:$J$4</definedName>
    <definedName name="_DAT11" localSheetId="8">Nettoaufwand!$F$4:$F$12</definedName>
    <definedName name="_DAT11" localSheetId="14">Sonderrechnungen!$J$2:$J$23</definedName>
    <definedName name="_DAT11" localSheetId="13">'Übrige Investitionen'!$J$6:$J$17</definedName>
    <definedName name="_DAT11">Tiefbau!$J$2:$J$147</definedName>
    <definedName name="_DAT12" localSheetId="11">'Fahrzeuge-Maschinen-Mobilien'!$K$2:$K$29</definedName>
    <definedName name="_DAT12" localSheetId="10">'Grünanlagen - Grünplanung'!$K$6:$K$26</definedName>
    <definedName name="_DAT12" localSheetId="12">Informatik!$K$2:$K$20</definedName>
    <definedName name="_DAT12" localSheetId="15">LiöI!$K$2:$K$4</definedName>
    <definedName name="_DAT12" localSheetId="8">Nettoaufwand!$H$4:$H$12</definedName>
    <definedName name="_DAT12" localSheetId="14">Sonderrechnungen!$K$2:$K$23</definedName>
    <definedName name="_DAT12" localSheetId="13">'Übrige Investitionen'!$K$6:$K$17</definedName>
    <definedName name="_DAT12">Tiefbau!$K$2:$K$147</definedName>
    <definedName name="_DAT13" localSheetId="11">'Fahrzeuge-Maschinen-Mobilien'!$L$2:$L$29</definedName>
    <definedName name="_DAT13" localSheetId="10">'Grünanlagen - Grünplanung'!$L$6:$L$26</definedName>
    <definedName name="_DAT13" localSheetId="12">Informatik!$L$2:$L$20</definedName>
    <definedName name="_DAT13" localSheetId="15">LiöI!$L$2:$L$4</definedName>
    <definedName name="_DAT13" localSheetId="8">Nettoaufwand!$I$4:$I$12</definedName>
    <definedName name="_DAT13" localSheetId="14">Sonderrechnungen!$L$2:$L$23</definedName>
    <definedName name="_DAT13" localSheetId="13">'Übrige Investitionen'!$L$6:$L$17</definedName>
    <definedName name="_DAT13">Tiefbau!$L$2:$L$147</definedName>
    <definedName name="_DAT14" localSheetId="11">'Fahrzeuge-Maschinen-Mobilien'!$M$2:$M$29</definedName>
    <definedName name="_DAT14" localSheetId="10">'Grünanlagen - Grünplanung'!$M$6:$M$26</definedName>
    <definedName name="_DAT14" localSheetId="12">Informatik!$M$2:$M$20</definedName>
    <definedName name="_DAT14" localSheetId="15">LiöI!$M$2:$M$4</definedName>
    <definedName name="_DAT14" localSheetId="8">Nettoaufwand!$J$4:$J$12</definedName>
    <definedName name="_DAT14" localSheetId="14">Sonderrechnungen!$M$2:$M$23</definedName>
    <definedName name="_DAT14" localSheetId="13">'Übrige Investitionen'!$M$6:$M$17</definedName>
    <definedName name="_DAT14">Tiefbau!$M$2:$M$147</definedName>
    <definedName name="_DAT15" localSheetId="11">'Fahrzeuge-Maschinen-Mobilien'!#REF!</definedName>
    <definedName name="_DAT15" localSheetId="10">'Grünanlagen - Grünplanung'!#REF!</definedName>
    <definedName name="_DAT15" localSheetId="12">Informatik!#REF!</definedName>
    <definedName name="_DAT15" localSheetId="15">LiöI!#REF!</definedName>
    <definedName name="_DAT15" localSheetId="8">Nettoaufwand!#REF!</definedName>
    <definedName name="_DAT15" localSheetId="14">Sonderrechnungen!#REF!</definedName>
    <definedName name="_DAT15" localSheetId="13">'Übrige Investitionen'!#REF!</definedName>
    <definedName name="_DAT15">Tiefbau!#REF!</definedName>
    <definedName name="_DAT16" localSheetId="11">'Fahrzeuge-Maschinen-Mobilien'!#REF!</definedName>
    <definedName name="_DAT16" localSheetId="10">'Grünanlagen - Grünplanung'!#REF!</definedName>
    <definedName name="_DAT16" localSheetId="12">Informatik!#REF!</definedName>
    <definedName name="_DAT16" localSheetId="15">LiöI!#REF!</definedName>
    <definedName name="_DAT16" localSheetId="8">Nettoaufwand!#REF!</definedName>
    <definedName name="_DAT16" localSheetId="14">Sonderrechnungen!#REF!</definedName>
    <definedName name="_DAT16" localSheetId="13">'Übrige Investitionen'!#REF!</definedName>
    <definedName name="_DAT16">Tiefbau!#REF!</definedName>
    <definedName name="_DAT17" localSheetId="11">'Fahrzeuge-Maschinen-Mobilien'!#REF!</definedName>
    <definedName name="_DAT17" localSheetId="10">'Grünanlagen - Grünplanung'!#REF!</definedName>
    <definedName name="_DAT17" localSheetId="12">Informatik!#REF!</definedName>
    <definedName name="_DAT17" localSheetId="15">LiöI!#REF!</definedName>
    <definedName name="_DAT17" localSheetId="8">Nettoaufwand!#REF!</definedName>
    <definedName name="_DAT17" localSheetId="14">Sonderrechnungen!#REF!</definedName>
    <definedName name="_DAT17" localSheetId="13">'Übrige Investitionen'!#REF!</definedName>
    <definedName name="_DAT17">Tiefbau!#REF!</definedName>
    <definedName name="_DAT18" localSheetId="11">'Fahrzeuge-Maschinen-Mobilien'!#REF!</definedName>
    <definedName name="_DAT18" localSheetId="10">'Grünanlagen - Grünplanung'!#REF!</definedName>
    <definedName name="_DAT18" localSheetId="12">Informatik!#REF!</definedName>
    <definedName name="_DAT18" localSheetId="15">LiöI!#REF!</definedName>
    <definedName name="_DAT18" localSheetId="8">Nettoaufwand!#REF!</definedName>
    <definedName name="_DAT18" localSheetId="14">Sonderrechnungen!#REF!</definedName>
    <definedName name="_DAT18" localSheetId="13">'Übrige Investitionen'!#REF!</definedName>
    <definedName name="_DAT18">Tiefbau!#REF!</definedName>
    <definedName name="_DAT2" localSheetId="11">'Fahrzeuge-Maschinen-Mobilien'!$B$2:$B$29</definedName>
    <definedName name="_DAT2" localSheetId="10">'Grünanlagen - Grünplanung'!$B$6:$B$26</definedName>
    <definedName name="_DAT2" localSheetId="12">Informatik!$B$2:$B$20</definedName>
    <definedName name="_DAT2" localSheetId="15">LiöI!$B$2:$B$4</definedName>
    <definedName name="_DAT2" localSheetId="8">Nettoaufwand!$B$4:$B$12</definedName>
    <definedName name="_DAT2" localSheetId="14">Sonderrechnungen!$B$2:$B$23</definedName>
    <definedName name="_DAT2" localSheetId="13">'Übrige Investitionen'!$B$6:$B$17</definedName>
    <definedName name="_DAT2">Tiefbau!$B$2:$B$147</definedName>
    <definedName name="_DAT3" localSheetId="11">'Fahrzeuge-Maschinen-Mobilien'!#REF!</definedName>
    <definedName name="_DAT3" localSheetId="10">'Grünanlagen - Grünplanung'!#REF!</definedName>
    <definedName name="_DAT3" localSheetId="12">Informatik!#REF!</definedName>
    <definedName name="_DAT3" localSheetId="15">LiöI!#REF!</definedName>
    <definedName name="_DAT3" localSheetId="8">Nettoaufwand!#REF!</definedName>
    <definedName name="_DAT3" localSheetId="14">Sonderrechnungen!#REF!</definedName>
    <definedName name="_DAT3" localSheetId="13">'Übrige Investitionen'!#REF!</definedName>
    <definedName name="_DAT3">Tiefbau!#REF!</definedName>
    <definedName name="_DAT4" localSheetId="11">'Fahrzeuge-Maschinen-Mobilien'!$C$2:$C$29</definedName>
    <definedName name="_DAT4" localSheetId="10">'Grünanlagen - Grünplanung'!$C$6:$C$26</definedName>
    <definedName name="_DAT4" localSheetId="12">Informatik!$C$2:$C$20</definedName>
    <definedName name="_DAT4" localSheetId="15">LiöI!$C$2:$C$4</definedName>
    <definedName name="_DAT4" localSheetId="8">Nettoaufwand!$C$4:$C$12</definedName>
    <definedName name="_DAT4" localSheetId="14">Sonderrechnungen!$C$2:$C$23</definedName>
    <definedName name="_DAT4" localSheetId="13">'Übrige Investitionen'!$C$6:$C$17</definedName>
    <definedName name="_DAT4">Tiefbau!$C$2:$C$147</definedName>
    <definedName name="_DAT5" localSheetId="11">'Fahrzeuge-Maschinen-Mobilien'!$D$2:$D$29</definedName>
    <definedName name="_DAT5" localSheetId="10">'Grünanlagen - Grünplanung'!$D$6:$D$26</definedName>
    <definedName name="_DAT5" localSheetId="12">Informatik!$D$2:$D$20</definedName>
    <definedName name="_DAT5" localSheetId="15">LiöI!$D$2:$D$4</definedName>
    <definedName name="_DAT5" localSheetId="8">Nettoaufwand!#REF!</definedName>
    <definedName name="_DAT5" localSheetId="14">Sonderrechnungen!$D$2:$D$23</definedName>
    <definedName name="_DAT5" localSheetId="13">'Übrige Investitionen'!$D$6:$D$17</definedName>
    <definedName name="_DAT5">Tiefbau!$D$2:$D$147</definedName>
    <definedName name="_DAT6" localSheetId="11">'Fahrzeuge-Maschinen-Mobilien'!$E$2:$E$29</definedName>
    <definedName name="_DAT6" localSheetId="10">'Grünanlagen - Grünplanung'!$E$6:$E$26</definedName>
    <definedName name="_DAT6" localSheetId="12">Informatik!$E$2:$E$20</definedName>
    <definedName name="_DAT6" localSheetId="15">LiöI!$E$2:$E$4</definedName>
    <definedName name="_DAT6" localSheetId="8">Nettoaufwand!#REF!</definedName>
    <definedName name="_DAT6" localSheetId="14">Sonderrechnungen!$E$2:$E$23</definedName>
    <definedName name="_DAT6" localSheetId="13">'Übrige Investitionen'!$E$6:$E$17</definedName>
    <definedName name="_DAT6">Tiefbau!$E$2:$E$147</definedName>
    <definedName name="_DAT7" localSheetId="11">'Fahrzeuge-Maschinen-Mobilien'!$F$2:$F$29</definedName>
    <definedName name="_DAT7" localSheetId="10">'Grünanlagen - Grünplanung'!$F$6:$F$26</definedName>
    <definedName name="_DAT7" localSheetId="12">Informatik!$F$2:$F$20</definedName>
    <definedName name="_DAT7" localSheetId="15">LiöI!$F$2:$F$4</definedName>
    <definedName name="_DAT7" localSheetId="8">Nettoaufwand!#REF!</definedName>
    <definedName name="_DAT7" localSheetId="14">Sonderrechnungen!$F$2:$F$23</definedName>
    <definedName name="_DAT7" localSheetId="13">'Übrige Investitionen'!$F$6:$F$17</definedName>
    <definedName name="_DAT7">Tiefbau!$F$2:$F$147</definedName>
    <definedName name="_DAT8" localSheetId="11">'Fahrzeuge-Maschinen-Mobilien'!$G$2:$G$29</definedName>
    <definedName name="_DAT8" localSheetId="10">'Grünanlagen - Grünplanung'!$G$6:$G$26</definedName>
    <definedName name="_DAT8" localSheetId="12">Informatik!$G$2:$G$20</definedName>
    <definedName name="_DAT8" localSheetId="15">LiöI!$G$2:$G$4</definedName>
    <definedName name="_DAT8" localSheetId="8">Nettoaufwand!#REF!</definedName>
    <definedName name="_DAT8" localSheetId="14">Sonderrechnungen!$G$2:$G$23</definedName>
    <definedName name="_DAT8" localSheetId="13">'Übrige Investitionen'!$G$6:$G$17</definedName>
    <definedName name="_DAT8">Tiefbau!$G$2:$G$147</definedName>
    <definedName name="_DAT9" localSheetId="11">'Fahrzeuge-Maschinen-Mobilien'!$H$2:$H$29</definedName>
    <definedName name="_DAT9" localSheetId="10">'Grünanlagen - Grünplanung'!$H$6:$H$26</definedName>
    <definedName name="_DAT9" localSheetId="12">Informatik!$H$2:$H$20</definedName>
    <definedName name="_DAT9" localSheetId="15">LiöI!$H$2:$H$4</definedName>
    <definedName name="_DAT9" localSheetId="8">Nettoaufwand!#REF!</definedName>
    <definedName name="_DAT9" localSheetId="14">Sonderrechnungen!$H$2:$H$23</definedName>
    <definedName name="_DAT9" localSheetId="13">'Übrige Investitionen'!$H$6:$H$17</definedName>
    <definedName name="_DAT9">Tiefbau!$H$2:$H$147</definedName>
    <definedName name="_xlnm.Print_Area" localSheetId="5">Aufgabenliste!$A$1:$F$142</definedName>
    <definedName name="_xlnm.Print_Area" localSheetId="7">'Bericht nach PG'!$A$1:$H$7511</definedName>
    <definedName name="_xlnm.Print_Area" localSheetId="0">'Entwicklung Steuern'!$A$1:$L$30</definedName>
    <definedName name="_xlnm.Print_Area" localSheetId="3">'Kennzahlen 1'!$A$1:$O$43</definedName>
    <definedName name="_xlnm.Print_Area" localSheetId="4">'Kennzahlen 2'!$A$1:$G$42</definedName>
    <definedName name="_xlnm.Print_Area" localSheetId="2">'Personalplanung 2013-2016'!$A$1:$J$78</definedName>
    <definedName name="_xlnm.Print_Area" localSheetId="1">Sacharten!$A$1:$I$35</definedName>
    <definedName name="_xlnm.Print_Area" localSheetId="6">'Zusammenstellung nach PG'!$A$1:$J$159</definedName>
    <definedName name="_xlnm.Print_Titles" localSheetId="5">Aufgabenliste!$3:$3</definedName>
    <definedName name="_xlnm.Print_Titles" localSheetId="11">'Fahrzeuge-Maschinen-Mobilien'!$1:$1</definedName>
    <definedName name="_xlnm.Print_Titles" localSheetId="10">'Grünanlagen - Grünplanung'!$1:$1</definedName>
    <definedName name="_xlnm.Print_Titles" localSheetId="12">Informatik!$1:$1</definedName>
    <definedName name="_xlnm.Print_Titles" localSheetId="15">LiöI!$1:$1</definedName>
    <definedName name="_xlnm.Print_Titles" localSheetId="8">Nettoaufwand!$1:$1</definedName>
    <definedName name="_xlnm.Print_Titles" localSheetId="14">Sonderrechnungen!$1:$1</definedName>
    <definedName name="_xlnm.Print_Titles" localSheetId="9">Tiefbau!$1:$1</definedName>
    <definedName name="_xlnm.Print_Titles" localSheetId="13">'Übrige Investitionen'!$1:$1</definedName>
    <definedName name="_xlnm.Print_Titles" localSheetId="6">'Zusammenstellung nach PG'!$1:$1</definedName>
    <definedName name="TEST0" localSheetId="11">'Fahrzeuge-Maschinen-Mobilien'!$A$2:$M$29</definedName>
    <definedName name="TEST0" localSheetId="10">'Grünanlagen - Grünplanung'!$A$6:$M$26</definedName>
    <definedName name="TEST0" localSheetId="12">Informatik!$A$2:$M$20</definedName>
    <definedName name="TEST0" localSheetId="15">LiöI!$A$2:$M$4</definedName>
    <definedName name="TEST0" localSheetId="8">Nettoaufwand!$A$4:$J$12</definedName>
    <definedName name="TEST0" localSheetId="14">Sonderrechnungen!$A$2:$M$23</definedName>
    <definedName name="TEST0" localSheetId="13">'Übrige Investitionen'!$A$6:$M$17</definedName>
    <definedName name="TEST0">Tiefbau!$A$2:$M$147</definedName>
    <definedName name="TESTHKEY" localSheetId="11">'Fahrzeuge-Maschinen-Mobilien'!$E$1:$M$1</definedName>
    <definedName name="TESTHKEY" localSheetId="10">'Grünanlagen - Grünplanung'!$E$1:$M$1</definedName>
    <definedName name="TESTHKEY" localSheetId="12">Informatik!$E$1:$M$1</definedName>
    <definedName name="TESTHKEY" localSheetId="15">LiöI!$E$1:$M$1</definedName>
    <definedName name="TESTHKEY" localSheetId="8">Nettoaufwand!$E$1:$J$1</definedName>
    <definedName name="TESTHKEY" localSheetId="14">Sonderrechnungen!$E$1:$M$1</definedName>
    <definedName name="TESTHKEY" localSheetId="13">'Übrige Investitionen'!$E$1:$M$1</definedName>
    <definedName name="TESTHKEY">Tiefbau!$E$1:$M$1</definedName>
    <definedName name="TESTKEYS" localSheetId="11">'Fahrzeuge-Maschinen-Mobilien'!$A$2:$D$29</definedName>
    <definedName name="TESTKEYS" localSheetId="10">'Grünanlagen - Grünplanung'!$A$6:$D$26</definedName>
    <definedName name="TESTKEYS" localSheetId="12">Informatik!$A$2:$D$20</definedName>
    <definedName name="TESTKEYS" localSheetId="15">LiöI!$A$2:$D$4</definedName>
    <definedName name="TESTKEYS" localSheetId="8">Nettoaufwand!$A$4:$C$12</definedName>
    <definedName name="TESTKEYS" localSheetId="14">Sonderrechnungen!$A$2:$D$23</definedName>
    <definedName name="TESTKEYS" localSheetId="13">'Übrige Investitionen'!$A$6:$D$17</definedName>
    <definedName name="TESTKEYS">Tiefbau!$A$2:$D$147</definedName>
    <definedName name="TESTVKEY" localSheetId="11">'Fahrzeuge-Maschinen-Mobilien'!$A$1:$D$1</definedName>
    <definedName name="TESTVKEY" localSheetId="10">'Grünanlagen - Grünplanung'!$A$1:$D$1</definedName>
    <definedName name="TESTVKEY" localSheetId="12">Informatik!$A$1:$D$1</definedName>
    <definedName name="TESTVKEY" localSheetId="15">LiöI!$A$1:$D$1</definedName>
    <definedName name="TESTVKEY" localSheetId="8">Nettoaufwand!$A$1:$C$1</definedName>
    <definedName name="TESTVKEY" localSheetId="14">Sonderrechnungen!$A$1:$D$1</definedName>
    <definedName name="TESTVKEY" localSheetId="13">'Übrige Investitionen'!$A$1:$D$1</definedName>
    <definedName name="TESTVKEY">Tiefbau!$A$1:$D$1</definedName>
  </definedNames>
  <calcPr calcId="145621"/>
</workbook>
</file>

<file path=xl/calcChain.xml><?xml version="1.0" encoding="utf-8"?>
<calcChain xmlns="http://schemas.openxmlformats.org/spreadsheetml/2006/main">
  <c r="M7" i="37" l="1"/>
  <c r="L7" i="37"/>
  <c r="K7" i="37"/>
  <c r="J7" i="37"/>
  <c r="I7" i="37"/>
  <c r="H7" i="37"/>
  <c r="G7" i="37"/>
  <c r="F7" i="37"/>
  <c r="E7" i="37"/>
  <c r="M5" i="37"/>
  <c r="L5" i="37"/>
  <c r="K5" i="37"/>
  <c r="J5" i="37"/>
  <c r="I5" i="37"/>
  <c r="H5" i="37"/>
  <c r="G5" i="37"/>
  <c r="F5" i="37"/>
  <c r="E5" i="37"/>
  <c r="I48" i="36"/>
  <c r="H48" i="36"/>
  <c r="M46" i="36"/>
  <c r="L46" i="36"/>
  <c r="K46" i="36"/>
  <c r="J46" i="36"/>
  <c r="I46" i="36"/>
  <c r="H46" i="36"/>
  <c r="G46" i="36"/>
  <c r="F46" i="36"/>
  <c r="E46" i="36"/>
  <c r="M24" i="36"/>
  <c r="M48" i="36" s="1"/>
  <c r="L24" i="36"/>
  <c r="L48" i="36" s="1"/>
  <c r="K24" i="36"/>
  <c r="K48" i="36" s="1"/>
  <c r="J24" i="36"/>
  <c r="J48" i="36" s="1"/>
  <c r="I24" i="36"/>
  <c r="H24" i="36"/>
  <c r="G24" i="36"/>
  <c r="G48" i="36" s="1"/>
  <c r="F24" i="36"/>
  <c r="F48" i="36" s="1"/>
  <c r="E24" i="36"/>
  <c r="E48" i="36" s="1"/>
  <c r="K20" i="35"/>
  <c r="M18" i="35"/>
  <c r="L18" i="35"/>
  <c r="L20" i="35" s="1"/>
  <c r="K18" i="35"/>
  <c r="J18" i="35"/>
  <c r="I18" i="35"/>
  <c r="H18" i="35"/>
  <c r="G18" i="35"/>
  <c r="F18" i="35"/>
  <c r="E18" i="35"/>
  <c r="M14" i="35"/>
  <c r="M20" i="35" s="1"/>
  <c r="L14" i="35"/>
  <c r="K14" i="35"/>
  <c r="J14" i="35"/>
  <c r="I14" i="35"/>
  <c r="H14" i="35"/>
  <c r="G14" i="35"/>
  <c r="F14" i="35"/>
  <c r="E14" i="35"/>
  <c r="E20" i="35" s="1"/>
  <c r="M11" i="35"/>
  <c r="L11" i="35"/>
  <c r="K11" i="35"/>
  <c r="J11" i="35"/>
  <c r="I11" i="35"/>
  <c r="H11" i="35"/>
  <c r="G11" i="35"/>
  <c r="F11" i="35"/>
  <c r="F20" i="35" s="1"/>
  <c r="E11" i="35"/>
  <c r="M8" i="35"/>
  <c r="L8" i="35"/>
  <c r="K8" i="35"/>
  <c r="J8" i="35"/>
  <c r="I8" i="35"/>
  <c r="H8" i="35"/>
  <c r="G8" i="35"/>
  <c r="G20" i="35" s="1"/>
  <c r="F8" i="35"/>
  <c r="E8" i="35"/>
  <c r="M4" i="35"/>
  <c r="L4" i="35"/>
  <c r="K4" i="35"/>
  <c r="J4" i="35"/>
  <c r="J20" i="35" s="1"/>
  <c r="I4" i="35"/>
  <c r="I20" i="35" s="1"/>
  <c r="H4" i="35"/>
  <c r="H20" i="35" s="1"/>
  <c r="G4" i="35"/>
  <c r="F4" i="35"/>
  <c r="E4" i="35"/>
  <c r="I40" i="34"/>
  <c r="M38" i="34"/>
  <c r="L38" i="34"/>
  <c r="K38" i="34"/>
  <c r="J38" i="34"/>
  <c r="J40" i="34" s="1"/>
  <c r="I38" i="34"/>
  <c r="H38" i="34"/>
  <c r="G38" i="34"/>
  <c r="F38" i="34"/>
  <c r="E38" i="34"/>
  <c r="M26" i="34"/>
  <c r="L26" i="34"/>
  <c r="K26" i="34"/>
  <c r="K40" i="34" s="1"/>
  <c r="J26" i="34"/>
  <c r="I26" i="34"/>
  <c r="H26" i="34"/>
  <c r="G26" i="34"/>
  <c r="F26" i="34"/>
  <c r="E26" i="34"/>
  <c r="M21" i="34"/>
  <c r="L21" i="34"/>
  <c r="L40" i="34" s="1"/>
  <c r="K21" i="34"/>
  <c r="J21" i="34"/>
  <c r="I21" i="34"/>
  <c r="H21" i="34"/>
  <c r="G21" i="34"/>
  <c r="F21" i="34"/>
  <c r="E21" i="34"/>
  <c r="M12" i="34"/>
  <c r="M40" i="34" s="1"/>
  <c r="L12" i="34"/>
  <c r="K12" i="34"/>
  <c r="J12" i="34"/>
  <c r="I12" i="34"/>
  <c r="H12" i="34"/>
  <c r="G12" i="34"/>
  <c r="F12" i="34"/>
  <c r="E12" i="34"/>
  <c r="E40" i="34" s="1"/>
  <c r="M8" i="34"/>
  <c r="L8" i="34"/>
  <c r="K8" i="34"/>
  <c r="J8" i="34"/>
  <c r="I8" i="34"/>
  <c r="H8" i="34"/>
  <c r="G8" i="34"/>
  <c r="F8" i="34"/>
  <c r="E8" i="34"/>
  <c r="M5" i="34"/>
  <c r="L5" i="34"/>
  <c r="K5" i="34"/>
  <c r="J5" i="34"/>
  <c r="I5" i="34"/>
  <c r="H5" i="34"/>
  <c r="H40" i="34" s="1"/>
  <c r="G5" i="34"/>
  <c r="G40" i="34" s="1"/>
  <c r="F5" i="34"/>
  <c r="F40" i="34" s="1"/>
  <c r="E5" i="34"/>
  <c r="H124" i="33"/>
  <c r="M122" i="33"/>
  <c r="L122" i="33"/>
  <c r="K122" i="33"/>
  <c r="J122" i="33"/>
  <c r="I122" i="33"/>
  <c r="I124" i="33" s="1"/>
  <c r="H122" i="33"/>
  <c r="G122" i="33"/>
  <c r="F122" i="33"/>
  <c r="E122" i="33"/>
  <c r="M119" i="33"/>
  <c r="L119" i="33"/>
  <c r="K119" i="33"/>
  <c r="J119" i="33"/>
  <c r="I119" i="33"/>
  <c r="H119" i="33"/>
  <c r="G119" i="33"/>
  <c r="F119" i="33"/>
  <c r="E119" i="33"/>
  <c r="M38" i="33"/>
  <c r="L38" i="33"/>
  <c r="K38" i="33"/>
  <c r="K124" i="33" s="1"/>
  <c r="J38" i="33"/>
  <c r="I38" i="33"/>
  <c r="H38" i="33"/>
  <c r="G38" i="33"/>
  <c r="F38" i="33"/>
  <c r="E38" i="33"/>
  <c r="M30" i="33"/>
  <c r="M124" i="33" s="1"/>
  <c r="L30" i="33"/>
  <c r="L124" i="33" s="1"/>
  <c r="K30" i="33"/>
  <c r="I30" i="33"/>
  <c r="H30" i="33"/>
  <c r="G30" i="33"/>
  <c r="G124" i="33" s="1"/>
  <c r="F30" i="33"/>
  <c r="F124" i="33" s="1"/>
  <c r="E30" i="33"/>
  <c r="E124" i="33" s="1"/>
  <c r="J9" i="33"/>
  <c r="F29" i="32"/>
  <c r="M27" i="32"/>
  <c r="L27" i="32"/>
  <c r="K27" i="32"/>
  <c r="J27" i="32"/>
  <c r="I27" i="32"/>
  <c r="H27" i="32"/>
  <c r="G27" i="32"/>
  <c r="G29" i="32" s="1"/>
  <c r="F27" i="32"/>
  <c r="E27" i="32"/>
  <c r="M4" i="32"/>
  <c r="M29" i="32" s="1"/>
  <c r="L4" i="32"/>
  <c r="L29" i="32" s="1"/>
  <c r="K4" i="32"/>
  <c r="K29" i="32" s="1"/>
  <c r="J4" i="32"/>
  <c r="J29" i="32" s="1"/>
  <c r="I4" i="32"/>
  <c r="I29" i="32" s="1"/>
  <c r="H4" i="32"/>
  <c r="H29" i="32" s="1"/>
  <c r="G4" i="32"/>
  <c r="F4" i="32"/>
  <c r="E4" i="32"/>
  <c r="E29" i="32" s="1"/>
  <c r="I150" i="31"/>
  <c r="M148" i="31"/>
  <c r="L148" i="31"/>
  <c r="K148" i="31"/>
  <c r="K150" i="31" s="1"/>
  <c r="J148" i="31"/>
  <c r="I148" i="31"/>
  <c r="H148" i="31"/>
  <c r="G148" i="31"/>
  <c r="F148" i="31"/>
  <c r="E148" i="31"/>
  <c r="K131" i="31"/>
  <c r="J131" i="31"/>
  <c r="J77" i="31"/>
  <c r="J150" i="31" s="1"/>
  <c r="K75" i="31"/>
  <c r="J75" i="31"/>
  <c r="J58" i="31"/>
  <c r="J56" i="31"/>
  <c r="K32" i="31"/>
  <c r="J32" i="31"/>
  <c r="M22" i="31"/>
  <c r="L22" i="31"/>
  <c r="L150" i="31" s="1"/>
  <c r="K22" i="31"/>
  <c r="J22" i="31"/>
  <c r="I22" i="31"/>
  <c r="H22" i="31"/>
  <c r="G22" i="31"/>
  <c r="F22" i="31"/>
  <c r="E22" i="31"/>
  <c r="M17" i="31"/>
  <c r="M150" i="31" s="1"/>
  <c r="L17" i="31"/>
  <c r="K17" i="31"/>
  <c r="J17" i="31"/>
  <c r="I17" i="31"/>
  <c r="H17" i="31"/>
  <c r="H150" i="31" s="1"/>
  <c r="G17" i="31"/>
  <c r="G150" i="31" s="1"/>
  <c r="F17" i="31"/>
  <c r="F150" i="31" s="1"/>
  <c r="E17" i="31"/>
  <c r="E150" i="31" s="1"/>
  <c r="J30" i="33" l="1"/>
  <c r="J124" i="33" s="1"/>
  <c r="J52" i="25"/>
  <c r="I52" i="25"/>
  <c r="H52" i="25"/>
  <c r="G52" i="25"/>
  <c r="F56" i="20" l="1"/>
  <c r="E56" i="20"/>
  <c r="D56" i="20"/>
  <c r="C56" i="20"/>
  <c r="F58" i="20"/>
  <c r="F57" i="20" s="1"/>
  <c r="E58" i="20"/>
  <c r="E57" i="20" s="1"/>
  <c r="D58" i="20"/>
  <c r="C58" i="20"/>
  <c r="D57" i="20"/>
  <c r="C57" i="20"/>
  <c r="L12" i="22" l="1"/>
  <c r="K12" i="22"/>
  <c r="J12" i="22"/>
  <c r="I12" i="22"/>
  <c r="C136" i="20" l="1"/>
  <c r="F111" i="20"/>
  <c r="E111" i="20"/>
  <c r="D111" i="20"/>
  <c r="C111" i="20"/>
  <c r="F145" i="20" l="1"/>
  <c r="E145" i="20"/>
  <c r="D145" i="20"/>
  <c r="C145" i="20"/>
  <c r="J50" i="25" l="1"/>
  <c r="I50" i="25"/>
  <c r="H50" i="25"/>
  <c r="G50" i="25"/>
  <c r="F50" i="25"/>
  <c r="J48" i="25"/>
  <c r="I48" i="25"/>
  <c r="H48" i="25"/>
  <c r="G48" i="25"/>
  <c r="F48" i="25"/>
  <c r="E11" i="25" l="1"/>
  <c r="E26" i="25"/>
  <c r="E17" i="25"/>
  <c r="E84" i="25"/>
  <c r="E72" i="25"/>
  <c r="E70" i="25"/>
  <c r="E71" i="25"/>
  <c r="E62" i="25"/>
  <c r="E61" i="25"/>
  <c r="E60" i="25"/>
  <c r="E59" i="25"/>
  <c r="E57" i="25"/>
  <c r="E56" i="25"/>
  <c r="E52" i="25"/>
  <c r="E51" i="25"/>
  <c r="E50" i="25"/>
  <c r="E49" i="25"/>
  <c r="E48" i="25"/>
  <c r="E44" i="25"/>
  <c r="E43" i="25"/>
  <c r="E42" i="25"/>
  <c r="E41" i="25"/>
  <c r="E40" i="25"/>
  <c r="E39" i="25"/>
  <c r="F39" i="25"/>
  <c r="E38" i="25"/>
  <c r="E37" i="25"/>
  <c r="E33" i="25"/>
  <c r="E32" i="25"/>
  <c r="E31" i="25"/>
  <c r="E30" i="25"/>
  <c r="E29" i="25"/>
  <c r="E28" i="25"/>
  <c r="E27" i="25"/>
  <c r="E22" i="25"/>
  <c r="E21" i="25"/>
  <c r="E20" i="25"/>
  <c r="E19" i="25"/>
  <c r="E18" i="25"/>
  <c r="E12" i="25"/>
  <c r="E8" i="25"/>
  <c r="J54" i="25"/>
  <c r="J39" i="25" l="1"/>
  <c r="I39" i="25"/>
  <c r="H39" i="25"/>
  <c r="G39" i="25"/>
  <c r="F121" i="20"/>
  <c r="F120" i="20" s="1"/>
  <c r="E121" i="20"/>
  <c r="E120" i="20" s="1"/>
  <c r="D121" i="20"/>
  <c r="D120" i="20" s="1"/>
  <c r="C121" i="20"/>
  <c r="C120" i="20" s="1"/>
  <c r="F141" i="20"/>
  <c r="E141" i="20"/>
  <c r="D141" i="20"/>
  <c r="C141" i="20"/>
  <c r="F44" i="22" l="1"/>
  <c r="F18" i="22"/>
  <c r="F30" i="22" s="1"/>
  <c r="F28" i="22" l="1"/>
  <c r="F37" i="22" s="1"/>
  <c r="F40" i="22" s="1"/>
  <c r="F46" i="22" s="1"/>
  <c r="D104" i="19" l="1"/>
  <c r="C63" i="19"/>
  <c r="G63" i="19"/>
  <c r="F63" i="19"/>
  <c r="E63" i="19"/>
  <c r="D63" i="19"/>
  <c r="G18" i="19"/>
  <c r="F18" i="19"/>
  <c r="E18" i="19"/>
  <c r="D18" i="19"/>
  <c r="F142" i="20" l="1"/>
  <c r="E142" i="20"/>
  <c r="D142" i="20"/>
  <c r="C142" i="20"/>
  <c r="F139" i="20" l="1"/>
  <c r="F138" i="20" s="1"/>
  <c r="E139" i="20"/>
  <c r="E138" i="20" s="1"/>
  <c r="D139" i="20"/>
  <c r="D138" i="20" s="1"/>
  <c r="C139" i="20"/>
  <c r="C138" i="20" s="1"/>
  <c r="F135" i="20"/>
  <c r="F134" i="20" s="1"/>
  <c r="E135" i="20"/>
  <c r="E134" i="20" s="1"/>
  <c r="D135" i="20"/>
  <c r="D134" i="20" s="1"/>
  <c r="C135" i="20"/>
  <c r="C134" i="20" s="1"/>
  <c r="I124" i="19" l="1"/>
  <c r="H124" i="19"/>
  <c r="H122" i="19"/>
  <c r="H117" i="19"/>
  <c r="H76" i="19" l="1"/>
  <c r="I76" i="19"/>
  <c r="H43" i="19" l="1"/>
  <c r="L18" i="22" l="1"/>
  <c r="L30" i="22" s="1"/>
  <c r="K18" i="22"/>
  <c r="K30" i="22" s="1"/>
  <c r="J18" i="22"/>
  <c r="J28" i="22" s="1"/>
  <c r="J51" i="22" s="1"/>
  <c r="I18" i="22"/>
  <c r="I28" i="22" s="1"/>
  <c r="I51" i="22" s="1"/>
  <c r="L28" i="22" l="1"/>
  <c r="L51" i="22" s="1"/>
  <c r="K28" i="22"/>
  <c r="K51" i="22" s="1"/>
  <c r="I30" i="22"/>
  <c r="J30" i="22"/>
  <c r="D22" i="25" l="1"/>
  <c r="D21" i="25"/>
  <c r="D20" i="25"/>
  <c r="D18" i="25"/>
  <c r="D17" i="25"/>
  <c r="D11" i="25"/>
  <c r="D8" i="25"/>
  <c r="I37" i="25" l="1"/>
  <c r="H37" i="25"/>
  <c r="H45" i="25" s="1"/>
  <c r="G37" i="25"/>
  <c r="G45" i="25" s="1"/>
  <c r="F37" i="25"/>
  <c r="J60" i="25"/>
  <c r="J64" i="25" s="1"/>
  <c r="I60" i="25"/>
  <c r="I64" i="25" s="1"/>
  <c r="H60" i="25"/>
  <c r="H64" i="25" s="1"/>
  <c r="G60" i="25"/>
  <c r="D62" i="25"/>
  <c r="E34" i="25"/>
  <c r="F33" i="25"/>
  <c r="F34" i="25" s="1"/>
  <c r="D84" i="25"/>
  <c r="C84" i="25"/>
  <c r="J75" i="25"/>
  <c r="D72" i="25"/>
  <c r="D71" i="25"/>
  <c r="C71" i="25"/>
  <c r="C75" i="25" s="1"/>
  <c r="D70" i="25"/>
  <c r="J68" i="25"/>
  <c r="D68" i="25"/>
  <c r="D78" i="25" s="1"/>
  <c r="D87" i="25" s="1"/>
  <c r="C68" i="25"/>
  <c r="C78" i="25" s="1"/>
  <c r="C87" i="25" s="1"/>
  <c r="D61" i="25"/>
  <c r="G64" i="25"/>
  <c r="F64" i="25"/>
  <c r="E64" i="25"/>
  <c r="D60" i="25"/>
  <c r="C60" i="25"/>
  <c r="C64" i="25"/>
  <c r="D59" i="25"/>
  <c r="D57" i="25"/>
  <c r="D56" i="25"/>
  <c r="I54" i="25"/>
  <c r="I68" i="25"/>
  <c r="H54" i="25"/>
  <c r="H68" i="25" s="1"/>
  <c r="H78" i="25" s="1"/>
  <c r="G54" i="25"/>
  <c r="G68" i="25" s="1"/>
  <c r="F54" i="25"/>
  <c r="F68" i="25" s="1"/>
  <c r="E68" i="25"/>
  <c r="E78" i="25" s="1"/>
  <c r="E87" i="25" s="1"/>
  <c r="J53" i="25"/>
  <c r="D52" i="25"/>
  <c r="D51" i="25"/>
  <c r="D50" i="25"/>
  <c r="D49" i="25"/>
  <c r="C49" i="25"/>
  <c r="C53" i="25" s="1"/>
  <c r="I53" i="25"/>
  <c r="H53" i="25"/>
  <c r="F53" i="25"/>
  <c r="E53" i="25"/>
  <c r="D48" i="25"/>
  <c r="J45" i="25"/>
  <c r="C45" i="25"/>
  <c r="D44" i="25"/>
  <c r="D43" i="25"/>
  <c r="D42" i="25"/>
  <c r="D41" i="25"/>
  <c r="D40" i="25"/>
  <c r="F45" i="25"/>
  <c r="D39" i="25"/>
  <c r="D38" i="25"/>
  <c r="E45" i="25"/>
  <c r="D37" i="25"/>
  <c r="J34" i="25"/>
  <c r="C34" i="25"/>
  <c r="D33" i="25"/>
  <c r="D32" i="25"/>
  <c r="D31" i="25"/>
  <c r="D30" i="25"/>
  <c r="D29" i="25"/>
  <c r="D28" i="25"/>
  <c r="D27" i="25"/>
  <c r="D26" i="25"/>
  <c r="J23" i="25"/>
  <c r="I23" i="25"/>
  <c r="H23" i="25"/>
  <c r="G23" i="25"/>
  <c r="F23" i="25"/>
  <c r="E23" i="25"/>
  <c r="C23" i="25"/>
  <c r="D23" i="25"/>
  <c r="J14" i="25"/>
  <c r="I14" i="25"/>
  <c r="H14" i="25"/>
  <c r="G14" i="25"/>
  <c r="F14" i="25"/>
  <c r="E14" i="25"/>
  <c r="C14" i="25"/>
  <c r="C67" i="25" s="1"/>
  <c r="C77" i="25" s="1"/>
  <c r="D14" i="25"/>
  <c r="I45" i="25"/>
  <c r="F72" i="25"/>
  <c r="G72" i="25" s="1"/>
  <c r="H72" i="25" s="1"/>
  <c r="E75" i="25"/>
  <c r="I78" i="25"/>
  <c r="F75" i="25"/>
  <c r="L44" i="22"/>
  <c r="L33" i="22"/>
  <c r="I72" i="25"/>
  <c r="I75" i="25" s="1"/>
  <c r="H75" i="25"/>
  <c r="G75" i="25"/>
  <c r="G34" i="25"/>
  <c r="I34" i="25"/>
  <c r="H34" i="25"/>
  <c r="L37" i="22"/>
  <c r="L40" i="22" s="1"/>
  <c r="F124" i="20"/>
  <c r="F123" i="20" s="1"/>
  <c r="E124" i="20"/>
  <c r="E123" i="20" s="1"/>
  <c r="D124" i="20"/>
  <c r="D123" i="20" s="1"/>
  <c r="C124" i="20"/>
  <c r="C123" i="20" s="1"/>
  <c r="F110" i="20"/>
  <c r="F109" i="20" s="1"/>
  <c r="E110" i="20"/>
  <c r="E109" i="20" s="1"/>
  <c r="D110" i="20"/>
  <c r="D109" i="20" s="1"/>
  <c r="C110" i="20"/>
  <c r="C109" i="20" s="1"/>
  <c r="F87" i="20"/>
  <c r="E87" i="20"/>
  <c r="D87" i="20"/>
  <c r="C87" i="20"/>
  <c r="F85" i="20"/>
  <c r="E85" i="20"/>
  <c r="D85" i="20"/>
  <c r="C85" i="20"/>
  <c r="F82" i="20"/>
  <c r="F81" i="20" s="1"/>
  <c r="E82" i="20"/>
  <c r="E81" i="20" s="1"/>
  <c r="D82" i="20"/>
  <c r="D81" i="20" s="1"/>
  <c r="C82" i="20"/>
  <c r="C81" i="20" s="1"/>
  <c r="F73" i="20"/>
  <c r="E73" i="20"/>
  <c r="D73" i="20"/>
  <c r="C73" i="20"/>
  <c r="F45" i="20"/>
  <c r="F44" i="20" s="1"/>
  <c r="E45" i="20"/>
  <c r="E44" i="20" s="1"/>
  <c r="D45" i="20"/>
  <c r="D44" i="20" s="1"/>
  <c r="C45" i="20"/>
  <c r="C44" i="20" s="1"/>
  <c r="F42" i="20"/>
  <c r="F41" i="20" s="1"/>
  <c r="E42" i="20"/>
  <c r="E41" i="20" s="1"/>
  <c r="D42" i="20"/>
  <c r="D41" i="20" s="1"/>
  <c r="C42" i="20"/>
  <c r="C41" i="20" s="1"/>
  <c r="F35" i="20"/>
  <c r="F34" i="20" s="1"/>
  <c r="E35" i="20"/>
  <c r="E34" i="20" s="1"/>
  <c r="D35" i="20"/>
  <c r="D34" i="20" s="1"/>
  <c r="C35" i="20"/>
  <c r="C34" i="20" s="1"/>
  <c r="F24" i="20"/>
  <c r="F23" i="20" s="1"/>
  <c r="E24" i="20"/>
  <c r="E23" i="20" s="1"/>
  <c r="D24" i="20"/>
  <c r="D23" i="20" s="1"/>
  <c r="C24" i="20"/>
  <c r="C23" i="20" s="1"/>
  <c r="F19" i="20"/>
  <c r="F18" i="20" s="1"/>
  <c r="E19" i="20"/>
  <c r="E18" i="20" s="1"/>
  <c r="D19" i="20"/>
  <c r="D18" i="20" s="1"/>
  <c r="C19" i="20"/>
  <c r="C18" i="20" s="1"/>
  <c r="F8" i="20"/>
  <c r="F7" i="20" s="1"/>
  <c r="E8" i="20"/>
  <c r="E7" i="20" s="1"/>
  <c r="D8" i="20"/>
  <c r="D7" i="20" s="1"/>
  <c r="C8" i="20"/>
  <c r="C7" i="20" s="1"/>
  <c r="E84" i="19"/>
  <c r="G100" i="19"/>
  <c r="D100" i="19"/>
  <c r="G28" i="19"/>
  <c r="I53" i="19"/>
  <c r="H53" i="19"/>
  <c r="E28" i="19"/>
  <c r="E14" i="19"/>
  <c r="D14" i="19"/>
  <c r="C55" i="19"/>
  <c r="E13" i="20"/>
  <c r="E12" i="20" s="1"/>
  <c r="E16" i="20"/>
  <c r="E15" i="20" s="1"/>
  <c r="E27" i="20"/>
  <c r="E26" i="20" s="1"/>
  <c r="E32" i="20"/>
  <c r="E31" i="20" s="1"/>
  <c r="E39" i="20"/>
  <c r="E38" i="20" s="1"/>
  <c r="E50" i="20"/>
  <c r="E49" i="20" s="1"/>
  <c r="E53" i="20"/>
  <c r="E52" i="20" s="1"/>
  <c r="E61" i="20"/>
  <c r="E69" i="20"/>
  <c r="E75" i="20"/>
  <c r="E90" i="20"/>
  <c r="E93" i="20"/>
  <c r="E116" i="20"/>
  <c r="E115" i="20" s="1"/>
  <c r="E129" i="20"/>
  <c r="E128" i="20" s="1"/>
  <c r="E132" i="20"/>
  <c r="E131" i="20" s="1"/>
  <c r="D13" i="20"/>
  <c r="D12" i="20" s="1"/>
  <c r="D16" i="20"/>
  <c r="D15" i="20" s="1"/>
  <c r="D27" i="20"/>
  <c r="D26" i="20" s="1"/>
  <c r="D32" i="20"/>
  <c r="D31" i="20" s="1"/>
  <c r="D39" i="20"/>
  <c r="D38" i="20" s="1"/>
  <c r="D50" i="20"/>
  <c r="D49" i="20" s="1"/>
  <c r="D53" i="20"/>
  <c r="D52" i="20" s="1"/>
  <c r="D61" i="20"/>
  <c r="D69" i="20"/>
  <c r="D75" i="20"/>
  <c r="D90" i="20"/>
  <c r="D93" i="20"/>
  <c r="D116" i="20"/>
  <c r="D115" i="20" s="1"/>
  <c r="D129" i="20"/>
  <c r="D128" i="20" s="1"/>
  <c r="D132" i="20"/>
  <c r="D131" i="20" s="1"/>
  <c r="C13" i="20"/>
  <c r="C12" i="20" s="1"/>
  <c r="C16" i="20"/>
  <c r="C15" i="20" s="1"/>
  <c r="C27" i="20"/>
  <c r="C26" i="20" s="1"/>
  <c r="C32" i="20"/>
  <c r="C31" i="20" s="1"/>
  <c r="C39" i="20"/>
  <c r="C38" i="20" s="1"/>
  <c r="C50" i="20"/>
  <c r="C49" i="20" s="1"/>
  <c r="C53" i="20"/>
  <c r="C52" i="20" s="1"/>
  <c r="C61" i="20"/>
  <c r="C69" i="20"/>
  <c r="C75" i="20"/>
  <c r="C90" i="20"/>
  <c r="C93" i="20"/>
  <c r="C116" i="20"/>
  <c r="C115" i="20" s="1"/>
  <c r="C129" i="20"/>
  <c r="C128" i="20" s="1"/>
  <c r="C132" i="20"/>
  <c r="C131" i="20" s="1"/>
  <c r="D28" i="19"/>
  <c r="C126" i="19"/>
  <c r="F129" i="20"/>
  <c r="F128" i="20" s="1"/>
  <c r="F132" i="20"/>
  <c r="F131" i="20" s="1"/>
  <c r="F13" i="20"/>
  <c r="F12" i="20" s="1"/>
  <c r="F16" i="20"/>
  <c r="F15" i="20" s="1"/>
  <c r="F27" i="20"/>
  <c r="F26" i="20" s="1"/>
  <c r="D7" i="22"/>
  <c r="D8" i="22"/>
  <c r="D18" i="22"/>
  <c r="G18" i="22"/>
  <c r="C18" i="22"/>
  <c r="E18" i="22"/>
  <c r="E30" i="22" s="1"/>
  <c r="H18" i="22"/>
  <c r="H28" i="22" s="1"/>
  <c r="H37" i="22" s="1"/>
  <c r="H40" i="22" s="1"/>
  <c r="H46" i="22" s="1"/>
  <c r="D24" i="22"/>
  <c r="C28" i="22"/>
  <c r="C37" i="22" s="1"/>
  <c r="E28" i="22"/>
  <c r="C30" i="22"/>
  <c r="H30" i="22"/>
  <c r="E37" i="22"/>
  <c r="G44" i="22"/>
  <c r="H44" i="22"/>
  <c r="I44" i="22"/>
  <c r="J44" i="22"/>
  <c r="K44" i="22"/>
  <c r="F28" i="19"/>
  <c r="C14" i="19"/>
  <c r="C28" i="19"/>
  <c r="C84" i="19"/>
  <c r="C100" i="19"/>
  <c r="G55" i="19"/>
  <c r="H120" i="19"/>
  <c r="F116" i="20"/>
  <c r="F115" i="20" s="1"/>
  <c r="F61" i="20"/>
  <c r="F69" i="20"/>
  <c r="F75" i="20"/>
  <c r="F90" i="20"/>
  <c r="F93" i="20"/>
  <c r="F50" i="20"/>
  <c r="F49" i="20" s="1"/>
  <c r="F53" i="20"/>
  <c r="F52" i="20" s="1"/>
  <c r="F32" i="20"/>
  <c r="F31" i="20" s="1"/>
  <c r="F39" i="20"/>
  <c r="F38" i="20" s="1"/>
  <c r="H3" i="19"/>
  <c r="I3" i="19"/>
  <c r="H4" i="19"/>
  <c r="I4" i="19"/>
  <c r="H5" i="19"/>
  <c r="I5" i="19"/>
  <c r="H7" i="19"/>
  <c r="I7" i="19"/>
  <c r="H8" i="19"/>
  <c r="I8" i="19"/>
  <c r="H9" i="19"/>
  <c r="I9" i="19"/>
  <c r="I10" i="19"/>
  <c r="I11" i="19"/>
  <c r="H12" i="19"/>
  <c r="I12" i="19"/>
  <c r="I13" i="19"/>
  <c r="H16" i="19"/>
  <c r="I16" i="19"/>
  <c r="H17" i="19"/>
  <c r="I17" i="19"/>
  <c r="H18" i="19"/>
  <c r="I18" i="19"/>
  <c r="H19" i="19"/>
  <c r="I19" i="19"/>
  <c r="H20" i="19"/>
  <c r="I20" i="19"/>
  <c r="H21" i="19"/>
  <c r="I21" i="19"/>
  <c r="H22" i="19"/>
  <c r="I22" i="19"/>
  <c r="H23" i="19"/>
  <c r="I23" i="19"/>
  <c r="H24" i="19"/>
  <c r="I24" i="19"/>
  <c r="H25" i="19"/>
  <c r="I25" i="19"/>
  <c r="H26" i="19"/>
  <c r="I26" i="19"/>
  <c r="H34" i="19"/>
  <c r="I34" i="19"/>
  <c r="H35" i="19"/>
  <c r="I35" i="19"/>
  <c r="H36" i="19"/>
  <c r="I36" i="19"/>
  <c r="H37" i="19"/>
  <c r="I37" i="19"/>
  <c r="H38" i="19"/>
  <c r="I38" i="19"/>
  <c r="H39" i="19"/>
  <c r="I39" i="19"/>
  <c r="H40" i="19"/>
  <c r="I40" i="19"/>
  <c r="H41" i="19"/>
  <c r="I41" i="19"/>
  <c r="I42" i="19"/>
  <c r="I43" i="19"/>
  <c r="H44" i="19"/>
  <c r="I44" i="19"/>
  <c r="H45" i="19"/>
  <c r="I45" i="19"/>
  <c r="H46" i="19"/>
  <c r="I46" i="19"/>
  <c r="H47" i="19"/>
  <c r="I47" i="19"/>
  <c r="H48" i="19"/>
  <c r="I48" i="19"/>
  <c r="H49" i="19"/>
  <c r="I49" i="19"/>
  <c r="H50" i="19"/>
  <c r="I50" i="19"/>
  <c r="H51" i="19"/>
  <c r="I51" i="19"/>
  <c r="H52" i="19"/>
  <c r="I52" i="19"/>
  <c r="H57" i="19"/>
  <c r="I57" i="19"/>
  <c r="H58" i="19"/>
  <c r="I58" i="19"/>
  <c r="H59" i="19"/>
  <c r="I59" i="19"/>
  <c r="H60" i="19"/>
  <c r="I60" i="19"/>
  <c r="H61" i="19"/>
  <c r="I61" i="19"/>
  <c r="H62" i="19"/>
  <c r="I62" i="19"/>
  <c r="H63" i="19"/>
  <c r="I63" i="19"/>
  <c r="H64" i="19"/>
  <c r="I64" i="19"/>
  <c r="H65" i="19"/>
  <c r="I65" i="19"/>
  <c r="H66" i="19"/>
  <c r="I66" i="19"/>
  <c r="H67" i="19"/>
  <c r="I67" i="19"/>
  <c r="H68" i="19"/>
  <c r="I68" i="19"/>
  <c r="H69" i="19"/>
  <c r="I69" i="19"/>
  <c r="I70" i="19"/>
  <c r="H71" i="19"/>
  <c r="I71" i="19"/>
  <c r="H72" i="19"/>
  <c r="I72" i="19"/>
  <c r="I73" i="19"/>
  <c r="I74" i="19"/>
  <c r="I75" i="19"/>
  <c r="H78" i="19"/>
  <c r="I78" i="19"/>
  <c r="H79" i="19"/>
  <c r="I79" i="19"/>
  <c r="H80" i="19"/>
  <c r="I80" i="19"/>
  <c r="H81" i="19"/>
  <c r="I81" i="19"/>
  <c r="H82" i="19"/>
  <c r="I82" i="19"/>
  <c r="H83" i="19"/>
  <c r="I83" i="19"/>
  <c r="H86" i="19"/>
  <c r="I86" i="19"/>
  <c r="H87" i="19"/>
  <c r="I87" i="19"/>
  <c r="H88" i="19"/>
  <c r="I88" i="19"/>
  <c r="H89" i="19"/>
  <c r="I89" i="19"/>
  <c r="H90" i="19"/>
  <c r="I90" i="19"/>
  <c r="H91" i="19"/>
  <c r="I91" i="19"/>
  <c r="H92" i="19"/>
  <c r="I92" i="19"/>
  <c r="H93" i="19"/>
  <c r="I93" i="19"/>
  <c r="H94" i="19"/>
  <c r="I94" i="19"/>
  <c r="H96" i="19"/>
  <c r="I96" i="19"/>
  <c r="H97" i="19"/>
  <c r="I97" i="19"/>
  <c r="H99" i="19"/>
  <c r="I99" i="19"/>
  <c r="H102" i="19"/>
  <c r="I102" i="19"/>
  <c r="H103" i="19"/>
  <c r="I103" i="19"/>
  <c r="H104" i="19"/>
  <c r="I104" i="19"/>
  <c r="I105" i="19"/>
  <c r="H106" i="19"/>
  <c r="I106" i="19"/>
  <c r="H107" i="19"/>
  <c r="I107" i="19"/>
  <c r="I108" i="19"/>
  <c r="H109" i="19"/>
  <c r="I109" i="19"/>
  <c r="H110" i="19"/>
  <c r="I110" i="19"/>
  <c r="H111" i="19"/>
  <c r="I111" i="19"/>
  <c r="H112" i="19"/>
  <c r="I112" i="19"/>
  <c r="H113" i="19"/>
  <c r="I113" i="19"/>
  <c r="H114" i="19"/>
  <c r="I114" i="19"/>
  <c r="H115" i="19"/>
  <c r="I115" i="19"/>
  <c r="H116" i="19"/>
  <c r="I116" i="19"/>
  <c r="I117" i="19"/>
  <c r="I118" i="19"/>
  <c r="I119" i="19"/>
  <c r="I120" i="19"/>
  <c r="H121" i="19"/>
  <c r="I121" i="19"/>
  <c r="I122" i="19"/>
  <c r="H123" i="19"/>
  <c r="I123" i="19"/>
  <c r="H125" i="19"/>
  <c r="I125" i="19"/>
  <c r="I37" i="22"/>
  <c r="I40" i="22" s="1"/>
  <c r="I46" i="22" s="1"/>
  <c r="K37" i="22"/>
  <c r="K40" i="22" s="1"/>
  <c r="K46" i="22" s="1"/>
  <c r="H98" i="19"/>
  <c r="I98" i="19"/>
  <c r="G14" i="19"/>
  <c r="H6" i="19"/>
  <c r="I6" i="19"/>
  <c r="D84" i="19"/>
  <c r="G126" i="19"/>
  <c r="H105" i="19"/>
  <c r="J37" i="22"/>
  <c r="J40" i="22" s="1"/>
  <c r="J46" i="22" s="1"/>
  <c r="F55" i="19"/>
  <c r="E55" i="19"/>
  <c r="D55" i="19"/>
  <c r="F84" i="19"/>
  <c r="G28" i="22"/>
  <c r="G37" i="22" s="1"/>
  <c r="G40" i="22" s="1"/>
  <c r="G46" i="22" s="1"/>
  <c r="G30" i="22"/>
  <c r="D28" i="22"/>
  <c r="D37" i="22"/>
  <c r="D30" i="22"/>
  <c r="D64" i="25" l="1"/>
  <c r="D45" i="25"/>
  <c r="D53" i="25"/>
  <c r="D75" i="25"/>
  <c r="D108" i="20"/>
  <c r="C108" i="20"/>
  <c r="E108" i="20"/>
  <c r="F108" i="20"/>
  <c r="E127" i="20"/>
  <c r="C127" i="20"/>
  <c r="F127" i="20"/>
  <c r="E30" i="20"/>
  <c r="D127" i="20"/>
  <c r="F6" i="20"/>
  <c r="C11" i="20"/>
  <c r="E72" i="20"/>
  <c r="D60" i="20"/>
  <c r="F72" i="20"/>
  <c r="E60" i="20"/>
  <c r="C84" i="20"/>
  <c r="D11" i="20"/>
  <c r="F11" i="20"/>
  <c r="F60" i="20"/>
  <c r="E11" i="20"/>
  <c r="C89" i="20"/>
  <c r="D6" i="20"/>
  <c r="C72" i="20"/>
  <c r="D72" i="20"/>
  <c r="C6" i="20"/>
  <c r="C30" i="20"/>
  <c r="E84" i="20"/>
  <c r="C60" i="20"/>
  <c r="D89" i="20"/>
  <c r="D30" i="20"/>
  <c r="E6" i="20"/>
  <c r="D84" i="20"/>
  <c r="F84" i="20"/>
  <c r="E89" i="20"/>
  <c r="F89" i="20"/>
  <c r="F30" i="20"/>
  <c r="H100" i="19"/>
  <c r="G84" i="19"/>
  <c r="F100" i="19"/>
  <c r="I77" i="19"/>
  <c r="F126" i="19"/>
  <c r="I95" i="19"/>
  <c r="H77" i="19"/>
  <c r="H55" i="19"/>
  <c r="C129" i="19"/>
  <c r="C131" i="19" s="1"/>
  <c r="C136" i="19" s="1"/>
  <c r="C81" i="25"/>
  <c r="C85" i="25"/>
  <c r="H14" i="19"/>
  <c r="H28" i="19"/>
  <c r="H126" i="19"/>
  <c r="F14" i="19"/>
  <c r="H67" i="25"/>
  <c r="H77" i="25" s="1"/>
  <c r="H81" i="25" s="1"/>
  <c r="D126" i="19"/>
  <c r="E100" i="19"/>
  <c r="H95" i="19"/>
  <c r="D34" i="25"/>
  <c r="D67" i="25" s="1"/>
  <c r="D77" i="25" s="1"/>
  <c r="D82" i="25" s="1"/>
  <c r="F78" i="25"/>
  <c r="E126" i="19"/>
  <c r="G78" i="25"/>
  <c r="J67" i="25"/>
  <c r="J77" i="25" s="1"/>
  <c r="J81" i="25" s="1"/>
  <c r="G53" i="25"/>
  <c r="G67" i="25" s="1"/>
  <c r="G77" i="25" s="1"/>
  <c r="G81" i="25" s="1"/>
  <c r="J78" i="25"/>
  <c r="E67" i="25"/>
  <c r="E77" i="25" s="1"/>
  <c r="I67" i="25"/>
  <c r="I77" i="25" s="1"/>
  <c r="L46" i="22"/>
  <c r="F67" i="25"/>
  <c r="F77" i="25" s="1"/>
  <c r="F81" i="25" s="1"/>
  <c r="C82" i="25"/>
  <c r="C155" i="19" l="1"/>
  <c r="F4" i="20"/>
  <c r="J5" i="20" s="1"/>
  <c r="E4" i="20"/>
  <c r="I5" i="20" s="1"/>
  <c r="D4" i="20"/>
  <c r="H5" i="20" s="1"/>
  <c r="H84" i="19"/>
  <c r="G129" i="19"/>
  <c r="G131" i="19" s="1"/>
  <c r="G136" i="19" s="1"/>
  <c r="G155" i="19" s="1"/>
  <c r="G82" i="25"/>
  <c r="H82" i="25"/>
  <c r="D129" i="19"/>
  <c r="D131" i="19" s="1"/>
  <c r="D136" i="19" s="1"/>
  <c r="D155" i="19" s="1"/>
  <c r="F82" i="25"/>
  <c r="F129" i="19"/>
  <c r="F131" i="19" s="1"/>
  <c r="F136" i="19" s="1"/>
  <c r="F155" i="19" s="1"/>
  <c r="D81" i="25"/>
  <c r="D85" i="25"/>
  <c r="E129" i="19"/>
  <c r="E131" i="19" s="1"/>
  <c r="E136" i="19" s="1"/>
  <c r="E155" i="19" s="1"/>
  <c r="I81" i="25"/>
  <c r="I82" i="25"/>
  <c r="E85" i="25"/>
  <c r="E81" i="25"/>
  <c r="E82" i="25"/>
  <c r="J82" i="25"/>
  <c r="C4" i="20" l="1"/>
  <c r="G5" i="20" s="1"/>
</calcChain>
</file>

<file path=xl/comments1.xml><?xml version="1.0" encoding="utf-8"?>
<comments xmlns="http://schemas.openxmlformats.org/spreadsheetml/2006/main">
  <authors>
    <author>Carrel Willy, FPI FV</author>
  </authors>
  <commentList>
    <comment ref="F2" authorId="0">
      <text>
        <r>
          <rPr>
            <b/>
            <sz val="9"/>
            <color indexed="81"/>
            <rFont val="Tahoma"/>
            <family val="2"/>
          </rPr>
          <t>Carrel Willy, FPI FV:</t>
        </r>
        <r>
          <rPr>
            <sz val="9"/>
            <color indexed="81"/>
            <rFont val="Tahoma"/>
            <family val="2"/>
          </rPr>
          <t xml:space="preserve">
Nach Vorliegen werden hier die Ist-Daten 2011 eingefügt!</t>
        </r>
      </text>
    </comment>
    <comment ref="G2" authorId="0">
      <text>
        <r>
          <rPr>
            <b/>
            <sz val="9"/>
            <color indexed="81"/>
            <rFont val="Tahoma"/>
            <family val="2"/>
          </rPr>
          <t>Carrel Willy, FPI FV:</t>
        </r>
        <r>
          <rPr>
            <sz val="9"/>
            <color indexed="81"/>
            <rFont val="Tahoma"/>
            <family val="2"/>
          </rPr>
          <t xml:space="preserve">
Nach Vorliegen werden hier die Ist-Daten 2011 eingefügt!</t>
        </r>
      </text>
    </comment>
  </commentList>
</comments>
</file>

<file path=xl/comments2.xml><?xml version="1.0" encoding="utf-8"?>
<comments xmlns="http://schemas.openxmlformats.org/spreadsheetml/2006/main">
  <authors>
    <author>Carrel Willy</author>
  </authors>
  <commentList>
    <comment ref="A126" authorId="0">
      <text>
        <r>
          <rPr>
            <sz val="6"/>
            <color indexed="81"/>
            <rFont val="Tahoma"/>
            <family val="2"/>
          </rPr>
          <t>8-ung: ausgeblendete Zelle "Rundungsdifferenzen" manuell anpassen!</t>
        </r>
      </text>
    </comment>
  </commentList>
</comments>
</file>

<file path=xl/comments3.xml><?xml version="1.0" encoding="utf-8"?>
<comments xmlns="http://schemas.openxmlformats.org/spreadsheetml/2006/main">
  <authors>
    <author>Heitz Ursula, BSS KI</author>
    <author>Mathias Krebs</author>
    <author>BSSKOV</author>
    <author>Hertig René, BSS DFD</author>
  </authors>
  <commentList>
    <comment ref="A3204" authorId="0">
      <text>
        <r>
          <rPr>
            <b/>
            <sz val="9"/>
            <color indexed="81"/>
            <rFont val="Tahoma"/>
            <family val="2"/>
          </rPr>
          <t>Heitz Ursula, BSS KI:</t>
        </r>
        <r>
          <rPr>
            <sz val="9"/>
            <color indexed="81"/>
            <rFont val="Tahoma"/>
            <family val="2"/>
          </rPr>
          <t xml:space="preserve">
keine Veränderung zu 2012-2105</t>
        </r>
      </text>
    </comment>
    <comment ref="D3422" authorId="1">
      <text>
        <r>
          <rPr>
            <b/>
            <sz val="8"/>
            <color indexed="81"/>
            <rFont val="Tahoma"/>
            <family val="2"/>
          </rPr>
          <t>Kurt w:</t>
        </r>
        <r>
          <rPr>
            <sz val="8"/>
            <color indexed="81"/>
            <rFont val="Tahoma"/>
            <family val="2"/>
          </rPr>
          <t xml:space="preserve">
gem tel. mit mkr manuell
auf 50% verändert, da bereits im Budget 2011 berücksichtigt.
</t>
        </r>
      </text>
    </comment>
    <comment ref="E5192" authorId="2">
      <text>
        <r>
          <rPr>
            <b/>
            <sz val="8"/>
            <color indexed="81"/>
            <rFont val="Tahoma"/>
            <family val="2"/>
          </rPr>
          <t>BSSKOV:</t>
        </r>
        <r>
          <rPr>
            <sz val="8"/>
            <color indexed="81"/>
            <rFont val="Tahoma"/>
            <family val="2"/>
          </rPr>
          <t xml:space="preserve">
+ Sportplatz Wander
(nach Absprache mit Markus Gasser)</t>
        </r>
      </text>
    </comment>
    <comment ref="G5192" authorId="3">
      <text>
        <r>
          <rPr>
            <b/>
            <sz val="9"/>
            <color indexed="81"/>
            <rFont val="Tahoma"/>
            <family val="2"/>
          </rPr>
          <t>Hertig René, BSS DFD:</t>
        </r>
        <r>
          <rPr>
            <sz val="9"/>
            <color indexed="81"/>
            <rFont val="Tahoma"/>
            <family val="2"/>
          </rPr>
          <t xml:space="preserve">
3 neue Plätze Allmend, gem.Absprache mit M.Gasser</t>
        </r>
      </text>
    </comment>
    <comment ref="H5192" authorId="3">
      <text>
        <r>
          <rPr>
            <b/>
            <sz val="9"/>
            <color indexed="81"/>
            <rFont val="Tahoma"/>
            <family val="2"/>
          </rPr>
          <t>Hertig René, BSS DFD:</t>
        </r>
        <r>
          <rPr>
            <sz val="9"/>
            <color indexed="81"/>
            <rFont val="Tahoma"/>
            <family val="2"/>
          </rPr>
          <t xml:space="preserve">
3 neue Felder im Bottigenmoos, gem.Absprache mit M.Gasser
</t>
        </r>
      </text>
    </comment>
    <comment ref="F5193" authorId="2">
      <text>
        <r>
          <rPr>
            <b/>
            <sz val="8"/>
            <color indexed="81"/>
            <rFont val="Tahoma"/>
            <family val="2"/>
          </rPr>
          <t>BSSKOV:</t>
        </r>
        <r>
          <rPr>
            <sz val="8"/>
            <color indexed="81"/>
            <rFont val="Tahoma"/>
            <family val="2"/>
          </rPr>
          <t xml:space="preserve">
inkl. 3-Fach Sporthalle Köniz
(nach Absprache mit Markus Gasser)</t>
        </r>
      </text>
    </comment>
  </commentList>
</comments>
</file>

<file path=xl/sharedStrings.xml><?xml version="1.0" encoding="utf-8"?>
<sst xmlns="http://schemas.openxmlformats.org/spreadsheetml/2006/main" count="8766" uniqueCount="2163">
  <si>
    <t>PRD</t>
  </si>
  <si>
    <t>Kompetenzzentrum Jugend und Familie</t>
  </si>
  <si>
    <t>FPI</t>
  </si>
  <si>
    <t>(oder betragsmässig geringfügige Abweichung &lt; 20'000)</t>
  </si>
  <si>
    <t>positive Abweichung (Minderkosten/Mehrertrag &gt; 5%)</t>
  </si>
  <si>
    <t>Abweichung innerhalb von +/- 5%</t>
  </si>
  <si>
    <t>negative Abweichung (Mehrkosten/Minderertrag &gt; 5%)</t>
  </si>
  <si>
    <t>Rundungsdifferenzen</t>
  </si>
  <si>
    <t>Zwischenergebnis</t>
  </si>
  <si>
    <t>PJ 2014</t>
  </si>
  <si>
    <t>Anpassungen ausserhalb Produktegruppen:</t>
  </si>
  <si>
    <t>RG 2009</t>
  </si>
  <si>
    <t>Leistungen für Politik und Verwaltungsführung</t>
  </si>
  <si>
    <t>Fachstelle Beschaffung</t>
  </si>
  <si>
    <t>Einsparungen im Umfang der im Bereich EKS weggefallenen Beiträge (Portfolioanalyse)</t>
  </si>
  <si>
    <t>Kürzung Budgetvorgabe gem. GRB 260 vom
23. Februar 2011</t>
  </si>
  <si>
    <t>Familienergänzende Tagesbetreuung für Kinder</t>
  </si>
  <si>
    <t>Personalbestand per 31. Dezember in Arbeitseinheiten (Anzahl Vollbeschäftigte) - öffentlich rechtlich Anstellungen und</t>
  </si>
  <si>
    <t>Sonderdienstverhältnisse, Lernende separat ausgewiesen, Praktika werden nicht berücksichtigt</t>
  </si>
  <si>
    <t>Direktion / Dienststelle</t>
  </si>
  <si>
    <t>Stadtrat (Ratssekretariat)</t>
  </si>
  <si>
    <t>Ombudsstelle</t>
  </si>
  <si>
    <t>Kommunikation</t>
  </si>
  <si>
    <t>Total GuB - LERNENDE</t>
  </si>
  <si>
    <t>Direktionsstabsdienste</t>
  </si>
  <si>
    <t>Abteilung Stadtentwicklung</t>
  </si>
  <si>
    <t>Bauinspektorat</t>
  </si>
  <si>
    <t>Total PRD</t>
  </si>
  <si>
    <t>Total PRD - LERNENDE</t>
  </si>
  <si>
    <t>Sanitätspolizei</t>
  </si>
  <si>
    <t>Wirtschaftsamt</t>
  </si>
  <si>
    <t>Total SUE - LERNENDE</t>
  </si>
  <si>
    <t>Sozialamt</t>
  </si>
  <si>
    <t>Alters- und Versicherungsamt</t>
  </si>
  <si>
    <t>Schulzahnmedizinischer Dienst</t>
  </si>
  <si>
    <t>Total BSS</t>
  </si>
  <si>
    <t>Total BSS - LERNENDE</t>
  </si>
  <si>
    <t>Stadtgärtnerei / Friedhöfe</t>
  </si>
  <si>
    <t>Vermessungsamt</t>
  </si>
  <si>
    <t>Total TVS</t>
  </si>
  <si>
    <t>Total TVS - LERNENDE</t>
  </si>
  <si>
    <t>Steuerverwaltung</t>
  </si>
  <si>
    <t>Personalamt (ohne PVK)</t>
  </si>
  <si>
    <t>Informatikdienste</t>
  </si>
  <si>
    <t>Schul- und Büromaterialzentrale</t>
  </si>
  <si>
    <t>Total FPI</t>
  </si>
  <si>
    <t>Total FPI - LERNENDE</t>
  </si>
  <si>
    <t>Total steuerfinanzierter Haushalt</t>
  </si>
  <si>
    <t>Total - LERNENDE</t>
  </si>
  <si>
    <t>Tiefbauamt / Stadtentwässerung</t>
  </si>
  <si>
    <t>Fonds für Boden- und Wohnbaupolitik</t>
  </si>
  <si>
    <t>Entsorgung und Recycling</t>
  </si>
  <si>
    <t>Personalvorsorgekasse PVK</t>
  </si>
  <si>
    <t>Total Sonderrechnungen / PVK</t>
  </si>
  <si>
    <t>Gesamttotal - LERNENDE</t>
  </si>
  <si>
    <t>Kontrollziffern</t>
  </si>
  <si>
    <t>Total gemäss Band 3 (Tabelle I PA)</t>
  </si>
  <si>
    <t>Total Lernende gemäss Band 3 (Tabelle X PA)</t>
  </si>
  <si>
    <r>
      <t>Total SUE</t>
    </r>
    <r>
      <rPr>
        <b/>
        <sz val="10"/>
        <rFont val="Arial"/>
        <family val="2"/>
      </rPr>
      <t xml:space="preserve">                       </t>
    </r>
  </si>
  <si>
    <t>Rechnung</t>
  </si>
  <si>
    <t>Budget</t>
  </si>
  <si>
    <t>Planjahr</t>
  </si>
  <si>
    <t>Steuerart</t>
  </si>
  <si>
    <t>Natürliche Personen</t>
  </si>
  <si>
    <t xml:space="preserve">     ° Einkommensteuer</t>
  </si>
  <si>
    <t xml:space="preserve">     ° Quellensteuer</t>
  </si>
  <si>
    <t xml:space="preserve">     ° Vermögensteuer</t>
  </si>
  <si>
    <t>Juristische Personen</t>
  </si>
  <si>
    <t xml:space="preserve">     ° Gewinnsteuer und Kapitalsteuer</t>
  </si>
  <si>
    <t>Gemeindesteuerteilungen</t>
  </si>
  <si>
    <t>Steuern Vorjahre</t>
  </si>
  <si>
    <t>Total ordentliche Steuern</t>
  </si>
  <si>
    <t>Nach- und Strafsteuer</t>
  </si>
  <si>
    <t>Liegenschaftssteuer</t>
  </si>
  <si>
    <t>Grundstückgewinnsteuer</t>
  </si>
  <si>
    <t>Übernachtungsabgabe</t>
  </si>
  <si>
    <t>u</t>
  </si>
  <si>
    <t>Steuerertrag</t>
  </si>
  <si>
    <t xml:space="preserve">1 Steuerzehntel entspricht </t>
  </si>
  <si>
    <t>(PG 630400, Kostenart 40 Steuern)</t>
  </si>
  <si>
    <t>Differenz (bzw. Nachträge)</t>
  </si>
  <si>
    <t>Zusätzlich Reduktion Abschr. (bisher 8.1, neu 7.0)</t>
  </si>
  <si>
    <t>Zusätzlich Erhöhung Erbschaftssteuer (bisher 3.5, neu 4.0)</t>
  </si>
  <si>
    <t>Total Verbesserung seit Version 1</t>
  </si>
  <si>
    <t>Disparitätenabbau neu</t>
  </si>
  <si>
    <t>Disparitätenabbau gemäss Eingabe IAFP</t>
  </si>
  <si>
    <t>Zusatzkosten Disparitätenabbau</t>
  </si>
  <si>
    <t>Veränderung Resultat netto</t>
  </si>
  <si>
    <t>Nettoergebnis 1</t>
  </si>
  <si>
    <t>generelle Kürzung Globalbudgets</t>
  </si>
  <si>
    <t>Nettoergebnis 2</t>
  </si>
  <si>
    <t>Selbstfinanzierungsgrad   %</t>
  </si>
  <si>
    <t>Zinsbelastungsanteil   %</t>
  </si>
  <si>
    <t>Selbstfinanzierungsanteil   %</t>
  </si>
  <si>
    <t>Kapitaldienstanteil       %</t>
  </si>
  <si>
    <t xml:space="preserve">   Selbstfinanzierungsgrad:</t>
  </si>
  <si>
    <t>Selbstfinanzierungskraft:</t>
  </si>
  <si>
    <t xml:space="preserve">    Zinsbelastungsanteil:</t>
  </si>
  <si>
    <t>Kapitaldienstanteil:</t>
  </si>
  <si>
    <t xml:space="preserve">Wie viele lnvestitionen können mit eigenen </t>
  </si>
  <si>
    <t>Welcher Anteil des Ertrages kann für Investitionen</t>
  </si>
  <si>
    <t>Welcher Anteil des Ertrages wird allein für Schuld-</t>
  </si>
  <si>
    <t xml:space="preserve">Welcher Anteil des Ertrages wird für den </t>
  </si>
  <si>
    <t>Mitteln finanziert werden?</t>
  </si>
  <si>
    <t>verwendet werden, nachdem die ordentlichen</t>
  </si>
  <si>
    <t>zinsen ausgegeben?</t>
  </si>
  <si>
    <t>Kapitaldienst (Abschreibungen und Schuld-</t>
  </si>
  <si>
    <t>Ausgaben getätigt sind?</t>
  </si>
  <si>
    <t>zinsen) aufgewendet?</t>
  </si>
  <si>
    <t>Bruttoverschuldungsanteil %</t>
  </si>
  <si>
    <t>Investitionsanteil %</t>
  </si>
  <si>
    <t>Bruttoverschuldungsanteil:</t>
  </si>
  <si>
    <t>Investitionsanteil</t>
  </si>
  <si>
    <t>Die Bruttoinvestitionen werden in Prozent der</t>
  </si>
  <si>
    <t>konsolidierten Ausgaben dargestellt.</t>
  </si>
  <si>
    <t>Nettozinsen</t>
  </si>
  <si>
    <t>Amt für Umweltschutz</t>
  </si>
  <si>
    <t>Reaudit Energielabel Gold</t>
  </si>
  <si>
    <t>Personaldienstleistungen Stadtverwaltung</t>
  </si>
  <si>
    <t>Personaldienst FPI / Telefonzentrale</t>
  </si>
  <si>
    <t>neu organisiert ab 2011</t>
  </si>
  <si>
    <t>Umzug Feuerwehr: Mietfolgekosten, Umzugskosten und Rückbau Viktoriastr.</t>
  </si>
  <si>
    <t>Mietfolgekosten inkl. HBK Tierpark</t>
  </si>
  <si>
    <t>Erhöhung Sachaufwand VS wegen steigender Schülerzahlen, Kiga-Obligatorium</t>
  </si>
  <si>
    <t>Einführung der Basisstufe (Einrichtung, Mobiliar)</t>
  </si>
  <si>
    <t>SP Bodenweid 2. Etappe inkl. HBK Schätzung StaBe</t>
  </si>
  <si>
    <t>Mieterausbau Sporthalle Wankdorf Anzeige &amp;  Beschallungsanlage</t>
  </si>
  <si>
    <t>Tiefbauamt</t>
  </si>
  <si>
    <t>keine neuen Enteignungsfälle in Aussicht, die Zins- und Abschreibungskosten reduzieren sich</t>
  </si>
  <si>
    <t>Defizit in % der Gesamtkosten =&gt;</t>
  </si>
  <si>
    <t>**</t>
  </si>
  <si>
    <t>PJ 2015</t>
  </si>
  <si>
    <t>RG 2010</t>
  </si>
  <si>
    <t>VA 2011</t>
  </si>
  <si>
    <t>Liste der neuen Aufgaben und Leistungsausbau</t>
  </si>
  <si>
    <t>LV</t>
  </si>
  <si>
    <t>Gesamttotal</t>
  </si>
  <si>
    <t>Total gemäss Tool</t>
  </si>
  <si>
    <t>Prüfziffer</t>
  </si>
  <si>
    <t>Gemeinde und Behörden (GuB)</t>
  </si>
  <si>
    <t>Stadtkanzlei</t>
  </si>
  <si>
    <t>Präsidialdirektion (PRD)</t>
  </si>
  <si>
    <t>Abteilung Kulturelles</t>
  </si>
  <si>
    <t>Haus der Religionen</t>
  </si>
  <si>
    <t>Stadtplanungsamt</t>
  </si>
  <si>
    <t>Direktion für Sicherheit, Umwelt und Energie (SUE)</t>
  </si>
  <si>
    <t>Polizeiinspektorat</t>
  </si>
  <si>
    <t>Feuerwehr, Zivilschutz und Quartieramt</t>
  </si>
  <si>
    <t>Amt für Erwachsenen- und Kindesschutz</t>
  </si>
  <si>
    <t>*</t>
  </si>
  <si>
    <t>Direktion für Bildung, Soziales und Sport (BSS)</t>
  </si>
  <si>
    <t>Schulamt</t>
  </si>
  <si>
    <t>Weiterbildung Lehrpersonen (städtischer Beitrag)</t>
  </si>
  <si>
    <t xml:space="preserve">Ausbau Tagesschulangebot um jährlich 3% </t>
  </si>
  <si>
    <t>Jugendamt</t>
  </si>
  <si>
    <t xml:space="preserve">Ausbau Spielgruppen </t>
  </si>
  <si>
    <t>Gesundheitsdienst</t>
  </si>
  <si>
    <t>Sportamt</t>
  </si>
  <si>
    <t>Mehrfachsporthalle (Aktiengesellschaft) Gemeinden Bern und Köniz</t>
  </si>
  <si>
    <t>Direktion für Tiefbau, Verkehr und Stadtgrün (TVS)</t>
  </si>
  <si>
    <t>Stadtgärtnerei/Friedhöfe</t>
  </si>
  <si>
    <t>Direktion für Finanzen, Personal und Informatik (FPI)</t>
  </si>
  <si>
    <t>Finanzverwaltung</t>
  </si>
  <si>
    <t>Defizitdeckungsgarantie Jugendherberge</t>
  </si>
  <si>
    <t>Personalamt</t>
  </si>
  <si>
    <t>***= noch nicht durch Gemeinderat bestellte Projekte</t>
  </si>
  <si>
    <t>Kompetenzzentrum für Records Management/Digitale Langzeitarchivierung</t>
  </si>
  <si>
    <t>teuerungsbedingte Mehreinnahmen bei den Gebühren</t>
  </si>
  <si>
    <t>Betriebliches Gesundheitsmanagement ab 2011 Fr. 56 000; Annuitäten PVK entfallen ab 2013; interne Stellenverschiebung PG640300 an PG640200 (Fr. -74 000), Reduktion der Kosten Praktikumsplätze</t>
  </si>
  <si>
    <t xml:space="preserve">interne Stellenverschiebung PG640300 an PG640200 (Fr. +74 000), Erlösminderung Fr. -70 000 Dienstleistungen an Dritte </t>
  </si>
  <si>
    <t>Produktegruppe:</t>
  </si>
  <si>
    <t>Dienstleistungen</t>
  </si>
  <si>
    <t>PG060000</t>
  </si>
  <si>
    <t>Revision</t>
  </si>
  <si>
    <t>PG050000</t>
  </si>
  <si>
    <t>PG040400</t>
  </si>
  <si>
    <t>Mietamt</t>
  </si>
  <si>
    <t>PG040300</t>
  </si>
  <si>
    <t>Arbeitsgericht</t>
  </si>
  <si>
    <t>PG040200</t>
  </si>
  <si>
    <t>Stadtarchiv</t>
  </si>
  <si>
    <t>PG040100</t>
  </si>
  <si>
    <t>Dienstleistungen für Dritte</t>
  </si>
  <si>
    <t>PG040000</t>
  </si>
  <si>
    <t>PG030000</t>
  </si>
  <si>
    <t>Gemeinderat</t>
  </si>
  <si>
    <t>PG020000</t>
  </si>
  <si>
    <t>Ombudstätigkeit und Datenschutz</t>
  </si>
  <si>
    <t>PG010100</t>
  </si>
  <si>
    <t>Ratssekretariat</t>
  </si>
  <si>
    <t xml:space="preserve">PG010000 </t>
  </si>
  <si>
    <t>Stadtrat</t>
  </si>
  <si>
    <t>Kommentar</t>
  </si>
  <si>
    <t>Trend</t>
  </si>
  <si>
    <t>Präsidialdirektion</t>
  </si>
  <si>
    <t>PG100100</t>
  </si>
  <si>
    <t>PG100200</t>
  </si>
  <si>
    <t>Zentrale Dienste</t>
  </si>
  <si>
    <t>PG100300</t>
  </si>
  <si>
    <t>Gleichstellung</t>
  </si>
  <si>
    <t>PG100500</t>
  </si>
  <si>
    <t>Enteignungen, Bausperren</t>
  </si>
  <si>
    <t>PG110000</t>
  </si>
  <si>
    <t>Kulturförderung</t>
  </si>
  <si>
    <t>PG120000</t>
  </si>
  <si>
    <t>Denkmalpflege</t>
  </si>
  <si>
    <t>Stadtentwicklung und Statistik</t>
  </si>
  <si>
    <t>PG150000</t>
  </si>
  <si>
    <t>PG150100</t>
  </si>
  <si>
    <t>Beschwerden / Widerrechtliches Bauen</t>
  </si>
  <si>
    <t>PG150200</t>
  </si>
  <si>
    <t>Wirtschaftsförderung</t>
  </si>
  <si>
    <t>PG170500</t>
  </si>
  <si>
    <t>Stadtplanung</t>
  </si>
  <si>
    <t>Total Präsidialdirektion</t>
  </si>
  <si>
    <t>Direktion für Sicherheit, Umwelt und Energie</t>
  </si>
  <si>
    <t>PG200100</t>
  </si>
  <si>
    <t>PG200200</t>
  </si>
  <si>
    <t>PG210100</t>
  </si>
  <si>
    <t>PG220100</t>
  </si>
  <si>
    <t>Umweltschutz</t>
  </si>
  <si>
    <t>PG230100</t>
  </si>
  <si>
    <t>PG230200</t>
  </si>
  <si>
    <t>Ruhe und Ordnung</t>
  </si>
  <si>
    <t>PG230300</t>
  </si>
  <si>
    <t>PG230400</t>
  </si>
  <si>
    <t>Regelung des Einwohnerwesens</t>
  </si>
  <si>
    <t>PG240100</t>
  </si>
  <si>
    <t>Hilfeleistungen</t>
  </si>
  <si>
    <t>PG240200</t>
  </si>
  <si>
    <t>Übrige Dienstleistungen</t>
  </si>
  <si>
    <t>PG250100</t>
  </si>
  <si>
    <t>Feuerwehraufgaben</t>
  </si>
  <si>
    <t>PG250200</t>
  </si>
  <si>
    <t>Hilfe- und Dienstleistungen</t>
  </si>
  <si>
    <t>PG250300</t>
  </si>
  <si>
    <t>Zivilschutz</t>
  </si>
  <si>
    <t>PG250400</t>
  </si>
  <si>
    <t>Quartieramt</t>
  </si>
  <si>
    <t>PG270100</t>
  </si>
  <si>
    <t>Tierpark</t>
  </si>
  <si>
    <t>PG290100</t>
  </si>
  <si>
    <t>Total Direktion SUE</t>
  </si>
  <si>
    <t>PG300100</t>
  </si>
  <si>
    <t>PG300200</t>
  </si>
  <si>
    <t>PG300300</t>
  </si>
  <si>
    <t>PG300400</t>
  </si>
  <si>
    <t>Soziale Einrichtungen</t>
  </si>
  <si>
    <t>PG310300</t>
  </si>
  <si>
    <t>Inkasso Sozialhilfe, Bevorschussungen</t>
  </si>
  <si>
    <t>PG310400</t>
  </si>
  <si>
    <t>Ambulante Sozialhilfe</t>
  </si>
  <si>
    <t>PG310600</t>
  </si>
  <si>
    <t>Berufliche und soziale Integration</t>
  </si>
  <si>
    <t>PG320100</t>
  </si>
  <si>
    <t>Kindergärten, Volks- und Sonderschulen</t>
  </si>
  <si>
    <t>PG320200</t>
  </si>
  <si>
    <t>Tagesbetreuung</t>
  </si>
  <si>
    <t>PG320300</t>
  </si>
  <si>
    <t>Bildungsnahe Institutionen</t>
  </si>
  <si>
    <t>PG330100</t>
  </si>
  <si>
    <t>PG330200</t>
  </si>
  <si>
    <t>Ambulante Jugendhilfe</t>
  </si>
  <si>
    <t>PG330300</t>
  </si>
  <si>
    <t>PG330400</t>
  </si>
  <si>
    <t>Vormundschaftspflege</t>
  </si>
  <si>
    <t>Schutz von Erwachsenen und Kindern</t>
  </si>
  <si>
    <t>Erbgangssicherung</t>
  </si>
  <si>
    <t>PG350100</t>
  </si>
  <si>
    <t>Sozialversicherungen</t>
  </si>
  <si>
    <t>PG350200</t>
  </si>
  <si>
    <t>PG350300</t>
  </si>
  <si>
    <t>Ambulante Kranken- und Betagtenhilfe</t>
  </si>
  <si>
    <t>PG350400</t>
  </si>
  <si>
    <t>Offene Altersarbeit</t>
  </si>
  <si>
    <t>PG360100</t>
  </si>
  <si>
    <t>Schulzahnpflege</t>
  </si>
  <si>
    <t>PG360200</t>
  </si>
  <si>
    <t>Zahnmedizinische Leistungen</t>
  </si>
  <si>
    <t>PG370100</t>
  </si>
  <si>
    <t>PG370200</t>
  </si>
  <si>
    <t>Gesundheitsinformation</t>
  </si>
  <si>
    <t>PG370300</t>
  </si>
  <si>
    <t>Gesundheitsförderung und Prävention</t>
  </si>
  <si>
    <t>PG380100</t>
  </si>
  <si>
    <t>Betriebe Eis und Wasser</t>
  </si>
  <si>
    <t>PG380200</t>
  </si>
  <si>
    <t>Sportanlagen, Sportbetrieb</t>
  </si>
  <si>
    <t>Direktion für Bildung, Soziales und Sport</t>
  </si>
  <si>
    <t>Total Direktion BSS</t>
  </si>
  <si>
    <t>Direktion für Tiefbau, Verkehr und Stadtgrün</t>
  </si>
  <si>
    <t>PG500100</t>
  </si>
  <si>
    <t>PG500400</t>
  </si>
  <si>
    <t>PG500500</t>
  </si>
  <si>
    <t>PG510100</t>
  </si>
  <si>
    <t>Planung und Koordination</t>
  </si>
  <si>
    <t>PG510200</t>
  </si>
  <si>
    <t>Realisierung</t>
  </si>
  <si>
    <t>PG510300</t>
  </si>
  <si>
    <t>Betrieb und Unterhalt</t>
  </si>
  <si>
    <t>PG510400</t>
  </si>
  <si>
    <t>Tiefbauinspektorat</t>
  </si>
  <si>
    <t>PG510500</t>
  </si>
  <si>
    <t>Stadtbeleuchtung</t>
  </si>
  <si>
    <t>PG520100</t>
  </si>
  <si>
    <t>Grünraumgestaltung</t>
  </si>
  <si>
    <t>PG520200</t>
  </si>
  <si>
    <t>Grünflächenpflege</t>
  </si>
  <si>
    <t>PG520300</t>
  </si>
  <si>
    <t>Grünkultur</t>
  </si>
  <si>
    <t>PG521100</t>
  </si>
  <si>
    <t>Friedhöfe</t>
  </si>
  <si>
    <t>Konzepte / Koord. öffentlicher Verkehr</t>
  </si>
  <si>
    <t>PG570100</t>
  </si>
  <si>
    <t>Geoinformation und Vermessung</t>
  </si>
  <si>
    <t>PG580100</t>
  </si>
  <si>
    <t>Verkehrsplanung</t>
  </si>
  <si>
    <t>Total Direktion TVS</t>
  </si>
  <si>
    <t>Direktion für Finanzen, Personal und Informatik</t>
  </si>
  <si>
    <t>PG600100</t>
  </si>
  <si>
    <t>Finanzdienstleistungen Stadtverwaltung</t>
  </si>
  <si>
    <t>PG610200</t>
  </si>
  <si>
    <t>Vermögens- und Schuldenbewirtschaftung</t>
  </si>
  <si>
    <t>PG610400</t>
  </si>
  <si>
    <t>Finanzausgleich und Beiträge</t>
  </si>
  <si>
    <t>PG620100</t>
  </si>
  <si>
    <t>PG621100</t>
  </si>
  <si>
    <t>Rebgut Neuenstadt</t>
  </si>
  <si>
    <t>PG630100</t>
  </si>
  <si>
    <t>PG630200</t>
  </si>
  <si>
    <t>Steuerinkasso</t>
  </si>
  <si>
    <t>PG630300</t>
  </si>
  <si>
    <t>Erhebung besondere Gemeindesteuern</t>
  </si>
  <si>
    <t>PG630400</t>
  </si>
  <si>
    <t>Steuereinnahmen</t>
  </si>
  <si>
    <t>PG640100</t>
  </si>
  <si>
    <t>PG640200</t>
  </si>
  <si>
    <t>PG640300</t>
  </si>
  <si>
    <t>PG650100</t>
  </si>
  <si>
    <t>PG650200</t>
  </si>
  <si>
    <t>Der Selbstfinanzierungsgrad sollte mittelfristig</t>
  </si>
  <si>
    <t>100% betragen.</t>
  </si>
  <si>
    <t xml:space="preserve">Für grosse Gemeinden ist ein Selbstfinanzierungsanteil </t>
  </si>
  <si>
    <t>von 5 - 10 % anzustreben.</t>
  </si>
  <si>
    <t xml:space="preserve">Ein Zinsbelastungsanteil kleiner als 0 % kann als </t>
  </si>
  <si>
    <t>sehr tief bezeichnet werden.</t>
  </si>
  <si>
    <t>Ein Kapitaldienstanteil von weniger als 4 % ist</t>
  </si>
  <si>
    <t>als tief einzustufen.</t>
  </si>
  <si>
    <t>Ein Bruttoverschuldungsanteil von 100 - 150 % wird als mittlere Verschuldung beurteilt.</t>
  </si>
  <si>
    <t>Diese Kennzahl ist für die Stadt Bern wegen der Auslagerung der selbständigen Anstalten ewb und Stadtbauten Bern nicht vergleichbar.</t>
  </si>
  <si>
    <t>PG650300</t>
  </si>
  <si>
    <t>Entw. / Betrieb / Support Kommunikation</t>
  </si>
  <si>
    <t>PG660100</t>
  </si>
  <si>
    <t>PG660200</t>
  </si>
  <si>
    <t>Drucksachenproduktion</t>
  </si>
  <si>
    <t>PG660300</t>
  </si>
  <si>
    <t>PG690100</t>
  </si>
  <si>
    <t>Stadtbauten (StaBe)</t>
  </si>
  <si>
    <t>Total Direktion FPI</t>
  </si>
  <si>
    <t>PG640400</t>
  </si>
  <si>
    <t>PG610100</t>
  </si>
  <si>
    <t>PG600300</t>
  </si>
  <si>
    <t>Kantonspolizei</t>
  </si>
  <si>
    <t>Total Gemeinde und Behörden</t>
  </si>
  <si>
    <t>Gemeinde und Behörden</t>
  </si>
  <si>
    <t>PG130100</t>
  </si>
  <si>
    <t>Handelsprodukte</t>
  </si>
  <si>
    <t>ì</t>
  </si>
  <si>
    <t>î</t>
  </si>
  <si>
    <t>è</t>
  </si>
  <si>
    <t>PG310100</t>
  </si>
  <si>
    <t>PG280100</t>
  </si>
  <si>
    <t>PG280200</t>
  </si>
  <si>
    <t>PG280300</t>
  </si>
  <si>
    <t>Liegenschaften im öffentlichen Interesse</t>
  </si>
  <si>
    <t>PJ 2013</t>
  </si>
  <si>
    <t>PG650400</t>
  </si>
  <si>
    <t>Informatikcontrolling</t>
  </si>
  <si>
    <t>Informationsdienst</t>
  </si>
  <si>
    <t>Baurechtliche Bewilligungsverf. / Voranfragen</t>
  </si>
  <si>
    <t>Baurechtliche Auskünfte + Stellungnahmen/Archiv</t>
  </si>
  <si>
    <t>Stabsdienstleistungen</t>
  </si>
  <si>
    <t>Orts-, Gewerbe- und Marktpolizei</t>
  </si>
  <si>
    <t>Energie Wasser Bern (ewb)</t>
  </si>
  <si>
    <t>Koordinationsstelle Sucht</t>
  </si>
  <si>
    <t>Kompetenzzentrum Integration</t>
  </si>
  <si>
    <t>Kinder- und Jugendförderung</t>
  </si>
  <si>
    <t>Gesundheitsvorsorge und -beratung</t>
  </si>
  <si>
    <t>Steuerregister / Veranlagung</t>
  </si>
  <si>
    <t>Zentrale städtische Informatikdienstleistungen</t>
  </si>
  <si>
    <t>Stationäre und teilstationäre Betagtenhilfe</t>
  </si>
  <si>
    <t xml:space="preserve">Stadt Bern </t>
  </si>
  <si>
    <t>Direktion:</t>
  </si>
  <si>
    <t>Dienststelle:</t>
  </si>
  <si>
    <t>Bruttokosten</t>
  </si>
  <si>
    <t>Erlös</t>
  </si>
  <si>
    <t>Nettokosten</t>
  </si>
  <si>
    <t>Kostendeckung</t>
  </si>
  <si>
    <t>Aufwand</t>
  </si>
  <si>
    <t>Eigenleistungen</t>
  </si>
  <si>
    <t>Beiträge</t>
  </si>
  <si>
    <t>Nettoaufwand</t>
  </si>
  <si>
    <t>Total Kosten</t>
  </si>
  <si>
    <t>30 Personalaufwand</t>
  </si>
  <si>
    <t>31 Sachaufwand</t>
  </si>
  <si>
    <t>32 Passivzinsen</t>
  </si>
  <si>
    <t>33 Abschreibungen</t>
  </si>
  <si>
    <t>35 Entsch. Gemeinwesen</t>
  </si>
  <si>
    <t>36 Eigene Beiträge</t>
  </si>
  <si>
    <t>37 Durchl. Beiträge</t>
  </si>
  <si>
    <t>38 Einlagen Spez´finanz.</t>
  </si>
  <si>
    <t>39 Int. Verrechnungen</t>
  </si>
  <si>
    <t>Total Erlös</t>
  </si>
  <si>
    <t>40 Steuern</t>
  </si>
  <si>
    <t>41 Regalien/Konzessionen</t>
  </si>
  <si>
    <t>42 Vermögenserträge</t>
  </si>
  <si>
    <t>43 Entgelte</t>
  </si>
  <si>
    <t>44 Anteile/Finanzausgleich</t>
  </si>
  <si>
    <t>45 Rückerst. Gemeinwesen</t>
  </si>
  <si>
    <t>46 Beiträge</t>
  </si>
  <si>
    <t>47 Durchl. Beiträge</t>
  </si>
  <si>
    <t>48 Entnahmen Spez´finanz.</t>
  </si>
  <si>
    <t>49 Int. Verrechnungen</t>
  </si>
  <si>
    <r>
      <t>Investitionen</t>
    </r>
    <r>
      <rPr>
        <sz val="8"/>
        <rFont val="Arial"/>
        <family val="2"/>
      </rPr>
      <t xml:space="preserve"> (in Franken)</t>
    </r>
  </si>
  <si>
    <t>PJ 2016</t>
  </si>
  <si>
    <t>Zusätzliche Problemstellungen in der Bauberatung 30 %</t>
  </si>
  <si>
    <t>Projekte Haupstadtregion</t>
  </si>
  <si>
    <t>Städtepartnerschaft</t>
  </si>
  <si>
    <t>Massnahmen Wohnstadt</t>
  </si>
  <si>
    <t>Nutzungskontrolle, 100 %</t>
  </si>
  <si>
    <t>Externe Mandate Drittaufträge für Stadterweiterung sowie Stadtentwicklung</t>
  </si>
  <si>
    <t>Erhöhung der uniformierten präventiven Polizeipräsenz um 10 000 Stunden</t>
  </si>
  <si>
    <t>Mietfolgekosten</t>
  </si>
  <si>
    <t>RASA; Raum Predigergasse Auszug Sano</t>
  </si>
  <si>
    <t>PG260100</t>
  </si>
  <si>
    <t>Beitrag Bern Tourismus Travel Mart und Ferientag 2013</t>
  </si>
  <si>
    <t>Förderpreis Umwelttechnologie</t>
  </si>
  <si>
    <t>Zusätzliche je 1,5 Stellen im Mandat Center/Service Center 2013/14</t>
  </si>
  <si>
    <t>Mietfolgekosten inkl. HBK auf Neubestellungen (Übersicht Stabe 11.11.2011)</t>
  </si>
  <si>
    <t>Einführung Kindergartenobligatorium ab 1.8.2013 (Ausstattung von 5 Kindergärten)</t>
  </si>
  <si>
    <t>Miete Turnhalle Weissenstein für die Volksschule ab 1.8.2014</t>
  </si>
  <si>
    <t>Mietfolgekosten inkl. HBK auf Neubestellungen</t>
  </si>
  <si>
    <t>Frühförderung (primano) in der Gemeinwesenarbeit</t>
  </si>
  <si>
    <t>Einführung Betreuungsgutscheine</t>
  </si>
  <si>
    <t>Neumöblierungen von Tagesstätten</t>
  </si>
  <si>
    <t>Kita Aaregg Mietfolgekosten und HBK StaBe</t>
  </si>
  <si>
    <t>Kita Lorraine Mietfolgekosten und HBK StaBe</t>
  </si>
  <si>
    <t>PG350500</t>
  </si>
  <si>
    <t>Fachstelle für Menschen mit einer Behinderung</t>
  </si>
  <si>
    <t>Ausbau der Schulsozialarbeit um 150% gemäss Stadtratsbeschluss</t>
  </si>
  <si>
    <t>Gesetzliche Änderung Umgang mit Chemien, Schulung Mitarbeitende</t>
  </si>
  <si>
    <t>Bereitschaftsdienst gem. PVO Art. 45 Abs 3 in Anlagen mit Chemie</t>
  </si>
  <si>
    <t>Bärner Kids Day, Durchführung alle zwei Jahre</t>
  </si>
  <si>
    <t>SP Wyler, Kunstrasenfeld, 1. Liga-Tauglichkeit</t>
  </si>
  <si>
    <t>Brünnenpark, zusätzliche Garderobenräume für Rasenspielfeld und HBK Schätzung</t>
  </si>
  <si>
    <t>SP Spitalacker Garderoben und Materialräume exkl. HBK Schätzung StaBe</t>
  </si>
  <si>
    <t>SP Spitalacker, Kunstrasen ohne 1. Liga-Tauglichkeit und HBK Schätzung StaBe</t>
  </si>
  <si>
    <t>Kleine + Grosse Allmend, 2 Natur- und Kunstrasenfelder und HBK Schätzung StaBe</t>
  </si>
  <si>
    <t>SP Wander; Erwerb inkl. HBK Schätzung StaBe Differenz zum Budget 2012</t>
  </si>
  <si>
    <t>Mehrkosten Pflegeaufwand SP Wander durch Stadtgärtnerei</t>
  </si>
  <si>
    <t>Sanierung Finnenbahn (Erstellung 1987)</t>
  </si>
  <si>
    <t>SP Bottigenmoos, 3 Naturrasenfelder, Garderoben, Beleuchtung und HBK Schätzung</t>
  </si>
  <si>
    <t>Miete Reinigungsstützpunkt Innenstadt Nägeligasse</t>
  </si>
  <si>
    <t>Miete Reinigungsstützpunkt Gotthelfstr./WC-Anlagen Mühleplatz u. Bahnhof-West</t>
  </si>
  <si>
    <t>Betrieb und Unterhalt Wankdorf-City</t>
  </si>
  <si>
    <t>Grünanlagen und Bäume (inkl. Wankdorf-City ab 2015)</t>
  </si>
  <si>
    <t>Baulicher Unterhalt</t>
  </si>
  <si>
    <t>Mieterausbau Gewächshäuser</t>
  </si>
  <si>
    <t>Neue Velostation Schanzenpost</t>
  </si>
  <si>
    <t>Assistenz Projekt ZIMBE</t>
  </si>
  <si>
    <t>Budget 2012</t>
  </si>
  <si>
    <t>%-Abw.
zu 2012</t>
  </si>
  <si>
    <t>IAFP 2013 - 2016</t>
  </si>
  <si>
    <t>RG 2011</t>
  </si>
  <si>
    <t>VA 2012</t>
  </si>
  <si>
    <t>Budgetplanung 2013 - 2016 nach Sacharten</t>
  </si>
  <si>
    <t>Personalplanung 2013 - 2016</t>
  </si>
  <si>
    <t>Finanzinspektorat (ab 2012)</t>
  </si>
  <si>
    <t>Finanzinspektorat (bis 2011)</t>
  </si>
  <si>
    <t>Gemeindewahlen 2012 / 2013 kein Wahljahr / Kant. Wahlen 2014 / Eidg. Wahlen 2015 / Gemeindewahlen 2016
Kosten E-Voting Fr. 161'000 ab 2016</t>
  </si>
  <si>
    <t>zusätzlicher Ausbau Kompetenzzentrum digitale Langzeitarchivierung</t>
  </si>
  <si>
    <t>Justizreform, seit 2011 wird Aufgabe vom Kanton wahrgenommen</t>
  </si>
  <si>
    <t>Abschreibungen reduzieren sich um Fr. 190'000</t>
  </si>
  <si>
    <t>Bevölkerungsbefragung 2013 und 2015 je Fr. 100'000</t>
  </si>
  <si>
    <t>neu Nutzungskontrolle (Fr. 135'000) ab 2013</t>
  </si>
  <si>
    <t>an Teuerung angepasster Ressourcenvertrag, Erhöhung der sichtbaren Präsenz um je 10'000 Stunden (2012 und 2013)</t>
  </si>
  <si>
    <t>Folgekosten Lärmschutzmassnahmen, autofreie Tage jährlich mit Fr. 150'000 berücksichtigt</t>
  </si>
  <si>
    <t>zusätzliche Miete betreffend Projekt RASA (Auszug Sano) Fr. 130'000, Reduktion der Abschreibungen</t>
  </si>
  <si>
    <t>Gewinne werden im Folgejahr durch den Kanton vom Erlös gekürzt, somit ist diese Produktegruppe jeweils kostenneutral</t>
  </si>
  <si>
    <t>Mehrkosten für Umzug Forsthaus ab 2014; Ausbildungslehrgänge Berufsfeuerwehrschule sind 2014 und 2016 eingeplant</t>
  </si>
  <si>
    <t>Kapitalfolgekosten Investition im Fahrzeugbereich (2016)</t>
  </si>
  <si>
    <t>Stellenaufstockung Mandat Center/Service Center (lastenausgleichsberechtigt, Ertrag bei BSS)</t>
  </si>
  <si>
    <t>ab 2012 wird das Finanzinspektorat administrativ in der Direktion für Finanzen, Personal und Informatik (FPI) als Dienststelle 670 geführt</t>
  </si>
  <si>
    <t>im Jahr 2013 entfällt der Beitrag von Fr. 50'000 von Infodrog am Pilotprojekt Case Management für Drogenabhängige</t>
  </si>
  <si>
    <t>Anstieg der bevorschussten Alimentenbeträge entsprechend der allgemeinen Wirtschaftslage, Mehrkosten von Fr. 110'000, zusätzlich Mindererlöse von Fr. 165'000 ab 2013</t>
  </si>
  <si>
    <t>Teuerung auf Lohnsumme von ca. 9 Mio. Franken</t>
  </si>
  <si>
    <t>steigendes Angebot 3 % / Jahr</t>
  </si>
  <si>
    <t>stationäre Plätze werden über Leistungsvertrag vollumfänglich direkt vom Kanton finanziert, die Familienbegleitung wird auftragsweise mit den zuweisenden Stellen abgerechent</t>
  </si>
  <si>
    <t>neu in PG350500 enthalten</t>
  </si>
  <si>
    <t>Seit 1.1.2011 neues Finanzierungsmodell, Leistungsverträge Spitex werden durch Kanton abgeschlossen. Stadt beteiligt sich über den Lastenanteil an den Kosten</t>
  </si>
  <si>
    <t>Alter</t>
  </si>
  <si>
    <t>neue Produktgruppe ab Budget 2012, ab 2016 Fachstelle Gleichstellung von Menschen mit Behinderungen Fr. 97'000 (bis 2015 über Fonds für Kranke, Betagte und Behinderte)</t>
  </si>
  <si>
    <t>Mitfinanzierung Schulsozialarbeit durch Kanton (für 2013 Fr. 124'000, ab 2014 Fr. 300'000), zusätzliche Stellen Schulsozialarbeit 150% 2013/2014 gemäss SRB</t>
  </si>
  <si>
    <t>Überführung von Primano in ein Regelangebot 0,5 Mio. Franken ab 2013</t>
  </si>
  <si>
    <t>Prämienvergünstigung IV-, AHV- und EL-Beziehende (Fr. 540'000 pro Jahr) wird von 2012-2014 über den Fonds für Betagte, Kranke und Behinderte finanziert,  Anpassung Kosten Lastenausgleich ÖV an Entwicklung (+1,1 Mio Fr. 2013, +3,6 Mio. Fr. 2014, +1,1 Mio. Fr. 2015, +2,3 Mio. Fr. 2016, insgesamt von 2012-2016 +8,1 Mio. Fr.)</t>
  </si>
  <si>
    <t>steigende Abschreibungen (Ausgleich gesamtstädtisch harmonisierte Abschreibungen bis 2013, ab 2014 sind die Abschreibungen nach HRM2 berücksichtigt)</t>
  </si>
  <si>
    <t>Konzessionseinnahmen für Leuchtplakate bei Wartehallen Fr. 324'000 ab 2013</t>
  </si>
  <si>
    <t>flächendeckende Umrüstung auf neuere, stromsparende Leuchmittel bis 2013 - die Einsparungen können jedoch die durch den Mehrbedarf entstehenden Kosten nicht vollständig kompensieren</t>
  </si>
  <si>
    <t>Aufwandüberschuss / Ertragsüberschuss (-)</t>
  </si>
  <si>
    <t>eine Stelle aus PG521100 wurde zur PG520100 transferiert</t>
  </si>
  <si>
    <t>das Pflanzenschauhaus Elfenau wird geschlossen (Einsparung von Fr. 110'000 ab 2013), Beitrag an den botanischen Garten entfällt ab 2014 (Fr. 100'000)</t>
  </si>
  <si>
    <t>eine Stelle aus PG521100 wurde zur PG520100 transferiert, Erlöse nehmen stark ab (Trend zu Gemeinschaftsgrab), ebenfalls die Zinseinnahmen auf den Vorauszahlungen für die Grabpflege nimmt der Zinsentwicklung entsprechend ab (Fr. 150'000 ab 2013)</t>
  </si>
  <si>
    <t>einmalige Rückerstattung des Bundes entfällt, Lohnsumme wird reduziert</t>
  </si>
  <si>
    <t>FILAG 2012: Disparitätenabbau, vertikaler Finanzausgleich und abgegoltene Zentrumslasten nach kantonaler Finanzplanungshilfe berücksichtigt, Defizitdeckungsgarantie Jugendherbergen ab 2014 Fr. 165'000</t>
  </si>
  <si>
    <t>Anpassung Abschreibungen HRM2 ab 2014</t>
  </si>
  <si>
    <t>Reorganisation per 1.1.2012</t>
  </si>
  <si>
    <t>Reorganisation per 1.1.2012, eine 50%-Stelle wurde zur PG600300 Fachstelle Beschaffung verschoben</t>
  </si>
  <si>
    <t>Hochrechnung auf Basis der aktuellen Steuerdaten per 31.12.2011</t>
  </si>
  <si>
    <t>neu organisiert ab 2012</t>
  </si>
  <si>
    <t>Die Kosten des Informatikcontrollings werden ab 2013 im Globalbudget der Dienststelle aufgefangen.</t>
  </si>
  <si>
    <t>PG670100</t>
  </si>
  <si>
    <t>keine</t>
  </si>
  <si>
    <t>Rasa, Mietfolgekosten Predigergasse 5</t>
  </si>
  <si>
    <t>Umzug ins Beer-Haus</t>
  </si>
  <si>
    <t>Im 2011 genehmigte Stelle Sachbearbeiter/-in (noch nicht im 2012 erfasst)</t>
  </si>
  <si>
    <t>Finanzinspektorat</t>
  </si>
  <si>
    <t>Umzugskosten und Mehrmiete</t>
  </si>
  <si>
    <t>Kostenreduktion durch Integration Forsthaus West ab 2016 (Fr. -350'000)</t>
  </si>
  <si>
    <t>* = lastenausgleichsberechtigte neue Aufgaben</t>
  </si>
  <si>
    <t xml:space="preserve">** = durch Kanton mitfinanzierte Aufgaben                                                       teilweise </t>
  </si>
  <si>
    <t>Einmalige Ausgaben aus Budget 2012 entfallen</t>
  </si>
  <si>
    <t>Externe Mandate (je Fr. 250'000 2014 und 2015)  für Stadterweiterung und Stadtentwicklung</t>
  </si>
  <si>
    <t>erhöhte Abschreibungen (Projekt ZIMBE)</t>
  </si>
  <si>
    <t>Drei zusätzliche Ruhegehälter für ehemalige Gemeinderäte ab 2013, ein Ruhegehalt entfällt ab Juni 2016, neue Lohnstruktur</t>
  </si>
  <si>
    <t>erhöhte Lohnkosten im Bereich Lernende (1 zusätzliche Lehrstelle)</t>
  </si>
  <si>
    <t xml:space="preserve">diverse Stellen werden voraussichtlich ab 2013 in die kantonale Fachbehörde integriert (715 Stellenprozente, entfallen, jedoch auch die entsprechenden Erlöse), Nettoeinsparung Fr. 650'000 - zusätzliche Kosten von 1,5 Mio. Franken werden jedoch über den vertikalen Lastenausgleich FILAG wiederum der Stadt Bern (Finanzverwaltung) belastet </t>
  </si>
  <si>
    <t>Mietfolgekosten neue Sportanlagen, Kinderolympiade in den Jahren 2014 und 2016 je Fr. 100'000; Umsetzung Massnahmen aus Sport- und Bewegungskonzept Fr. 100'000 (ab 2012)</t>
  </si>
  <si>
    <t>einmalige Kosten Einführung Risikomanagement 2012 und 2013 entfallen ab 2014</t>
  </si>
  <si>
    <t>Verrechnung Aufwendungen StaBe entfallen ab 2014 (Fr. 80'000), zusätzliche Stelle 50% ab 2013 (direktionsintern kompensiert, Verschiebung von PG630100)</t>
  </si>
  <si>
    <t>Entlastung durch kantonales Kulturförderungsgesetz 2014/2015 je 4,6 Mio. Franken, ab 2016 beläuft sich der Saldo Kulturentlastung nach FILAG auf 2,55 Mio. Franken. Teuerungsanpassungen sowie Folgekosten Investitionen sind berücksichtigt</t>
  </si>
  <si>
    <t xml:space="preserve">einmaliger Beitrag Bern Tourismus für Travel Mart und Ferientag 2013 (Fr. 300'000), Ertrag aus Leistungsvereinbarung mit Wirtschaftsförderung entfällt (Fr. 160'000) wird jedoch vollständig durch Sockelbeitrag der Teilkonferenz Wirtschaft (Fr. 55'000) und sonstige Mehrerträge kompensiert </t>
  </si>
  <si>
    <t>erhöhter Sachaufwand wegen steigender Schülerzahl und Einführung Kindergartenobligatorium ab 1.8.2013, Neuregelung Abgeltung Lehrerbesoldungspool mit FILAG 2012, Sparmassnahmen Kanton umgesetzt</t>
  </si>
  <si>
    <t>Gaskessel (Fr. 440'000) und SpielRaum (Fr. 110'000) werden ab 2013 direkt durch Kanton finanziert (Lastenausgleich wird entsprechend reduziert), neu Primano (Fr. 40'000 ab 2012, wird jedoch im Lastenausgleich geltend gemacht)</t>
  </si>
  <si>
    <t>Umzugskosten ins Beer-Haus (GRB 107 vom 25.1.2012)</t>
  </si>
  <si>
    <t>Laubeggstrasse 23, befristete Miete als Schulhaus (GRB vom 23.08.2011)</t>
  </si>
  <si>
    <t>Überführung von primano in ein Regelangebot (Beantwortung der Motion SP)</t>
  </si>
  <si>
    <t>Total Erlös gem. IAFP 02.02.2012</t>
  </si>
  <si>
    <t>bereits im Vorjahr enthalten (zur Info)</t>
  </si>
  <si>
    <t>Best Case 9.2.2012</t>
  </si>
  <si>
    <t>Druckkosten Vierjahresbericht 2013 Fr. 30'000, Kapazitätsausbau zusätzliche Problemstellungen Bauberatung Fr. 45'000 ab 2015</t>
  </si>
  <si>
    <t>./. diverses Nachtrag Best Case</t>
  </si>
  <si>
    <t>Einführung Betreuungsgutscheine (2,3 Mio. Franken ab 2013), ab 2013 entfallen die Startbeiträge des Bundes</t>
  </si>
  <si>
    <t>Finanzierung der sozial bedingten Behandlungsbeiträge über den Fonds für Kranke, Betagte und Behinderte (0,5 Mio. Franken 2012 - 2014), ab 2015 reduziert auf 0,25 Mio. Franken</t>
  </si>
  <si>
    <t>Bereitschaftsdienst und Schulung betreffend Anlagen mit Chemie Fr. 105'000, Umnutzung KaWeDe wurde nicht eingerechnet</t>
  </si>
  <si>
    <t>neue Reinigungsstützpunkte (ab 2013 Fr. 170'000, ab 2014 zusätzlich Fr. 170'000, ab 2015 zusätzlich Fr. 351'000)</t>
  </si>
  <si>
    <t>zusätzliche Grünanlagen (Fr. 115'000 - 205'000 2013-2016), Erhöhung des baulichen Unterhalts zur Reduktion des vorhandenen Nachholbedarfs (Fr. 200'000 - 320'000 2013-2016)</t>
  </si>
  <si>
    <t>Velostation Schanzenpost ab 2015 (Fr. 318'000), Entnahme aus Spezialfinanzierung RFFV erfolgt letztmals im Jahr 2013 (Fr. 843'000) - diese Beträge wurden für Abschreibungszwecke verwendet</t>
  </si>
  <si>
    <t>höhere Mietfolgekosten infolge diverser Ausbauprojekte (Fr. 265'000)</t>
  </si>
  <si>
    <t>Reduzierte Gewinnausschüttung ab 2013 von 25 Mio. Franken, abzüglich Einlage in Oekofonds (10%, bzw. 2,5 Mio. Franken)</t>
  </si>
  <si>
    <t>der im Budget 2012 eingestellte einmaligen Aufwertungsgewinn Tramdepot Burgereziel von 2,2 Mio. Franken wird erst 2014 realisiert, Zinsentwicklung entsprechend der Liquiditäts- und Finanzierungsplanung, Zins Dotationskapital Fonds mit 6 % berücksichtigt. Auflösung Rückstellung Ausgliederung ewb (80 Mio. Franken während 25 Jahren, also 3,2 Mio. Franken) ab 2014 eingerechnet</t>
  </si>
  <si>
    <t>die Annuität Pensionskasse wird im Jahr 2012 vollständig zurückbezahlt und entfällt ab 2013 (Minderkosten gesamtstädtisch 5,5 Mio. Franken, für Personalamt 0,87 Mio. Franken - davon wurden 11,8% bereits als Minderkosten 2011 berücksichtigt)</t>
  </si>
  <si>
    <t>Rückführung Stadtbauten wird bei den einzelnen Produktegruppen nicht berücksichtigt, sondern global bei PG690100. Restliche Ausschüttung Gewinnvortrag vor Rückführung per 31.12.2013. Der ab Planjahr 2014 ausgewiesene Überschuss entspricht der Differenz zwischen den gesamtstädtisch eingerechneten Mietkosten sowie den tatsächlichen Kosten der Stadtbauten.</t>
  </si>
  <si>
    <t>Neuregelung Finanzierung KVG-Prämien (Mehrkosten von 16,6 Mio. Franken, Mehrertrag 7,5 Mio Franken Prämienverbilligung; Differenz ist lastenausgleichsberechtigt)</t>
  </si>
  <si>
    <t>Neubeurteilung Teuerung auf Lohnkosten für das
Jahr 2013 0% (statt 0,75%)</t>
  </si>
  <si>
    <t>Aufwandüberschuss / Ertragsüberschuss (-)
IAFP 2013 - 2016</t>
  </si>
  <si>
    <t>Haushaltsverbesserungsmassnahmenpaket Nr. 13
vom Gemeinderat beschlossene Massnahmen:</t>
  </si>
  <si>
    <t>Haushaltsverbesserungsmassnahmenpaket Nr. 13
zu überprüfende Massnahmen:</t>
  </si>
  <si>
    <t>Ausdehnung Parkgebühren auf Wochenende (analog Praxis in vielen Städten)</t>
  </si>
  <si>
    <t>Anpassung Konzessionsvertrag ewb an ortsübliche Ansätze (75% Tiefbauamt, 25% Vermessungsamt)</t>
  </si>
  <si>
    <t>Kostendeckungsgrad Friedhöfe von 51,5% auf 66,66% erhöhen - Massnahmen im Bereich Gebühren/Kostensenkung</t>
  </si>
  <si>
    <t>Einstellung bzw. Finanzierung Prämienvergünstigung BERNMOBIL über Fonds für Kranke, Betagte und Behinderte</t>
  </si>
  <si>
    <t>Übernahme Kosten Stadtbeleuchtung durch ewb bzw. Gebührenzahler</t>
  </si>
  <si>
    <t xml:space="preserve">Einführung Feuerwehrsteuer/ Gebührenanpassung zur Erreichung einer Kostendeckung von 100% </t>
  </si>
  <si>
    <t>Zinsmarge auf Anleihen ewb</t>
  </si>
  <si>
    <t>Aufwandüberschuss / Ertragsüberschuss (-)
nach Massnahmenpaket</t>
  </si>
  <si>
    <t>Lastenertrag steigt im Jahr 2013 um 4,8 Mio. Franken auf 133,7 Mio. Franken, Lastenanteil sinkt um 2,7 Mio. Franken auf 65 Mio. Franken</t>
  </si>
  <si>
    <t>Erhöhung des Gemeindebeitrags EL gemäss Planvorgaben des Kantons um 0,8 Mio. Franken im Jahr 2013 und je 1,3 Mio. Franken 2014 - 2016</t>
  </si>
  <si>
    <t>Haushaltsverbesserungs-
massnahmenpaket Nr. 13</t>
  </si>
  <si>
    <t>Kürzung Globalbudgets 2013</t>
  </si>
  <si>
    <t>Direktionsstabsdienste, Koordinationsstelle Sucht und
Kompetenzzentrum Integration</t>
  </si>
  <si>
    <t>Umsetzung Massnahmen: Leitbild; Strategie Familiennachzug; Informationskonzept</t>
  </si>
  <si>
    <t>Miete Reinigungsstützpunkt Schwarztorstr.71/Mieterhöhung Brunnen</t>
  </si>
  <si>
    <t>Die Bruttoschulden werden in Prozent des</t>
  </si>
  <si>
    <t>Finanzertrages dargestellt. Die Anleihen der</t>
  </si>
  <si>
    <t>Sonderrechnungen/Anstalten wurden eliminiert.</t>
  </si>
  <si>
    <t>PG010000</t>
  </si>
  <si>
    <t>Stadtrat (light)</t>
  </si>
  <si>
    <t>mit den Produkten:</t>
  </si>
  <si>
    <t>P010010</t>
  </si>
  <si>
    <t>Hinweise zur Legislaturplanung</t>
  </si>
  <si>
    <t>Entwicklungstendenzen/Trends (Wirtschaft; Politik/Gesetzgebung; Demografie; Sozio-Kulturelles; Technologie; Umwelt/Ressourcenknappheit), Rahmenbedingungen, Unsicherheiten</t>
  </si>
  <si>
    <t>Beabsichtigte Veränderungen</t>
  </si>
  <si>
    <t>Kundinnen und Kunden, Ansprechpartnerinnen und -partner</t>
  </si>
  <si>
    <t>Budgetplanung (in Franken)</t>
  </si>
  <si>
    <t>Steuerungsvorgaben (max 3)</t>
  </si>
  <si>
    <t>Vorgaben</t>
  </si>
  <si>
    <t>Keine</t>
  </si>
  <si>
    <t>Wichtigste Einzelinvestitionen:</t>
  </si>
  <si>
    <r>
      <t>Aufgabenplanung / Nettokosten gem. Legislaturrichtlinien</t>
    </r>
    <r>
      <rPr>
        <sz val="8"/>
        <rFont val="Arial"/>
        <family val="2"/>
      </rPr>
      <t xml:space="preserve"> (in Franken)</t>
    </r>
  </si>
  <si>
    <t>Aufgabe</t>
  </si>
  <si>
    <t>Ratssekretariat (light)</t>
  </si>
  <si>
    <t>P010110</t>
  </si>
  <si>
    <t>Sitzungsmanagement</t>
  </si>
  <si>
    <t>P010120</t>
  </si>
  <si>
    <t>P020010</t>
  </si>
  <si>
    <t>Ombudstätigkeit</t>
  </si>
  <si>
    <t>P020020</t>
  </si>
  <si>
    <t>Datenschutz</t>
  </si>
  <si>
    <t>Anteil Datenschutz</t>
  </si>
  <si>
    <t>nicht &lt;20%</t>
  </si>
  <si>
    <t>Anteil Ombudstätigkeit</t>
  </si>
  <si>
    <t>nicht &lt;75%</t>
  </si>
  <si>
    <t>Gemeinderat (light)</t>
  </si>
  <si>
    <t>P030010</t>
  </si>
  <si>
    <t>P030020</t>
  </si>
  <si>
    <t>Leistungen für Politik und Verwaltungsführung (light)</t>
  </si>
  <si>
    <t>P040010</t>
  </si>
  <si>
    <t>Beziehungspflege und Repräsentation</t>
  </si>
  <si>
    <t>P040020</t>
  </si>
  <si>
    <t>Administrative Dienstleistungen</t>
  </si>
  <si>
    <t>P040030</t>
  </si>
  <si>
    <t>Rechtliche Dienstleistungen</t>
  </si>
  <si>
    <t>P040040</t>
  </si>
  <si>
    <t>E-Government</t>
  </si>
  <si>
    <t>Dienstleistungen für Dritte (light)</t>
  </si>
  <si>
    <t>P040110</t>
  </si>
  <si>
    <t>Abstimmungen und Wahlen</t>
  </si>
  <si>
    <t>P040210</t>
  </si>
  <si>
    <t>Archivierung</t>
  </si>
  <si>
    <t>P040220</t>
  </si>
  <si>
    <t>Information</t>
  </si>
  <si>
    <t>Jährlich 1 GS einer Direktion in Archivierungsfragen beraten</t>
  </si>
  <si>
    <t>Arbeitsgericht (light)</t>
  </si>
  <si>
    <t>P040310</t>
  </si>
  <si>
    <t>Beratung</t>
  </si>
  <si>
    <t>P040320</t>
  </si>
  <si>
    <t>Klageverfahren</t>
  </si>
  <si>
    <t>Mietamt (light)</t>
  </si>
  <si>
    <t>P040410</t>
  </si>
  <si>
    <t>P040420</t>
  </si>
  <si>
    <t>Schlichtungsverfahren</t>
  </si>
  <si>
    <t>Informationsdienst  (light)</t>
  </si>
  <si>
    <t>Informationsdienst (light)</t>
  </si>
  <si>
    <t>P050010</t>
  </si>
  <si>
    <t>Information (Medienarbeit, Online-Dienst, Corporate Identity/Corporate Design, Beratung &amp; Schulung)</t>
  </si>
  <si>
    <t>P050020</t>
  </si>
  <si>
    <t>Interne Kommunikation (MAZ, Intranet)</t>
  </si>
  <si>
    <t>Finanzinspektorat (light)</t>
  </si>
  <si>
    <t>Revision (light)</t>
  </si>
  <si>
    <t>P060010</t>
  </si>
  <si>
    <t>Revision verrechenbar / Stiftungsaufsicht</t>
  </si>
  <si>
    <t>P060020</t>
  </si>
  <si>
    <t>Revision nicht verrechenbar</t>
  </si>
  <si>
    <t>Direktionsstabsdienste und Gleichstellung</t>
  </si>
  <si>
    <t>P100110</t>
  </si>
  <si>
    <t>Führungsunterstützung</t>
  </si>
  <si>
    <t>P100150</t>
  </si>
  <si>
    <t>Grossanlässe</t>
  </si>
  <si>
    <t>Zentrale Dienste (light)</t>
  </si>
  <si>
    <t>P100210</t>
  </si>
  <si>
    <t>Finanzwesen</t>
  </si>
  <si>
    <t>P100220</t>
  </si>
  <si>
    <t>Personalwesen</t>
  </si>
  <si>
    <t>P100230</t>
  </si>
  <si>
    <t>Informatikkoordination</t>
  </si>
  <si>
    <t>P100240</t>
  </si>
  <si>
    <t>Ausbildungswesen</t>
  </si>
  <si>
    <t>P100310</t>
  </si>
  <si>
    <t>Gleichstellungsprojekte</t>
  </si>
  <si>
    <t>P100320</t>
  </si>
  <si>
    <t>Auskunft und Beratung</t>
  </si>
  <si>
    <t>P100330</t>
  </si>
  <si>
    <t>Öffentlichkeitsarbeit</t>
  </si>
  <si>
    <t>Stundenaufwand Leistungen verw.intern</t>
  </si>
  <si>
    <t>max. 50%</t>
  </si>
  <si>
    <t>Enteignungen, Bausperren (light)</t>
  </si>
  <si>
    <t>P100510</t>
  </si>
  <si>
    <t>Enteignungen, Bausperren usw.</t>
  </si>
  <si>
    <t>P110010</t>
  </si>
  <si>
    <t>Grundlagenarbeit / Dienstleistungen</t>
  </si>
  <si>
    <t>P110020</t>
  </si>
  <si>
    <t>Beiträge direkte Förderung</t>
  </si>
  <si>
    <t>P110030</t>
  </si>
  <si>
    <t>Abgeltung Leistungsverträge</t>
  </si>
  <si>
    <t>Fördern des zeitgenössischen Kulturschaffens sowie des Kulturaustauschs in % der verfügbaren Mittel</t>
  </si>
  <si>
    <t>Bildende Kunst;
Literatur;
Musik;
Theater und Tanz</t>
  </si>
  <si>
    <t>P120010</t>
  </si>
  <si>
    <t>Baugesuche / Restaurierungen</t>
  </si>
  <si>
    <t>P120020</t>
  </si>
  <si>
    <t>Grundlagenarbeit</t>
  </si>
  <si>
    <t>Anzahl gutgeheissene Beschwerden gegen DPF</t>
  </si>
  <si>
    <t xml:space="preserve">Zusätzliche Problemstellungen in der Bauberatung 30 % </t>
  </si>
  <si>
    <t>P130110</t>
  </si>
  <si>
    <t>Projekte Stadtentwicklung</t>
  </si>
  <si>
    <t>P130120</t>
  </si>
  <si>
    <t>Förderung Wohnbautätigkeit</t>
  </si>
  <si>
    <t>P130130</t>
  </si>
  <si>
    <t>Aussenbeziehungen und Politisches Controlling</t>
  </si>
  <si>
    <t>P130210</t>
  </si>
  <si>
    <t>Dienstleistungen Statistik</t>
  </si>
  <si>
    <t>Durchführung der bestellten Erhebungen</t>
  </si>
  <si>
    <t>Aktualisierung Internetauftritt</t>
  </si>
  <si>
    <t>Baurechtliche Bewilligungsverfahren / Voranfragen</t>
  </si>
  <si>
    <t>P150010</t>
  </si>
  <si>
    <t>Baugesuche</t>
  </si>
  <si>
    <t>P150020</t>
  </si>
  <si>
    <t>Plakatreklamegesuche</t>
  </si>
  <si>
    <t>P150040</t>
  </si>
  <si>
    <t>Reklamegesuche</t>
  </si>
  <si>
    <t>P150050</t>
  </si>
  <si>
    <t>Voranfragen</t>
  </si>
  <si>
    <t>Fristeinhaltung Baugesuche</t>
  </si>
  <si>
    <t>P150110</t>
  </si>
  <si>
    <t>Beschwerden</t>
  </si>
  <si>
    <t>P150120</t>
  </si>
  <si>
    <t>Widerrechtliches Bauen / Nutzungskontrolle</t>
  </si>
  <si>
    <t>Erstintervention nach Meldung von widerrechtlichem Bauen innerhalb von 10 Arbeitstagen</t>
  </si>
  <si>
    <t>Erstintervention nach Meldung von widerrechtlicher Umnutzung innerhalb von 60 Kalendertagen</t>
  </si>
  <si>
    <t>Baurechtliche Auskünfte und Stellungnahmen / Archiv</t>
  </si>
  <si>
    <t>P150210</t>
  </si>
  <si>
    <t>Vernehmlassungen / Stellungnahmen</t>
  </si>
  <si>
    <t>P150220</t>
  </si>
  <si>
    <t>Auskünfte / Beratungen bewilligungsfreies Bauen</t>
  </si>
  <si>
    <t>P150230</t>
  </si>
  <si>
    <t>Archiv</t>
  </si>
  <si>
    <t>Kostendeckungsgrad Archiv</t>
  </si>
  <si>
    <t>Stadtplanung (light)</t>
  </si>
  <si>
    <t>P170510</t>
  </si>
  <si>
    <t>Räumliche Stadtentwicklung</t>
  </si>
  <si>
    <t>P170520</t>
  </si>
  <si>
    <t>Nutzungsplanung</t>
  </si>
  <si>
    <t>P170530</t>
  </si>
  <si>
    <t>Öffentlicher Raum</t>
  </si>
  <si>
    <t>P170540</t>
  </si>
  <si>
    <t>Grünraum</t>
  </si>
  <si>
    <t>Direktionsstabsdienste (light)</t>
  </si>
  <si>
    <t>P200110</t>
  </si>
  <si>
    <t>P200140</t>
  </si>
  <si>
    <t>P200130</t>
  </si>
  <si>
    <t>Vorgabe 1</t>
  </si>
  <si>
    <t>Vorgabe 2</t>
  </si>
  <si>
    <t>Vorgabe 3</t>
  </si>
  <si>
    <t>Stabsdienstleistungen (light)</t>
  </si>
  <si>
    <t>P200210</t>
  </si>
  <si>
    <t>P200220</t>
  </si>
  <si>
    <t>Controlling</t>
  </si>
  <si>
    <t>P200230</t>
  </si>
  <si>
    <t>P200240</t>
  </si>
  <si>
    <t>Informatikbetreuung und -koordination</t>
  </si>
  <si>
    <t>P200260</t>
  </si>
  <si>
    <t>Spezialitäten Stabsdienstleistungen</t>
  </si>
  <si>
    <t>P210110</t>
  </si>
  <si>
    <t>Sicherheits- und Verkehrspolizeiliche Leistungen</t>
  </si>
  <si>
    <t>Uniformierte sichtbare Präsenz pro Jahr in Stunden</t>
  </si>
  <si>
    <t>Anzahl geleistete Stunden im Bereich Verkehrsprävention</t>
  </si>
  <si>
    <t>P220110</t>
  </si>
  <si>
    <t>Chemie und Umwelt</t>
  </si>
  <si>
    <t>P220130</t>
  </si>
  <si>
    <t>Lärmschutz</t>
  </si>
  <si>
    <t>P220140</t>
  </si>
  <si>
    <t>Lokale Agenda 21</t>
  </si>
  <si>
    <t>P220150</t>
  </si>
  <si>
    <t>Energie</t>
  </si>
  <si>
    <t xml:space="preserve"> </t>
  </si>
  <si>
    <t>Realisierte Lärmschutzmassnahmen</t>
  </si>
  <si>
    <t>Realisierte Projekte LA 21</t>
  </si>
  <si>
    <t>Mobilitätsberatung (Massnahmen)</t>
  </si>
  <si>
    <t>15 (10)</t>
  </si>
  <si>
    <t>P230110</t>
  </si>
  <si>
    <t>P230140</t>
  </si>
  <si>
    <t>Auskunft und Beratung, Call Center</t>
  </si>
  <si>
    <t>P230160</t>
  </si>
  <si>
    <t>Geschäftsleitung Bernische Ortspolizeivereinigung (BOV)</t>
  </si>
  <si>
    <t>Selbsterledigungsgrad der Geschäfte</t>
  </si>
  <si>
    <t>&gt;98%</t>
  </si>
  <si>
    <t>P230210</t>
  </si>
  <si>
    <t>Waffenbesitz</t>
  </si>
  <si>
    <t>P230220</t>
  </si>
  <si>
    <t>Strafvollzug</t>
  </si>
  <si>
    <t>P230230</t>
  </si>
  <si>
    <t>Bescheinigungen, Gutachten</t>
  </si>
  <si>
    <t>P230240</t>
  </si>
  <si>
    <t>Gemeindestelle wirtschaftliche Landesversorgung</t>
  </si>
  <si>
    <t>P230250</t>
  </si>
  <si>
    <t>Bestattungen</t>
  </si>
  <si>
    <t>P230260</t>
  </si>
  <si>
    <t>Fundsachen und Räumungen</t>
  </si>
  <si>
    <t>P230270</t>
  </si>
  <si>
    <t>Vollzug und Kontrolle</t>
  </si>
  <si>
    <t>P230280</t>
  </si>
  <si>
    <t>Veranstaltungen</t>
  </si>
  <si>
    <t>P230290</t>
  </si>
  <si>
    <t>Verkehrspolizeiliche Bewilligungen</t>
  </si>
  <si>
    <t>Monatliche Kontrollen im öffentlichen Raum</t>
  </si>
  <si>
    <t>20 Stunden</t>
  </si>
  <si>
    <t>Monatliche Kontrollen Betriebe/Veranstaltungen Jugendschutz</t>
  </si>
  <si>
    <t>Gewerbe, Betriebe und Markt</t>
  </si>
  <si>
    <t>P230310</t>
  </si>
  <si>
    <t>Gastgewerbe</t>
  </si>
  <si>
    <t>P230320</t>
  </si>
  <si>
    <t>Transportgewerbe</t>
  </si>
  <si>
    <t>P230330</t>
  </si>
  <si>
    <t>Gewerbebetriebe</t>
  </si>
  <si>
    <t>P230340</t>
  </si>
  <si>
    <t>Markt</t>
  </si>
  <si>
    <t>Monatliche Kontrollen Gastgewerbe</t>
  </si>
  <si>
    <t>Monatliche Kontrollen Taxiwesen</t>
  </si>
  <si>
    <t>Monatliche Kontrollen Preisbekanntgabeverordnung</t>
  </si>
  <si>
    <t>P230410</t>
  </si>
  <si>
    <t>Aufenthaltsregelung von inländischen Personen</t>
  </si>
  <si>
    <t>P230420</t>
  </si>
  <si>
    <t>Aufenthaltsregelung von ausländischen Personen</t>
  </si>
  <si>
    <t>P230440</t>
  </si>
  <si>
    <t>Ausländerrechtliche Massnahmen</t>
  </si>
  <si>
    <t>P230450</t>
  </si>
  <si>
    <t>Regelung von Einbürgerungen</t>
  </si>
  <si>
    <t>Monatliche Kontrollen betreffend illegal anwesend. ausl. Personen</t>
  </si>
  <si>
    <t>Monatliche Information und Prävention im Bereich Cabaret</t>
  </si>
  <si>
    <t>Wöchentliche Intervention AGORA (Bettelei) neu ab 2013</t>
  </si>
  <si>
    <t>P240110</t>
  </si>
  <si>
    <t>Primärtransporte</t>
  </si>
  <si>
    <t>P240120</t>
  </si>
  <si>
    <t>Sekundärtransporte</t>
  </si>
  <si>
    <t>Notfall-Einsatz innert 30 Minuten am Einsatzort</t>
  </si>
  <si>
    <t>P240210</t>
  </si>
  <si>
    <t>Aus- und Weiterbildung für Dritte</t>
  </si>
  <si>
    <t>Kostendeckungsgrad</t>
  </si>
  <si>
    <t>P250110</t>
  </si>
  <si>
    <t>Brandbekämpfung</t>
  </si>
  <si>
    <t>P250120</t>
  </si>
  <si>
    <t>Automatische Alarme</t>
  </si>
  <si>
    <t>P250130</t>
  </si>
  <si>
    <t>Rettungen</t>
  </si>
  <si>
    <t>P250150</t>
  </si>
  <si>
    <t>Öl-/Chemieereignisse</t>
  </si>
  <si>
    <t>P250160</t>
  </si>
  <si>
    <t>Elementarereignisse</t>
  </si>
  <si>
    <t>Ausrückzeit (in Min.)</t>
  </si>
  <si>
    <t>&lt;=2</t>
  </si>
  <si>
    <t xml:space="preserve">Interventionszeit von &lt;= 10 Min. </t>
  </si>
  <si>
    <t>&gt; 70 %</t>
  </si>
  <si>
    <t>P250210</t>
  </si>
  <si>
    <t>P250220</t>
  </si>
  <si>
    <t>Kostendeckungsgrad wenn verrechenbar (%)</t>
  </si>
  <si>
    <t>&gt;55</t>
  </si>
  <si>
    <t>P250310</t>
  </si>
  <si>
    <t>Zivilschutzstelle</t>
  </si>
  <si>
    <t>P250320</t>
  </si>
  <si>
    <t>Ausbildung</t>
  </si>
  <si>
    <t>P250330</t>
  </si>
  <si>
    <t>Planungen, Bereitschaft und Einsatz</t>
  </si>
  <si>
    <t>P250340</t>
  </si>
  <si>
    <t>Katastrophen und Notlagen</t>
  </si>
  <si>
    <t>Die Sollbestände der Zivilschutzorganisation werden eingehalten</t>
  </si>
  <si>
    <t>Teile der Einsatzelemente für die Katastrophen- und Nothilfe</t>
  </si>
  <si>
    <t>können innerhalb 30 Min. aufgeboten werden.</t>
  </si>
  <si>
    <t>P250410</t>
  </si>
  <si>
    <t>Infrastruktur</t>
  </si>
  <si>
    <t>P250420</t>
  </si>
  <si>
    <t>Schiesswesen</t>
  </si>
  <si>
    <t>P250430</t>
  </si>
  <si>
    <t>Durchführung der periodischen Unterhalts- und Wartungsarbeiten sowie Kontrollen gemäss den gesetzlichen Vorgaben</t>
  </si>
  <si>
    <t>Sicherstellung der Betriebsbereitschaft</t>
  </si>
  <si>
    <t>Wirtschaftförderung</t>
  </si>
  <si>
    <t>P260110</t>
  </si>
  <si>
    <t>Standortpromotion</t>
  </si>
  <si>
    <t>P260120</t>
  </si>
  <si>
    <t>Anlaufstelle Wirtschaft</t>
  </si>
  <si>
    <t>P260130</t>
  </si>
  <si>
    <t>Beratung Behörden, Verw., Institutionen</t>
  </si>
  <si>
    <t>P260140</t>
  </si>
  <si>
    <t>Bern Tourismus</t>
  </si>
  <si>
    <t>Kontaktpflege zur Berner Wirtschaft</t>
  </si>
  <si>
    <t>Kontakte zu auswärtigen Unternehmungen</t>
  </si>
  <si>
    <t>P270110</t>
  </si>
  <si>
    <t>Zoo</t>
  </si>
  <si>
    <t>P270120</t>
  </si>
  <si>
    <t>Zoopädagogik</t>
  </si>
  <si>
    <t>P270130</t>
  </si>
  <si>
    <t>Wissenschaft</t>
  </si>
  <si>
    <t>P270140</t>
  </si>
  <si>
    <t>Erhaltung bedrohter Tierarten</t>
  </si>
  <si>
    <t>P270150</t>
  </si>
  <si>
    <t>Bärenpark</t>
  </si>
  <si>
    <t>Besuchendenzahlen im eintrittspflichtigen Teil des TP</t>
  </si>
  <si>
    <t>P280110</t>
  </si>
  <si>
    <t>Vorbereitung und Vollzug von Geschäften</t>
  </si>
  <si>
    <t>P280120</t>
  </si>
  <si>
    <t>Vertretung der Erw. u. Kindesschutzkomm.</t>
  </si>
  <si>
    <t>P280130</t>
  </si>
  <si>
    <t>Finanzen</t>
  </si>
  <si>
    <t>P280140</t>
  </si>
  <si>
    <t>Vaterschafts- und Unterhaltsregelungen</t>
  </si>
  <si>
    <t>Inventarisierung des Vermögens innerhalb eines Monats</t>
  </si>
  <si>
    <t>P280210</t>
  </si>
  <si>
    <t>Abklärung von Gefährdungsmeldungen</t>
  </si>
  <si>
    <t>P280230</t>
  </si>
  <si>
    <t>Betreuung privater Mandatsträger-/innen</t>
  </si>
  <si>
    <t>P280240</t>
  </si>
  <si>
    <t>Führung vormundschaftlicher Mandate</t>
  </si>
  <si>
    <t>Gefährdungsmeldungen in 2 Monaten abgeklärt</t>
  </si>
  <si>
    <t>P280310</t>
  </si>
  <si>
    <t>Testamente</t>
  </si>
  <si>
    <t>P280320</t>
  </si>
  <si>
    <t>Siegelungen</t>
  </si>
  <si>
    <t>P280330</t>
  </si>
  <si>
    <t>Erbrecht</t>
  </si>
  <si>
    <t>Eröffnung Testament innerhalb eines Monats</t>
  </si>
  <si>
    <t>Siegelung innert zwei Wochen</t>
  </si>
  <si>
    <t>P290120</t>
  </si>
  <si>
    <t>Gewinnablieferung</t>
  </si>
  <si>
    <t>Direktionsstabsdienste, Koordinationsstelle Sucht und Kompetenzzentrum Integration</t>
  </si>
  <si>
    <t>P300110</t>
  </si>
  <si>
    <t>Keine (light)</t>
  </si>
  <si>
    <t>P300210</t>
  </si>
  <si>
    <t>Schadenverminderung / Überlebenshilfe</t>
  </si>
  <si>
    <t>P300220</t>
  </si>
  <si>
    <t>Therapie</t>
  </si>
  <si>
    <t>P300230</t>
  </si>
  <si>
    <t>Prävention</t>
  </si>
  <si>
    <t>P300240</t>
  </si>
  <si>
    <t>Dienstleistung/Koordination</t>
  </si>
  <si>
    <t>Anzahl Sitzungen Koordinationsgremien Suchtpolitik</t>
  </si>
  <si>
    <t>mind. 12</t>
  </si>
  <si>
    <t xml:space="preserve">Anzahl Veranstaltungen für Nachbarschaft der Kontakt- </t>
  </si>
  <si>
    <t>mind. 1</t>
  </si>
  <si>
    <t>und Anlaufstelle für Drogenabhängige (pro Standort)</t>
  </si>
  <si>
    <t>Durchführung Suchtforum</t>
  </si>
  <si>
    <t>ja</t>
  </si>
  <si>
    <t>P300310</t>
  </si>
  <si>
    <t>P300315</t>
  </si>
  <si>
    <t>Lastenausgleich Sozialhilfe</t>
  </si>
  <si>
    <t>P300320</t>
  </si>
  <si>
    <t>P300330</t>
  </si>
  <si>
    <t>P300350</t>
  </si>
  <si>
    <t>P300410</t>
  </si>
  <si>
    <t>Koordination und Zusammenarbeit mit Behörden und Migrationsbevölkerung</t>
  </si>
  <si>
    <t>P300420</t>
  </si>
  <si>
    <t>Beratung und Information</t>
  </si>
  <si>
    <t>P300430</t>
  </si>
  <si>
    <t>Leistungen für Asylsuchende der Stadt Bern, 2. Unterbringungsphase</t>
  </si>
  <si>
    <t>Anzahl verwaltungsinterner Infoveranstaltungen und Kurse</t>
  </si>
  <si>
    <t>Anzahl verwaltungsexterner Infoveranstaltungen und Kurse</t>
  </si>
  <si>
    <t>Anzahl neuer Partizipationsprojekte</t>
  </si>
  <si>
    <t>P310110</t>
  </si>
  <si>
    <t>Obdachlosenhilfe</t>
  </si>
  <si>
    <t>Auslastungsgrad aller Hilfestellungen</t>
  </si>
  <si>
    <t>Die Sollwerte der Steuerungsvorgaben sind</t>
  </si>
  <si>
    <t>Gegenstand der Verhandlungen mit den</t>
  </si>
  <si>
    <t>Institutionen und zum heutigen Zeitpunkt</t>
  </si>
  <si>
    <t>noch nicht definiert.</t>
  </si>
  <si>
    <t>Inkassoführung im Bereich der Sozialhilfe sowie Bevorschussung von Unterhaltsbeiträgen für Kinder</t>
  </si>
  <si>
    <t>P310310</t>
  </si>
  <si>
    <t>Bevorschussung von Unterhaltsbeiträgen</t>
  </si>
  <si>
    <t>P310320</t>
  </si>
  <si>
    <t>Inkassi aufgrund Sozialhilfegesetz (SHG)</t>
  </si>
  <si>
    <t>P310330</t>
  </si>
  <si>
    <t>Unterhaltsbeiträge, welche aufgrund GIB einkassiert werden</t>
  </si>
  <si>
    <t>Inkassoquote Alimentenbevorschussung</t>
  </si>
  <si>
    <t>Anteil Einnahmen aus den Inkassi im Rahmen des Sozial-</t>
  </si>
  <si>
    <t>&gt; 5 %</t>
  </si>
  <si>
    <t>hilfegesetzes (SHG) an den Unterstützungsaufwändungen</t>
  </si>
  <si>
    <t xml:space="preserve">Verwaltungsaufwand in % Einnahmen aus Inkassohilfe </t>
  </si>
  <si>
    <t>&lt; 30 %</t>
  </si>
  <si>
    <t>und Bevorschussung von Unterhaltsbeiträgen (GIB)</t>
  </si>
  <si>
    <t>P310420</t>
  </si>
  <si>
    <t>Beratung, Betreuung und Unterstützung von bedürftigen Personen</t>
  </si>
  <si>
    <t>Abschlüsse im Verhältnis zum Total Dossiers</t>
  </si>
  <si>
    <t>Anteil zugewiesener Personen an Integrationsangebote</t>
  </si>
  <si>
    <t>Durchschnittliche Bezugsdauer der laufenden Fälle per 31.12.</t>
  </si>
  <si>
    <t>36 Monate</t>
  </si>
  <si>
    <t>Massnahmen zur beruflichen und sozialen Integration</t>
  </si>
  <si>
    <t>P310640</t>
  </si>
  <si>
    <t>Abklärung und Qualifizierung junge Erwachsene</t>
  </si>
  <si>
    <t>P310650</t>
  </si>
  <si>
    <t>Abklärung und Qualifizierung Erwachsene</t>
  </si>
  <si>
    <t>P310660</t>
  </si>
  <si>
    <t>Abklärung und Arbeitsvermittlung</t>
  </si>
  <si>
    <t>Anschlusslösungen im Verhältnis zu beendeter Massnahme (P640)</t>
  </si>
  <si>
    <t xml:space="preserve">Anschlusslösungen (Stellenantritte) im Verhältnis zu Anzahl Teil-nehmenden (P650)  </t>
  </si>
  <si>
    <t>Anzahl Jahresplätze total (P660)</t>
  </si>
  <si>
    <t>mind. 240</t>
  </si>
  <si>
    <t>Velostation neue Schanzenpost</t>
  </si>
  <si>
    <t>P320110</t>
  </si>
  <si>
    <t>Betrieb und Organisation</t>
  </si>
  <si>
    <t>P320120</t>
  </si>
  <si>
    <t>Besondere Angebote für Integration und Chancengleichheit</t>
  </si>
  <si>
    <t>P320130</t>
  </si>
  <si>
    <t>Kulturvermittlung und                 -pädagogik</t>
  </si>
  <si>
    <t>P320140</t>
  </si>
  <si>
    <t>Information und Bildungsqualität</t>
  </si>
  <si>
    <t>P320160</t>
  </si>
  <si>
    <t>Sonderschulen</t>
  </si>
  <si>
    <t>Anzahl Angebote Deutsch im Vorkindergartenalter</t>
  </si>
  <si>
    <t>Betriebskosten pro Schülerin und Schüler</t>
  </si>
  <si>
    <t>Kostendeckungsgrad Sonderschulen</t>
  </si>
  <si>
    <t>Laubeggstrasse 23, befristete Miete als Schulhaus (Gemeinderatsbeschluss vom 23.08.2011)</t>
  </si>
  <si>
    <t>P320210</t>
  </si>
  <si>
    <t>Tagesschulen</t>
  </si>
  <si>
    <t>P320220</t>
  </si>
  <si>
    <t>Aufgabenhilfe</t>
  </si>
  <si>
    <t>P320230</t>
  </si>
  <si>
    <t>Verein Ferienlager</t>
  </si>
  <si>
    <t>P320240</t>
  </si>
  <si>
    <t>Ferieninseln</t>
  </si>
  <si>
    <t>Anteil pädag. ausgebildetes Personal an Tagesschulen</t>
  </si>
  <si>
    <t>mind. 50%</t>
  </si>
  <si>
    <t>Anzahl Kinder pro Betreuungsperson an Tagesschulen</t>
  </si>
  <si>
    <t>Ferieninseln: Anzahl Ferienwochen pro Jahr</t>
  </si>
  <si>
    <t>Bildungsnahe Institutionen (light)</t>
  </si>
  <si>
    <t>P320310</t>
  </si>
  <si>
    <t>Bibliotheken</t>
  </si>
  <si>
    <t>P320320</t>
  </si>
  <si>
    <t>Musikschulen</t>
  </si>
  <si>
    <t>P320330</t>
  </si>
  <si>
    <t>Ludotheken</t>
  </si>
  <si>
    <t>P320340</t>
  </si>
  <si>
    <t>Gfeller-Fonds</t>
  </si>
  <si>
    <t>P320350</t>
  </si>
  <si>
    <t>Volkshochschule</t>
  </si>
  <si>
    <t>Kinder- und Jugendförderung, Gemeinwesenarbeit</t>
  </si>
  <si>
    <t>P330110</t>
  </si>
  <si>
    <t>Ferien- und Freizeitprojekte</t>
  </si>
  <si>
    <t>P330120</t>
  </si>
  <si>
    <t>Offene Arbeit mit Kindern</t>
  </si>
  <si>
    <t>P330130</t>
  </si>
  <si>
    <t>info Jugendamt</t>
  </si>
  <si>
    <t>P330140</t>
  </si>
  <si>
    <t>Offene Jugendarbeit</t>
  </si>
  <si>
    <t>P330150</t>
  </si>
  <si>
    <t>Mitwirkung von Kindern und Jugendlichen</t>
  </si>
  <si>
    <t>P330160</t>
  </si>
  <si>
    <t>Gemeinwesenarbeit und Fachstellen</t>
  </si>
  <si>
    <t>Angebotene Plätze Fäger</t>
  </si>
  <si>
    <t>Kontaktstunden in der offenen Arbeit mit Kindern</t>
  </si>
  <si>
    <t>Kontaktstunden in der offenen Arbeit mit Jugendlichen</t>
  </si>
  <si>
    <t>P330210</t>
  </si>
  <si>
    <t>Kindesschutz</t>
  </si>
  <si>
    <t>P330220</t>
  </si>
  <si>
    <t>Präventive Sozialarbeit</t>
  </si>
  <si>
    <t>P330240</t>
  </si>
  <si>
    <t>Vermittlung, Bewilligung und Aufsicht von Familienpflegeplätzen</t>
  </si>
  <si>
    <t>P330250</t>
  </si>
  <si>
    <t>Gutachten</t>
  </si>
  <si>
    <t>P330260</t>
  </si>
  <si>
    <t>PINTO</t>
  </si>
  <si>
    <t>Unabgeklärte Gefährdungsmeldungen</t>
  </si>
  <si>
    <t>Einhaltung der Abklärungs- und Interventionszeit</t>
  </si>
  <si>
    <t>Kompetenzzentrum Jugend und Familie Schlossmatt</t>
  </si>
  <si>
    <t>P330310</t>
  </si>
  <si>
    <t>Stationäre Aufenthalte von Kindern und Jugendlichen mittel- und längerfristig</t>
  </si>
  <si>
    <t>P330320</t>
  </si>
  <si>
    <t>Stationäre Notaufnahme für Kinder und Jugendliche</t>
  </si>
  <si>
    <t>P330330</t>
  </si>
  <si>
    <t>Stationäre Aufenthalte von schwangeren Frauen und Müttern mit Kleinkindern</t>
  </si>
  <si>
    <t>P330340</t>
  </si>
  <si>
    <t>Tagesstruktur</t>
  </si>
  <si>
    <t>P330350</t>
  </si>
  <si>
    <t>Familienbegleitung</t>
  </si>
  <si>
    <t>Anzahl Plätze</t>
  </si>
  <si>
    <t>Auslastungsgrad</t>
  </si>
  <si>
    <t>&gt;85.0%</t>
  </si>
  <si>
    <t>Zufriedenheit der zuweisenden Stellen</t>
  </si>
  <si>
    <t>&gt;90.0%</t>
  </si>
  <si>
    <t>P330410</t>
  </si>
  <si>
    <t>Betreuung von Kindern und Jugendlichen in Tagesstätten</t>
  </si>
  <si>
    <t>P330440</t>
  </si>
  <si>
    <t>Tagesbetreuung von Kindern bei Tageseltern</t>
  </si>
  <si>
    <t>fällt weg</t>
  </si>
  <si>
    <t>&gt;95.0%</t>
  </si>
  <si>
    <t>Zufriedenheit der Kundinnen und Kunden</t>
  </si>
  <si>
    <t>P350110</t>
  </si>
  <si>
    <t>Sozialversicherungsbeiträge</t>
  </si>
  <si>
    <t>P350120</t>
  </si>
  <si>
    <t>Kinderzulagen und Erwerbsersatz</t>
  </si>
  <si>
    <t>P350130</t>
  </si>
  <si>
    <t>Ergänzungsleistungen und Zuschüsse</t>
  </si>
  <si>
    <t>P350140</t>
  </si>
  <si>
    <t>Gemeindebeiträge Ergänzungsleistungen und Kinderzulagen Nichterwerbstätige</t>
  </si>
  <si>
    <t>P350150</t>
  </si>
  <si>
    <t>Zuschüsse nach Dekret</t>
  </si>
  <si>
    <t>Bearbeit.-dauer (Nicht-) und Selbständigerwerbende &lt; 4 Wochen</t>
  </si>
  <si>
    <t>Bearbeitungsdauer Anträge EL &lt; 4 Wochen</t>
  </si>
  <si>
    <t>Bearbeitungsdauer Anträge EL &lt; 12 Wochen</t>
  </si>
  <si>
    <t>P350220</t>
  </si>
  <si>
    <t>Durch Dritte geführte Heime</t>
  </si>
  <si>
    <t>P350230</t>
  </si>
  <si>
    <t>Wohnheime</t>
  </si>
  <si>
    <t>P350250</t>
  </si>
  <si>
    <t>Tagesheime</t>
  </si>
  <si>
    <t>P350260</t>
  </si>
  <si>
    <t>Ferienbetten</t>
  </si>
  <si>
    <t>P350270</t>
  </si>
  <si>
    <t>Koordinationsstelle</t>
  </si>
  <si>
    <t>Beabsichtige Veränderungen</t>
  </si>
  <si>
    <t>Anzahl Plätze in städtischem Alters- und Pflegeheim</t>
  </si>
  <si>
    <t>entfällt</t>
  </si>
  <si>
    <t>Zufriedenheit mit Pflege und Betreuung alle 4 Jahre</t>
  </si>
  <si>
    <t>Zufriedenheit mit Verpflegung alle 4 Jahre</t>
  </si>
  <si>
    <t>P350310</t>
  </si>
  <si>
    <t>Offener Mittagstisch</t>
  </si>
  <si>
    <t>P350320</t>
  </si>
  <si>
    <t>Ambulante pflegerische Leistungen</t>
  </si>
  <si>
    <t>P350330</t>
  </si>
  <si>
    <t>Hauswirtschaftliche Leistungen</t>
  </si>
  <si>
    <t>Verrechenbare Std in % der Arbeits-Std des Pflegepersonals</t>
  </si>
  <si>
    <t>Verrechenb. Std in % der Arbeits-Std des Hausw.-personals</t>
  </si>
  <si>
    <t>Durchführung Kundenbefragungen Pflege und Hauswirtschaft</t>
  </si>
  <si>
    <t>P350410</t>
  </si>
  <si>
    <t>Einsatzmöglichkeiten für Freiwillige</t>
  </si>
  <si>
    <t>P350425</t>
  </si>
  <si>
    <t>Präventive Hausbesuche</t>
  </si>
  <si>
    <t>P350440</t>
  </si>
  <si>
    <t>Lieferung von Mahlzeiten</t>
  </si>
  <si>
    <t>P350490</t>
  </si>
  <si>
    <t>Integrationsmassnahmen</t>
  </si>
  <si>
    <t>Durchführung von Kundenbefragungen</t>
  </si>
  <si>
    <t>Zufriedenheit der Freiwilligen mit der Begleitung der Pro Senectute</t>
  </si>
  <si>
    <t>Zufriedenheit der Kundschaft mit der Freiwilligenbegleitung</t>
  </si>
  <si>
    <t>P350510</t>
  </si>
  <si>
    <t>Städtisches Alters- und Pflegeheim</t>
  </si>
  <si>
    <t>P350520</t>
  </si>
  <si>
    <t>Altersfreundlicher Lebensraum</t>
  </si>
  <si>
    <t>P350530</t>
  </si>
  <si>
    <t>Information und Integration</t>
  </si>
  <si>
    <t>Anzahl Plätze im städtischen Alters- und Pflegeheim</t>
  </si>
  <si>
    <t xml:space="preserve">Anzahl durchgeführte Informationsveranstaltungen in der Stadt Bern </t>
  </si>
  <si>
    <t>mind. 4</t>
  </si>
  <si>
    <t>Zufriedenheit mit der Ausgestaltung des öffentlichen Raums (Befragung alle 3 Jahre)</t>
  </si>
  <si>
    <t>P360110</t>
  </si>
  <si>
    <t>Prophylaxeunterricht</t>
  </si>
  <si>
    <t>P360120</t>
  </si>
  <si>
    <t>Koordination Schulzahnpflege</t>
  </si>
  <si>
    <t>P360130</t>
  </si>
  <si>
    <t>Behandlungsbeiträge</t>
  </si>
  <si>
    <t>Anteil Kinder an obligatorischer Schuluntersuchung</t>
  </si>
  <si>
    <t>mind. 90%</t>
  </si>
  <si>
    <t xml:space="preserve">Anteil Kindergartenklassen mit Prophylaxeunterricht </t>
  </si>
  <si>
    <t xml:space="preserve">Anteil Schulklassen mit Prophylaxeunterricht </t>
  </si>
  <si>
    <t>P360210</t>
  </si>
  <si>
    <t>Behandlung Kinder und Jugendlicher</t>
  </si>
  <si>
    <t>P360215</t>
  </si>
  <si>
    <t>Behandlung Erwachsener</t>
  </si>
  <si>
    <t>P360220</t>
  </si>
  <si>
    <t>Leistungen für die Schulzahnpflege</t>
  </si>
  <si>
    <t>P360230</t>
  </si>
  <si>
    <t>Schulzahnklinik-Anteil an gesamter Schuluntersuchung</t>
  </si>
  <si>
    <t>Senkung der Sonderabfallmenge</t>
  </si>
  <si>
    <t>377 kg/Jahr</t>
  </si>
  <si>
    <t>P370110</t>
  </si>
  <si>
    <t>Schulärztliche Dienstleistungen</t>
  </si>
  <si>
    <t>P370140</t>
  </si>
  <si>
    <t>Schulsozialarbeit</t>
  </si>
  <si>
    <t>P370150</t>
  </si>
  <si>
    <t>Psychosoziale Vorsorge</t>
  </si>
  <si>
    <t xml:space="preserve">GSD-Anteil an Klassenuntersuchungen </t>
  </si>
  <si>
    <t>Anzahl Stellen% Schulsozialarbeit  pro 1'000 SchülerInnen</t>
  </si>
  <si>
    <t>Anteil verbesserte Wohnkompetenz</t>
  </si>
  <si>
    <t>P370210</t>
  </si>
  <si>
    <t>Auskünfte und Informations- veranstaltungen</t>
  </si>
  <si>
    <t>P370220</t>
  </si>
  <si>
    <t>Gesundheitsgrundlagen</t>
  </si>
  <si>
    <t>P370230</t>
  </si>
  <si>
    <t>Fachliche Unterstützung Gremien Gesundheitswesen</t>
  </si>
  <si>
    <t>Anzahl Informationsveranstaltungen</t>
  </si>
  <si>
    <t>Anzahl Grundlagen zu Gesundheitsthemen</t>
  </si>
  <si>
    <t>P370320</t>
  </si>
  <si>
    <t>Gesundheitsförderung in der Schule</t>
  </si>
  <si>
    <t>P370340</t>
  </si>
  <si>
    <t>Gesundheitsförderung Familie und Quartier, Frühförderung</t>
  </si>
  <si>
    <t>P370330</t>
  </si>
  <si>
    <t>Gesundheitsförderung in der Lebenswelt Erwachsener</t>
  </si>
  <si>
    <t>Gesundheitsteams (erreichte Schulkreise in %)</t>
  </si>
  <si>
    <t>Projekt DSWD (Anzahl bediente Oberstufengruppen)</t>
  </si>
  <si>
    <t>Anzahl Suchtpräventive Angebote für Schulklassen und Eltern</t>
  </si>
  <si>
    <t>Überführung von primano in ein Regelangebot (Beantwortung der Motion SP: Gemeinderatsbeschluss vom 9. November 2011)</t>
  </si>
  <si>
    <t>P380110</t>
  </si>
  <si>
    <t>Freibäder</t>
  </si>
  <si>
    <t>P380120</t>
  </si>
  <si>
    <t>Hallenbäder</t>
  </si>
  <si>
    <t>P380130</t>
  </si>
  <si>
    <t>Kunsteisbahnen</t>
  </si>
  <si>
    <t>Permanente prof. Überwachung der Wasserbecken (in %)</t>
  </si>
  <si>
    <t>Saisondauer (Betriebswochen)</t>
  </si>
  <si>
    <t>mind. 47</t>
  </si>
  <si>
    <t>Anzahl Betriebe</t>
  </si>
  <si>
    <t xml:space="preserve">Hallenbäder </t>
  </si>
  <si>
    <t>P380210</t>
  </si>
  <si>
    <t>Bereitstellung von Turn- / Sportanlagen</t>
  </si>
  <si>
    <t>P380220</t>
  </si>
  <si>
    <t>Sportförderung und -beratung</t>
  </si>
  <si>
    <t>Anzahl Rasenspielfelder inkl. Kunstrasenfelder</t>
  </si>
  <si>
    <t>Anzahl Turnhallen</t>
  </si>
  <si>
    <t>Anzahl Sportkurse</t>
  </si>
  <si>
    <t>P500110</t>
  </si>
  <si>
    <t>P500410</t>
  </si>
  <si>
    <t>P500420</t>
  </si>
  <si>
    <t>P500430</t>
  </si>
  <si>
    <t>P500440</t>
  </si>
  <si>
    <t>Konzepte/Koordination öffentlicher Verkehr (light)</t>
  </si>
  <si>
    <t>P500510</t>
  </si>
  <si>
    <t>Konzepte/Koordination öff. Verkehr</t>
  </si>
  <si>
    <t>P500520</t>
  </si>
  <si>
    <t>Beitrag der Stadt an den öff. Verkehr</t>
  </si>
  <si>
    <t>P510110</t>
  </si>
  <si>
    <t>Gesamtwerterhaltungs- planung Infrastruktur</t>
  </si>
  <si>
    <t>P510130</t>
  </si>
  <si>
    <t>Koordination im öffentlichen Raum</t>
  </si>
  <si>
    <t>Vorgabe 1: Bedarf an Werterhaltungsmassnahmen in Fr. geschätzt                                                                                                     - in MIP vorgesehene Mittel</t>
  </si>
  <si>
    <t>33 Mio. Fr.        20.3 Mio. Fr.</t>
  </si>
  <si>
    <t>33 Mio. Fr.        19.1 Mio. Fr.</t>
  </si>
  <si>
    <t>Vorgabe 2: Bedarf an Neubaumassnahmen in Fr. geschätzt                                                                                                     - in MIP vorgesehene Mittel</t>
  </si>
  <si>
    <t>9.1 Mio. Fr.         9.1 Mio. Fr.</t>
  </si>
  <si>
    <t>12.1 Mio. Fr.    12.1 Mio. Fr.</t>
  </si>
  <si>
    <t>Vorgabe 3: Umsetzungsgrad des Realisierungsprogramms</t>
  </si>
  <si>
    <t>P510210</t>
  </si>
  <si>
    <t>Realisierung Verkehrsflächen</t>
  </si>
  <si>
    <t>P510220</t>
  </si>
  <si>
    <t>Realisierung Kunstbauten</t>
  </si>
  <si>
    <t>P510230</t>
  </si>
  <si>
    <t>Realisierung Wasserbau</t>
  </si>
  <si>
    <t>P510240</t>
  </si>
  <si>
    <t>Realisierung Verkehrsmanagement</t>
  </si>
  <si>
    <t>Vorgabe 1: Verhältnis Kosten Projektierung / verbaute Summe Investitionsbudget</t>
  </si>
  <si>
    <t>20% / 80%</t>
  </si>
  <si>
    <t>Vorgabe 2: Verbaute Investitionssumme / Investitionsbudget</t>
  </si>
  <si>
    <t>P510310</t>
  </si>
  <si>
    <t>Betrieb und Unterhalt Strassen, Ufer- und Wanderwege</t>
  </si>
  <si>
    <t>P510320</t>
  </si>
  <si>
    <t>Betrieb / Unterhalt Kunstbauten</t>
  </si>
  <si>
    <t>P510330</t>
  </si>
  <si>
    <t>P510340</t>
  </si>
  <si>
    <t>Brunnen, Wartehallen, WC</t>
  </si>
  <si>
    <t>Vorgabe 2: durchschn. Kosten pro 1x1 m2 Reinigung</t>
  </si>
  <si>
    <t>Vorgabe 5: Betrieblicher Unterhalt in % zum Wiederbeschaffungswert</t>
  </si>
  <si>
    <t>Vorgabe 6: Unterhalt Verkehrsflächen bezüglich betrieblichem Unterhalt</t>
  </si>
  <si>
    <t>Bewilligung / Bewirtschaftung (light)</t>
  </si>
  <si>
    <t>P510410</t>
  </si>
  <si>
    <t>Bewirtschaftung des öffentlichen Bodens</t>
  </si>
  <si>
    <t>P510420</t>
  </si>
  <si>
    <t>Fachliche Stellungnahmen und Auskünfte</t>
  </si>
  <si>
    <t>P510510</t>
  </si>
  <si>
    <t>Stromverbrauch kWh</t>
  </si>
  <si>
    <t>max. 8'800'000</t>
  </si>
  <si>
    <t>P520110</t>
  </si>
  <si>
    <t>Natur und Ökologie</t>
  </si>
  <si>
    <t>P520120</t>
  </si>
  <si>
    <t>Realisierung Anlagen</t>
  </si>
  <si>
    <t>P520130</t>
  </si>
  <si>
    <t>Baumschutz</t>
  </si>
  <si>
    <t>P520140</t>
  </si>
  <si>
    <t>Bauherrenleistung</t>
  </si>
  <si>
    <t>2) Grünanlagen Sanierungen</t>
  </si>
  <si>
    <t>3) Spielplätze Sanierungen</t>
  </si>
  <si>
    <t>4) Strassenbäume Neupflanzungen</t>
  </si>
  <si>
    <t>P520210</t>
  </si>
  <si>
    <t>Parkanlagen</t>
  </si>
  <si>
    <t>P520220</t>
  </si>
  <si>
    <t>Schul-, Sport- und Badeanlagen</t>
  </si>
  <si>
    <t>P520230</t>
  </si>
  <si>
    <t>Grün öffentliche Bauten</t>
  </si>
  <si>
    <t>P520240</t>
  </si>
  <si>
    <t>Verkehrsgrün / Alleen</t>
  </si>
  <si>
    <t>P520250</t>
  </si>
  <si>
    <t>Landschaft</t>
  </si>
  <si>
    <t>P520260</t>
  </si>
  <si>
    <t>Familiengärten</t>
  </si>
  <si>
    <t>2) Durchschnittliche Kosten pro Grünart in Franken   Parkgrün</t>
  </si>
  <si>
    <t xml:space="preserve">                                                                                   Verkehrsgrün</t>
  </si>
  <si>
    <t xml:space="preserve">                                                                                   Landsch.grün</t>
  </si>
  <si>
    <t>P520310</t>
  </si>
  <si>
    <t>Bern in Blumen</t>
  </si>
  <si>
    <t>P520320</t>
  </si>
  <si>
    <t>Förderung Grünkompetenz</t>
  </si>
  <si>
    <t>P520330</t>
  </si>
  <si>
    <t>Support und Service</t>
  </si>
  <si>
    <t>1) Strassenblumenschalen: Anzahl</t>
  </si>
  <si>
    <t>2) Pflanzenschauhaus: Anzahl Besuchende</t>
  </si>
  <si>
    <t xml:space="preserve">                                      Kosten/Besuchende in Fr.</t>
  </si>
  <si>
    <t>P521110</t>
  </si>
  <si>
    <t>Bestattungen / Beisetzungen</t>
  </si>
  <si>
    <t>P521120</t>
  </si>
  <si>
    <t>Friedhof- und Grabanlagen</t>
  </si>
  <si>
    <t>P521140</t>
  </si>
  <si>
    <t>2) durchschnittl. Kosten pro Beisetzung einer Urne</t>
  </si>
  <si>
    <t>3) durchschnittl. Kosten pro Sargbestattung</t>
  </si>
  <si>
    <t>P570110</t>
  </si>
  <si>
    <t>Vermessung</t>
  </si>
  <si>
    <t>P570120</t>
  </si>
  <si>
    <t>GKB (GIS-Kompetenzzentrum-Bern)</t>
  </si>
  <si>
    <t>P570130</t>
  </si>
  <si>
    <t>Geoinformation</t>
  </si>
  <si>
    <t>Vorgabe 1: Verhältnis Stunden, Aufträge nach Gesetz und Organisationsverordnung / Zusatzleistungen</t>
  </si>
  <si>
    <t>97% / 3%</t>
  </si>
  <si>
    <t>Vorgabe 2: Kostendeckungsgrad Produktegruppe</t>
  </si>
  <si>
    <t>76%</t>
  </si>
  <si>
    <t>71%</t>
  </si>
  <si>
    <t>72%</t>
  </si>
  <si>
    <t>P580110</t>
  </si>
  <si>
    <t>Verkehrskonzepte</t>
  </si>
  <si>
    <t>P580120</t>
  </si>
  <si>
    <t>Vorprojekte Verkehrsanlagen (Bau und Betrieb)</t>
  </si>
  <si>
    <t>P580130</t>
  </si>
  <si>
    <t>Beeinflussung Verkehrsverhalten</t>
  </si>
  <si>
    <t>P580140</t>
  </si>
  <si>
    <t>Förderung Fuss- und Veloverkehr</t>
  </si>
  <si>
    <t>1) Verkehrsaufkommen MIV</t>
  </si>
  <si>
    <t>&lt; Vorjahr</t>
  </si>
  <si>
    <t>= Vorjahr</t>
  </si>
  <si>
    <t>2) Veloverkehrsaufkommen</t>
  </si>
  <si>
    <t>&gt; Vorjahr</t>
  </si>
  <si>
    <t>Direktionsstabsdienste / Fachstelle Beschaffungswesen</t>
  </si>
  <si>
    <t>P600110</t>
  </si>
  <si>
    <t>Fachstelle Beschaffungswesen</t>
  </si>
  <si>
    <t>P600310</t>
  </si>
  <si>
    <t>Dienstleistungen Stadtintern</t>
  </si>
  <si>
    <t>P600320</t>
  </si>
  <si>
    <t>Dienstleistungen Extern</t>
  </si>
  <si>
    <t>Kostendeckungsgrad externe Dienstleistungen (P320)</t>
  </si>
  <si>
    <t>Finanzdienstleistungen Stadtverwaltung (light)</t>
  </si>
  <si>
    <t>P610110</t>
  </si>
  <si>
    <t>Finanzhaushalt</t>
  </si>
  <si>
    <t>P610120</t>
  </si>
  <si>
    <t>Leistungen für Behörden</t>
  </si>
  <si>
    <t>P610130</t>
  </si>
  <si>
    <t>Leistungen für Verwaltung</t>
  </si>
  <si>
    <t>P610140</t>
  </si>
  <si>
    <t>Versicherungswesen</t>
  </si>
  <si>
    <t>P610150</t>
  </si>
  <si>
    <t>Finanzwesen FPI</t>
  </si>
  <si>
    <t>Vermögens- und Schuldenbewirtschaftung (light)</t>
  </si>
  <si>
    <t>P610210</t>
  </si>
  <si>
    <t>Dienstleistungen Vermögens-/Schuldenbewirtschaftung</t>
  </si>
  <si>
    <t>P610220</t>
  </si>
  <si>
    <t>P610410</t>
  </si>
  <si>
    <t>Beitragswesen</t>
  </si>
  <si>
    <t>P610420</t>
  </si>
  <si>
    <t>P610430</t>
  </si>
  <si>
    <t>Finanz- und Lastenausgleich</t>
  </si>
  <si>
    <t>P610440</t>
  </si>
  <si>
    <t>Abschreibungen auf Bilanzfehlbetrag</t>
  </si>
  <si>
    <t>Liegenschaftsverwaltung</t>
  </si>
  <si>
    <t>Liegenschaften im öffentlichen Interesse (light)</t>
  </si>
  <si>
    <t>P620110</t>
  </si>
  <si>
    <t>P621110</t>
  </si>
  <si>
    <t>Kostendeckungsgrad &gt;= 100%</t>
  </si>
  <si>
    <t>P630110</t>
  </si>
  <si>
    <t>Steuerregister und Veranlagung</t>
  </si>
  <si>
    <t>Erfassungsgrad Steuererklärungen</t>
  </si>
  <si>
    <t>Steuerinkasso (light)</t>
  </si>
  <si>
    <t>P630210</t>
  </si>
  <si>
    <t>P630220</t>
  </si>
  <si>
    <t>Quellensteuerbezug</t>
  </si>
  <si>
    <t>P630230</t>
  </si>
  <si>
    <t>Steuererlass</t>
  </si>
  <si>
    <t>Erhebung besondere Gemeindesteuern (light)</t>
  </si>
  <si>
    <t>P630320</t>
  </si>
  <si>
    <t>P630330</t>
  </si>
  <si>
    <t>P630340</t>
  </si>
  <si>
    <t>Gemeindesteueranspruch und -teilung</t>
  </si>
  <si>
    <t>Steuereinnahmen (light)</t>
  </si>
  <si>
    <t>P630410</t>
  </si>
  <si>
    <t>Personaldienstleistungen Stadtverwaltung (light)</t>
  </si>
  <si>
    <t>P640110</t>
  </si>
  <si>
    <t>P640120</t>
  </si>
  <si>
    <t>Leistungen für die Verwaltung</t>
  </si>
  <si>
    <t>P640130</t>
  </si>
  <si>
    <t>Personalpolitik und Personalrecht</t>
  </si>
  <si>
    <t>P640140</t>
  </si>
  <si>
    <t>Pflege und Entwicklung von Personalsystemen und -instrumenten</t>
  </si>
  <si>
    <t>P640150</t>
  </si>
  <si>
    <t>Personal- und Organisations- entwicklungsangebot</t>
  </si>
  <si>
    <t>Personaldienst FPI / Telefonzentrale (light)</t>
  </si>
  <si>
    <t>P640410</t>
  </si>
  <si>
    <t>Personalwesen FPI</t>
  </si>
  <si>
    <t>P640420</t>
  </si>
  <si>
    <t>Ausbildungswesen FPI</t>
  </si>
  <si>
    <t>P640430</t>
  </si>
  <si>
    <t>Städtische Telefonzentrale</t>
  </si>
  <si>
    <t>Informatikservices</t>
  </si>
  <si>
    <t>P650110</t>
  </si>
  <si>
    <t>Zentrale städt. Informatikleistungen</t>
  </si>
  <si>
    <t>P650120</t>
  </si>
  <si>
    <t>Migration Bürokommunikation</t>
  </si>
  <si>
    <t>Kostendeckungsgrad für das Total der PG650100</t>
  </si>
  <si>
    <t>Alle 5 Jahre findet eine Migration der Büroarbeitsplatzumgebung statt.</t>
  </si>
  <si>
    <t>Nein</t>
  </si>
  <si>
    <t>Ja</t>
  </si>
  <si>
    <t>Die ID stellen Lehrstellen zur Verfügung.</t>
  </si>
  <si>
    <t>P660110</t>
  </si>
  <si>
    <t>Papier und Karton</t>
  </si>
  <si>
    <t>P660120</t>
  </si>
  <si>
    <t>Drucksachen extern</t>
  </si>
  <si>
    <t>P660130</t>
  </si>
  <si>
    <t>Treib- und Brennstoffe</t>
  </si>
  <si>
    <t>P660140</t>
  </si>
  <si>
    <t>Schul-/Büromaterial, Handarbeiten, Werken</t>
  </si>
  <si>
    <t>P660150</t>
  </si>
  <si>
    <t>Mobiliar, Maschinen und Geräte</t>
  </si>
  <si>
    <t>P660160</t>
  </si>
  <si>
    <t>Reinigungsmaterial und -geräte</t>
  </si>
  <si>
    <t>P660210</t>
  </si>
  <si>
    <t>Kleinoffset / Kopierservice / Ausrüstarbeiten</t>
  </si>
  <si>
    <t>P660310</t>
  </si>
  <si>
    <t>Logistik, Entsorgung und Postdienste</t>
  </si>
  <si>
    <t>P660320</t>
  </si>
  <si>
    <t>Reparaturdienst</t>
  </si>
  <si>
    <t>P670110</t>
  </si>
  <si>
    <t>Revision verrechenbar, Stiftungsaufsicht</t>
  </si>
  <si>
    <t>P670120</t>
  </si>
  <si>
    <t>P690110</t>
  </si>
  <si>
    <t>P690120</t>
  </si>
  <si>
    <t>Kirchenunterhalt</t>
  </si>
  <si>
    <t/>
  </si>
  <si>
    <t>Zielvorgabe
2012-2015</t>
  </si>
  <si>
    <t>Projektaufwand Netto</t>
  </si>
  <si>
    <t>Invesitions- budget 2013</t>
  </si>
  <si>
    <t>Zielvorgabe
2014 ff (+ 20%)</t>
  </si>
  <si>
    <t>Planjahr 
2014</t>
  </si>
  <si>
    <t>Planjahr 
2015</t>
  </si>
  <si>
    <t>Planjahr 
2016</t>
  </si>
  <si>
    <t>INVESTITIONSBEREICHE</t>
  </si>
  <si>
    <t>BI01</t>
  </si>
  <si>
    <t>Total</t>
  </si>
  <si>
    <t>Tiefbau / Stadtplanung / Verkehr</t>
  </si>
  <si>
    <t>BI03</t>
  </si>
  <si>
    <t>Grünanlagen / Grünraumgestaltung</t>
  </si>
  <si>
    <t>BI04</t>
  </si>
  <si>
    <t>Fahrzeuge / Maschinen / Mobiliar</t>
  </si>
  <si>
    <t>BI05</t>
  </si>
  <si>
    <t>Informatik</t>
  </si>
  <si>
    <t>BI06</t>
  </si>
  <si>
    <t>Übrige Investitionen</t>
  </si>
  <si>
    <t>Kleininvestitionen</t>
  </si>
  <si>
    <r>
      <t>TOTAL INVESTITIONSBEREICHE</t>
    </r>
    <r>
      <rPr>
        <sz val="10"/>
        <rFont val="Arial"/>
        <family val="2"/>
      </rPr>
      <t xml:space="preserve"> </t>
    </r>
    <r>
      <rPr>
        <sz val="8"/>
        <rFont val="Arial"/>
        <family val="2"/>
      </rPr>
      <t>inkl. Kleininvestitionen</t>
    </r>
  </si>
  <si>
    <t>VERWALTUNGSDIREKTIONEN</t>
  </si>
  <si>
    <t>1000</t>
  </si>
  <si>
    <t>1100</t>
  </si>
  <si>
    <t>1200</t>
  </si>
  <si>
    <t>Direktion für Sicherheit, Umwelt, Enerige</t>
  </si>
  <si>
    <t>1300</t>
  </si>
  <si>
    <t>Direktion für Bildung, Soziales, Sport</t>
  </si>
  <si>
    <t>1500</t>
  </si>
  <si>
    <t>Direktion für Tiefbau, Verkehr, Stadtgrün</t>
  </si>
  <si>
    <t>1600</t>
  </si>
  <si>
    <t>Direktion für Finanzen, Personal, Informatik</t>
  </si>
  <si>
    <r>
      <t xml:space="preserve">TOTAL VERWALTUNGSDIREKTIONEN </t>
    </r>
    <r>
      <rPr>
        <sz val="8"/>
        <rFont val="Arial"/>
        <family val="2"/>
      </rPr>
      <t>inkl. Kleininvestitionen</t>
    </r>
  </si>
  <si>
    <t>SONDERRECHNUNGEN</t>
  </si>
  <si>
    <t>2850</t>
  </si>
  <si>
    <t>Stadtenwässerung</t>
  </si>
  <si>
    <t>2870</t>
  </si>
  <si>
    <t>Entsorgung + Recycling</t>
  </si>
  <si>
    <t>TOTAL SONDERRECHNUNGEN</t>
  </si>
  <si>
    <t>ANSTALTEN</t>
  </si>
  <si>
    <t>3910</t>
  </si>
  <si>
    <t>BERNMOBIL</t>
  </si>
  <si>
    <t>3920</t>
  </si>
  <si>
    <t>Energie Wasser Bern ewb</t>
  </si>
  <si>
    <t>3930</t>
  </si>
  <si>
    <t>Stadtbauten Bern StaBe</t>
  </si>
  <si>
    <t>TOTAL ANSTALTEN</t>
  </si>
  <si>
    <t>TOTAL VERWALTUNGSVERMÖGEN</t>
  </si>
  <si>
    <t>2860</t>
  </si>
  <si>
    <r>
      <t xml:space="preserve">FINANZVERMÖGEN </t>
    </r>
    <r>
      <rPr>
        <sz val="8"/>
        <rFont val="Arial"/>
        <family val="2"/>
      </rPr>
      <t>inkl. Fonds für Boden- und Wohnbaupolitik</t>
    </r>
  </si>
  <si>
    <t>TOTAL VERWALTUNGS- UND FINANZVERMÖGEN</t>
  </si>
  <si>
    <t>KKrs</t>
  </si>
  <si>
    <t>Auftrag</t>
  </si>
  <si>
    <t>Kurztext</t>
  </si>
  <si>
    <t>Stat</t>
  </si>
  <si>
    <t>Projekt-
aufwand</t>
  </si>
  <si>
    <t>Summe Dritt-
Leistungen</t>
  </si>
  <si>
    <t>Summe Eigen-
Leistungen</t>
  </si>
  <si>
    <t>Summe 
Einnahmen</t>
  </si>
  <si>
    <t>Summe
Netto</t>
  </si>
  <si>
    <t>Jahr 2013</t>
  </si>
  <si>
    <t>Jahr 2014</t>
  </si>
  <si>
    <t>Jahr 2015</t>
  </si>
  <si>
    <t>Jahr 2016</t>
  </si>
  <si>
    <t>I1700012</t>
  </si>
  <si>
    <t>Revision Stadtentwicklungskonzept (STEK)</t>
  </si>
  <si>
    <t>10</t>
  </si>
  <si>
    <t>I1700019</t>
  </si>
  <si>
    <t>Revision der Grundordnung</t>
  </si>
  <si>
    <t>I1700020</t>
  </si>
  <si>
    <t>Erneuerung Hochhaussiedlungen QP VI</t>
  </si>
  <si>
    <t>I1700021</t>
  </si>
  <si>
    <t>Umnutzung Areal Meinen</t>
  </si>
  <si>
    <t>I1700022</t>
  </si>
  <si>
    <t>Verbindung von Freiräumen</t>
  </si>
  <si>
    <t>I1700023</t>
  </si>
  <si>
    <t>Nachführen des Baulinienkatasters</t>
  </si>
  <si>
    <t>I1700024</t>
  </si>
  <si>
    <t>Aufwertung und Entwickl. zentr. Orte</t>
  </si>
  <si>
    <t>I1700025</t>
  </si>
  <si>
    <t>Umnutzung und Umstrukturierung Güterstr.</t>
  </si>
  <si>
    <t>I1700031</t>
  </si>
  <si>
    <t>Planung Schützenmatte-Bollwerk-Hodlerstr</t>
  </si>
  <si>
    <t>I1700034</t>
  </si>
  <si>
    <t>Abgänge Aare Gesamtkonzept</t>
  </si>
  <si>
    <t>I170-044</t>
  </si>
  <si>
    <t>Planung Gaswerkareal Neugestaltung</t>
  </si>
  <si>
    <t>30</t>
  </si>
  <si>
    <t>I170-052</t>
  </si>
  <si>
    <t>Synergiemassn. Gestaltung öffentl. Raum</t>
  </si>
  <si>
    <t>I170Z008</t>
  </si>
  <si>
    <t>Konzeptionelle Stadtentwicklung 2011-17</t>
  </si>
  <si>
    <t>I170Z009</t>
  </si>
  <si>
    <t>Überbauungsordnungen  2011-17</t>
  </si>
  <si>
    <t>I170Z010</t>
  </si>
  <si>
    <t>Quartierpläne ab 2011 - 2017</t>
  </si>
  <si>
    <t>I2200003</t>
  </si>
  <si>
    <t>Lärmschutz an Stadtstrassen MJP2010</t>
  </si>
  <si>
    <t>20</t>
  </si>
  <si>
    <t>I2200013</t>
  </si>
  <si>
    <t>Lärmschutz an Stadtstrasse MJP2012</t>
  </si>
  <si>
    <t>I2200014</t>
  </si>
  <si>
    <t>Lärmschutz an Stadtstrasse MJP2014</t>
  </si>
  <si>
    <t>I5100008</t>
  </si>
  <si>
    <t>Tiefenaubrücke, Gehweg</t>
  </si>
  <si>
    <t>11</t>
  </si>
  <si>
    <t>I5100010</t>
  </si>
  <si>
    <t>Kornhausbrücke, Unterhaltsarbeiten</t>
  </si>
  <si>
    <t>I5100011</t>
  </si>
  <si>
    <t>Lichtsignalanlagen, Koordinationskabel</t>
  </si>
  <si>
    <t>I5100012</t>
  </si>
  <si>
    <t>Verkehrsmessstellen, Erweiterung</t>
  </si>
  <si>
    <t>I5100024</t>
  </si>
  <si>
    <t>Kirchenfeldbrücke, Brückenkonstruktion</t>
  </si>
  <si>
    <t>I5100027</t>
  </si>
  <si>
    <t>Aarstrasse, Lehnenkonstruktion</t>
  </si>
  <si>
    <t>I5100028</t>
  </si>
  <si>
    <t>Laupenstrasse, Sanierung</t>
  </si>
  <si>
    <t>I5100033</t>
  </si>
  <si>
    <t>LSA, Feuerwehrstützpunkt Forsthaus West</t>
  </si>
  <si>
    <t>I5100036</t>
  </si>
  <si>
    <t>Verkehrsrechner, Ersatz</t>
  </si>
  <si>
    <t>I5100092</t>
  </si>
  <si>
    <t>Monbijoubrücke, Brückenkopf Ost</t>
  </si>
  <si>
    <t>I5100093</t>
  </si>
  <si>
    <t>Eigerstrasse, diverse Anpassungen</t>
  </si>
  <si>
    <t>I5100097</t>
  </si>
  <si>
    <t>Behindertengerechte Haltestellen</t>
  </si>
  <si>
    <t>I5100100</t>
  </si>
  <si>
    <t>Ersatz Sammelparkuhren</t>
  </si>
  <si>
    <t>I5100101</t>
  </si>
  <si>
    <t>Sanierung Felsenaustrasse/Fährstrasse</t>
  </si>
  <si>
    <t>I5100160</t>
  </si>
  <si>
    <t>Aare, Ufersanierung</t>
  </si>
  <si>
    <t>I5100161</t>
  </si>
  <si>
    <t>Wartehallen des öffentlichen Verkehrs</t>
  </si>
  <si>
    <t>I5100162</t>
  </si>
  <si>
    <t>Mühledorfstrasse Erweiterung</t>
  </si>
  <si>
    <t>I5100163</t>
  </si>
  <si>
    <t>Papiermühlestrasse Belagssanierung</t>
  </si>
  <si>
    <t>I5100164</t>
  </si>
  <si>
    <t>Libellenweg/Zikadenweg, Sanierung</t>
  </si>
  <si>
    <t>I5100180</t>
  </si>
  <si>
    <t>Sanierung Lorrainestrasse</t>
  </si>
  <si>
    <t>01</t>
  </si>
  <si>
    <t>I5100198</t>
  </si>
  <si>
    <t>Fabrikstrasse, Sanierung Brücke A2</t>
  </si>
  <si>
    <t>I5100199</t>
  </si>
  <si>
    <t>Kirchenfeldbrücke, Schienenersatz</t>
  </si>
  <si>
    <t>I5100210</t>
  </si>
  <si>
    <t>Aarstrasse, Neugestaltung</t>
  </si>
  <si>
    <t>I5100211</t>
  </si>
  <si>
    <t>Aegertenstrasse, Belagssanierung</t>
  </si>
  <si>
    <t>I5100212</t>
  </si>
  <si>
    <t>Altenbergsteg, Gesamtsanierung</t>
  </si>
  <si>
    <t>I5100213</t>
  </si>
  <si>
    <t>Bernastrasse, Belagssanierung</t>
  </si>
  <si>
    <t>I5100214</t>
  </si>
  <si>
    <t>Bundesplatz Wasserspiel, Sanierung</t>
  </si>
  <si>
    <t>I5100215</t>
  </si>
  <si>
    <t>Busplatten; Sanierungen</t>
  </si>
  <si>
    <t>I5100216</t>
  </si>
  <si>
    <t>Dalmaziquai, Umsetzung Aareraumplanung</t>
  </si>
  <si>
    <t>I5100217</t>
  </si>
  <si>
    <t>Effingerstrasse; Belagssanierung</t>
  </si>
  <si>
    <t>I5100218</t>
  </si>
  <si>
    <t>Gaswerkareal, Umsetzung Aareraumplanung</t>
  </si>
  <si>
    <t>I5100219</t>
  </si>
  <si>
    <t>Grosser Muristalden, Belagssanierung</t>
  </si>
  <si>
    <t>I5100220</t>
  </si>
  <si>
    <t>Kirchenfeldbrücke; Brückensicherung</t>
  </si>
  <si>
    <t>I5100221</t>
  </si>
  <si>
    <t>Kirchenfeldstrasse, Deckbelag</t>
  </si>
  <si>
    <t>I5100222</t>
  </si>
  <si>
    <t>Kornhausbrücke; Brückensicherung</t>
  </si>
  <si>
    <t>I5100223</t>
  </si>
  <si>
    <t>Lorrainebad; Lehnenkonstruktion</t>
  </si>
  <si>
    <t>I5100224</t>
  </si>
  <si>
    <t>Lorrainebrücke; Brückensicherung</t>
  </si>
  <si>
    <t>I5100225</t>
  </si>
  <si>
    <t>Neubrückstrasse: Bierhübeli</t>
  </si>
  <si>
    <t>I5100226</t>
  </si>
  <si>
    <t>Neubrückestrasse: Schützenmatte</t>
  </si>
  <si>
    <t>I5100227</t>
  </si>
  <si>
    <t>Ostring; Deckbelag</t>
  </si>
  <si>
    <t>I5100228</t>
  </si>
  <si>
    <t>Schauplatzgasse; Sanierung</t>
  </si>
  <si>
    <t>I5100229</t>
  </si>
  <si>
    <t>Schönausteg; Gesamtsanierung</t>
  </si>
  <si>
    <t>I510-023</t>
  </si>
  <si>
    <t>Bärenplatz und Waisenhausplatz, Umgest.</t>
  </si>
  <si>
    <t>I5100230</t>
  </si>
  <si>
    <t>Schwarztorstrasse; Belagssanierung</t>
  </si>
  <si>
    <t>I5100231</t>
  </si>
  <si>
    <t>Seftigenstrasse; Deckbelag</t>
  </si>
  <si>
    <t>I5100232</t>
  </si>
  <si>
    <t>Tychsteg; Gesamtsanierung</t>
  </si>
  <si>
    <t>I5100233</t>
  </si>
  <si>
    <t>Uferweg Altenberg</t>
  </si>
  <si>
    <t>I5100234</t>
  </si>
  <si>
    <t>Viktoriarain, Deckbelag</t>
  </si>
  <si>
    <t>I510-027</t>
  </si>
  <si>
    <t>Zubringer Neufeld, Länggasse 2004</t>
  </si>
  <si>
    <t>I510-060</t>
  </si>
  <si>
    <t>Aare Bern, Hochwasserschutz</t>
  </si>
  <si>
    <t>I510-076</t>
  </si>
  <si>
    <t>Verkehrsbeeinfluss. Freudenbergerpl.etc.</t>
  </si>
  <si>
    <t>I510-187</t>
  </si>
  <si>
    <t>Marktgasse; Sanieren Schäden Pflästerung</t>
  </si>
  <si>
    <t>I510-193</t>
  </si>
  <si>
    <t>Nydeggbrücke, Sanierung</t>
  </si>
  <si>
    <t>I510-200</t>
  </si>
  <si>
    <t>Unterführung Eigerstr./M'bijoustr. San.</t>
  </si>
  <si>
    <t>I510-202</t>
  </si>
  <si>
    <t>Lorrainebad Fussweg, Stützmauer</t>
  </si>
  <si>
    <t>I510-205</t>
  </si>
  <si>
    <t>Erschliessung Schermen-Areal</t>
  </si>
  <si>
    <t>I510-209</t>
  </si>
  <si>
    <t>Europaplatz</t>
  </si>
  <si>
    <t>I510-210</t>
  </si>
  <si>
    <t>Stauffacherstr., Sanierung/Neugestaltung</t>
  </si>
  <si>
    <t>I510-287</t>
  </si>
  <si>
    <t>Monbijoubrücke, Belagerneuerung</t>
  </si>
  <si>
    <t>I510-292</t>
  </si>
  <si>
    <t>Morillonstr., Betriebs-u. Gest.konzept</t>
  </si>
  <si>
    <t>I510-295</t>
  </si>
  <si>
    <t>Weyermannshaus-Ost, Erschliessung</t>
  </si>
  <si>
    <t>I510-296</t>
  </si>
  <si>
    <t>Ausserholligen, Fuss- und Radweg</t>
  </si>
  <si>
    <t>I510-297</t>
  </si>
  <si>
    <t>Helvetiaplatz, Anpassungen i.Zus.Tram</t>
  </si>
  <si>
    <t>I510-298</t>
  </si>
  <si>
    <t>Tellstrasse, Neugestaltung</t>
  </si>
  <si>
    <t>I510-303</t>
  </si>
  <si>
    <t>Freiburg-/Schlosstrasse Platzgestaltung</t>
  </si>
  <si>
    <t>40</t>
  </si>
  <si>
    <t>I510-304</t>
  </si>
  <si>
    <t>Fischermätteli, Tramhaltestelle</t>
  </si>
  <si>
    <t>I510-339</t>
  </si>
  <si>
    <t>Bollwerk: Strassensanierung</t>
  </si>
  <si>
    <t>I510-340</t>
  </si>
  <si>
    <t>Brücken: Diverse Sanierungen</t>
  </si>
  <si>
    <t>I510-344</t>
  </si>
  <si>
    <t>Stützmauern: Diverse Sanierungen</t>
  </si>
  <si>
    <t>I510-346</t>
  </si>
  <si>
    <t>Weissensteinstrasse: Lärmschutzwand</t>
  </si>
  <si>
    <t>I510-976</t>
  </si>
  <si>
    <t>Bümplizstrasse; Lärmschutz/Gestaltung</t>
  </si>
  <si>
    <t>I510Z001</t>
  </si>
  <si>
    <t>Strassensanierungen, diverse</t>
  </si>
  <si>
    <t>I510Z002</t>
  </si>
  <si>
    <t>LSA-Erneuerung</t>
  </si>
  <si>
    <t>I510Z003</t>
  </si>
  <si>
    <t>Begegnungszonen</t>
  </si>
  <si>
    <t>I5700004</t>
  </si>
  <si>
    <t>Ersterhebung Kreis 6</t>
  </si>
  <si>
    <t>I5700006</t>
  </si>
  <si>
    <t>Ersatz Orthofoto 2012</t>
  </si>
  <si>
    <t>I5700010</t>
  </si>
  <si>
    <t>Bezugsrahmenwechsel von LV03 auf LV95</t>
  </si>
  <si>
    <t>I5800001</t>
  </si>
  <si>
    <t>Str.anpassungen aufgr. Änderungen bei ÖV</t>
  </si>
  <si>
    <t>I5800007</t>
  </si>
  <si>
    <t>Tempo 30-Zonen, 3. Paket</t>
  </si>
  <si>
    <t>I5800024</t>
  </si>
  <si>
    <t>Nördliche Erschliessung Wankdorf</t>
  </si>
  <si>
    <t>I5800026</t>
  </si>
  <si>
    <t>Veloabstellplätze an S-Bahnstationen</t>
  </si>
  <si>
    <t>I5800027</t>
  </si>
  <si>
    <t>Langsamverkehrsbrücke Wankdorf - Ittigen</t>
  </si>
  <si>
    <t>I5800029</t>
  </si>
  <si>
    <t>Bolligenstr. - Parkplatz-Sockelangebot</t>
  </si>
  <si>
    <t>I5800030</t>
  </si>
  <si>
    <t>Nordring - Wankdorf, Verkehrssanierung</t>
  </si>
  <si>
    <t>I5800031</t>
  </si>
  <si>
    <t>Verkehrslenkung Stadt Bern, Wegweisung</t>
  </si>
  <si>
    <t>I5800034</t>
  </si>
  <si>
    <t>Thunstrasse, Verkehrssanierung</t>
  </si>
  <si>
    <t>I5800035</t>
  </si>
  <si>
    <t>Carterminal Neufeld Porj. + Real.</t>
  </si>
  <si>
    <t>I5800036</t>
  </si>
  <si>
    <t>Tempo 30 Zonen - Proj. + Real.</t>
  </si>
  <si>
    <t>I5800037</t>
  </si>
  <si>
    <t>Aar-, Marzilistrasse: Verkehrssanierung</t>
  </si>
  <si>
    <t>I5800038</t>
  </si>
  <si>
    <t>Weissensteinstrasse, Verkehrssanierung</t>
  </si>
  <si>
    <t>I5800039</t>
  </si>
  <si>
    <t>Eymattstrasse, Verkehrssanierung</t>
  </si>
  <si>
    <t>I5800040</t>
  </si>
  <si>
    <t>Rodtmattstrasse: Verkehrssanierung</t>
  </si>
  <si>
    <t>I5800041</t>
  </si>
  <si>
    <t>Breitenrain; Verkehrslenkung</t>
  </si>
  <si>
    <t>I5800042</t>
  </si>
  <si>
    <t>Breitenrainplatz Verkehrssanierung</t>
  </si>
  <si>
    <t>I5800045</t>
  </si>
  <si>
    <t>Eigerplatz: Verkehrssanierung</t>
  </si>
  <si>
    <t>I5800046</t>
  </si>
  <si>
    <t>Murtenstrasse 10 - 66: Verkehrssanierung</t>
  </si>
  <si>
    <t>I5800047</t>
  </si>
  <si>
    <t>Verlängerung Linie 28</t>
  </si>
  <si>
    <t>I5800048</t>
  </si>
  <si>
    <t>ÖV-Angebotskonzept Nordquartier</t>
  </si>
  <si>
    <t>I5800054</t>
  </si>
  <si>
    <t>Zukunft Bahnhof Bern</t>
  </si>
  <si>
    <t>I5800055</t>
  </si>
  <si>
    <t>ÖV-Erschliessung Insel/Uni von Roll</t>
  </si>
  <si>
    <t>I5800056</t>
  </si>
  <si>
    <t>Riedbachstr. Buech: Radstreifen,Trottoir</t>
  </si>
  <si>
    <t>I5800057</t>
  </si>
  <si>
    <t>Tram Region Bern</t>
  </si>
  <si>
    <t>I5800060</t>
  </si>
  <si>
    <t>Umsetzung Teilplan MIV Stadtteil III</t>
  </si>
  <si>
    <t>I5800061</t>
  </si>
  <si>
    <t>Str.anpassungen d. Wegzug FW-Stützpunkt</t>
  </si>
  <si>
    <t>I5800068</t>
  </si>
  <si>
    <t>Umsetzung Teilplan MIV Stadtteil IV</t>
  </si>
  <si>
    <t>I5800069</t>
  </si>
  <si>
    <t>Agglomerationsprogramm Langsamverkehr</t>
  </si>
  <si>
    <t>I5800070</t>
  </si>
  <si>
    <t>Brunnmatt-/Pestalozzistrasse</t>
  </si>
  <si>
    <t>I5800075</t>
  </si>
  <si>
    <t>Seftigenstrasse, Gleissanierung</t>
  </si>
  <si>
    <t>I5800076</t>
  </si>
  <si>
    <t>Tempo 30, def. Massnahmen 2. Paket</t>
  </si>
  <si>
    <t>I5800082</t>
  </si>
  <si>
    <t>Moosweg. neue Verbindungsstrasse (RGSK)</t>
  </si>
  <si>
    <t>I5800083</t>
  </si>
  <si>
    <t>Ausserholligen, Anschluss Passarelle</t>
  </si>
  <si>
    <t>I5800085</t>
  </si>
  <si>
    <t>Bernstrasse, Veloübergang</t>
  </si>
  <si>
    <t>I5800086</t>
  </si>
  <si>
    <t>Breitenrain Zufahrten Velobrücke</t>
  </si>
  <si>
    <t>I5800087</t>
  </si>
  <si>
    <t>Wankdorf S-Bahnhaltestelle, Velostation</t>
  </si>
  <si>
    <t>I5800088</t>
  </si>
  <si>
    <t>Veloparkierung an S-Bahnstationen</t>
  </si>
  <si>
    <t>I5800089</t>
  </si>
  <si>
    <t>Schwarzenburgstrasse, Fussgängerbrücke</t>
  </si>
  <si>
    <t>I5800090</t>
  </si>
  <si>
    <t>Veloverleihsystem</t>
  </si>
  <si>
    <t>I5800091</t>
  </si>
  <si>
    <t>Sulgeneckstrasse Velostreifen</t>
  </si>
  <si>
    <t>I5800092</t>
  </si>
  <si>
    <t>Warmbächliweg, Linie 11</t>
  </si>
  <si>
    <t>I5800093</t>
  </si>
  <si>
    <t>Fuss- und Veloweg Aare</t>
  </si>
  <si>
    <t>I580-088</t>
  </si>
  <si>
    <t>MVS: Anschaffung von Trixi-Spiegeln</t>
  </si>
  <si>
    <t>I580-100</t>
  </si>
  <si>
    <t>Sicheres Umfeld Schulhäuser Kindergärten</t>
  </si>
  <si>
    <t>I580Z005</t>
  </si>
  <si>
    <t>Konzeptionelle Verkehrsplanung</t>
  </si>
  <si>
    <t>I580Z008</t>
  </si>
  <si>
    <t>Gesamtverkehrsmodell Anwendung</t>
  </si>
  <si>
    <t>Total Tiefbau / Stadtplanung / Verkehr</t>
  </si>
  <si>
    <t>I1700010</t>
  </si>
  <si>
    <t>Rahmenkredit Freiraumplanung</t>
  </si>
  <si>
    <t>I1700026</t>
  </si>
  <si>
    <t>Aareraum Parklandschaft Teilgeb. Marzili</t>
  </si>
  <si>
    <t>I5200056</t>
  </si>
  <si>
    <t>Massn.Grünraumgestaltung Stadtteile II/V</t>
  </si>
  <si>
    <t>I5200059</t>
  </si>
  <si>
    <t>Schermen, Familiengarten (Verlegung)</t>
  </si>
  <si>
    <t>I5200060</t>
  </si>
  <si>
    <t>Wyssloch, Quartierpark</t>
  </si>
  <si>
    <t>I5200075</t>
  </si>
  <si>
    <t>Projekt Tram Bern West Begrünung</t>
  </si>
  <si>
    <t>I5200092</t>
  </si>
  <si>
    <t>Massn.Grünraumgest. Stadtteile III/IV/VI</t>
  </si>
  <si>
    <t>I5200093</t>
  </si>
  <si>
    <t>Englische Anlage Parkpflege Massnahmen</t>
  </si>
  <si>
    <t>I5200094</t>
  </si>
  <si>
    <t>Aaretal Parkpflegewerk / Massnahmen</t>
  </si>
  <si>
    <t>I5200096</t>
  </si>
  <si>
    <t>WUV 4; Stadtteil I - VI</t>
  </si>
  <si>
    <t>I5200102</t>
  </si>
  <si>
    <t>Allmend Grosse, Sanierung Zirkusplatz</t>
  </si>
  <si>
    <t>I5200116</t>
  </si>
  <si>
    <t>Elfenau Ums. Parkpflegewerk, 1. Etappe</t>
  </si>
  <si>
    <t>I5200117</t>
  </si>
  <si>
    <t>Familiengärten Bedarfsabklärung</t>
  </si>
  <si>
    <t>I5200118</t>
  </si>
  <si>
    <t>Kleine Allmend, Familiengartenareal</t>
  </si>
  <si>
    <t>I5200119</t>
  </si>
  <si>
    <t>Historische Gärten, Garteninventar</t>
  </si>
  <si>
    <t>I5200120</t>
  </si>
  <si>
    <t>NaturStadtBern</t>
  </si>
  <si>
    <t>I5200130</t>
  </si>
  <si>
    <t>Verlegung Familiengärten Mutachstrasse</t>
  </si>
  <si>
    <t>I5200151</t>
  </si>
  <si>
    <t>Parkanlage Holligen Nord</t>
  </si>
  <si>
    <t>I5200152</t>
  </si>
  <si>
    <t>Grosse und Kleine Allmend</t>
  </si>
  <si>
    <t>I520Z005</t>
  </si>
  <si>
    <t>Nachholbedarf Friedhöfe / Grünanlagen</t>
  </si>
  <si>
    <t>I520Z006</t>
  </si>
  <si>
    <t>Baumpflanzungen II 2004 - 2007</t>
  </si>
  <si>
    <t>I5210015</t>
  </si>
  <si>
    <t>Schosshaldenfriedhof Umfassungsmauer</t>
  </si>
  <si>
    <t>I5210021</t>
  </si>
  <si>
    <t>Generelles Friedhofkonzept</t>
  </si>
  <si>
    <t>Total Grünanlagen - Grünraumgestaltung</t>
  </si>
  <si>
    <t>I2200009</t>
  </si>
  <si>
    <t>Ersatz Luftimmissions-Messstation</t>
  </si>
  <si>
    <t>I2200010</t>
  </si>
  <si>
    <t>Ersatz Atomabsorptionsspektrofotometer</t>
  </si>
  <si>
    <t>I2200016</t>
  </si>
  <si>
    <t>DOC-Messgerät</t>
  </si>
  <si>
    <t>I220-027</t>
  </si>
  <si>
    <t>Labormöbel und -einrichtungen Stadtlabor</t>
  </si>
  <si>
    <t>I2500016</t>
  </si>
  <si>
    <t>Atemschutzfahrzeug</t>
  </si>
  <si>
    <t>I2500017</t>
  </si>
  <si>
    <t>Einsatzleitwagen</t>
  </si>
  <si>
    <t>I2500018</t>
  </si>
  <si>
    <t>Vorausfahrzeug Rettung</t>
  </si>
  <si>
    <t>I2500027</t>
  </si>
  <si>
    <t>Ersatz Grosstanklöschf. u. Pulverf. BFW</t>
  </si>
  <si>
    <t>I2500029</t>
  </si>
  <si>
    <t>Ersatz Autodrehleiter der BFW Bern</t>
  </si>
  <si>
    <t>I2500030</t>
  </si>
  <si>
    <t>Modul Einsatzleitg., Ersatz Wagen</t>
  </si>
  <si>
    <t>I2500032</t>
  </si>
  <si>
    <t>Ersatz Pionierfahrzeug der BFW Bern</t>
  </si>
  <si>
    <t>I2500034</t>
  </si>
  <si>
    <t>Ersatzbesch. pers. Alarmierungsmittel</t>
  </si>
  <si>
    <t>I2500035</t>
  </si>
  <si>
    <t>Ersatzbesch. Atemschutzgerätschaften</t>
  </si>
  <si>
    <t>I2500036</t>
  </si>
  <si>
    <t>Ersatzbeschaffung Bus (Bus 27+28)</t>
  </si>
  <si>
    <t>I2500037</t>
  </si>
  <si>
    <t>Ersatzbeschaffung Kleinalarmwagen (KAW49</t>
  </si>
  <si>
    <t>I2500039</t>
  </si>
  <si>
    <t>Ersatzbeschaffung Pulverlöschfahrzeug</t>
  </si>
  <si>
    <t>I2500040</t>
  </si>
  <si>
    <t>Ersatzbeschaffung Personenewagen Pw22+23</t>
  </si>
  <si>
    <t>I2500041</t>
  </si>
  <si>
    <t>Ersatz Tanklöschfahrzeug TLF11 BFB</t>
  </si>
  <si>
    <t>I2500042</t>
  </si>
  <si>
    <t>Ersatzbeschaffung Transportwagen TW103</t>
  </si>
  <si>
    <t>I2500043</t>
  </si>
  <si>
    <t>Ersatzbeschaffung Transportwagen TW121</t>
  </si>
  <si>
    <t>I2500044</t>
  </si>
  <si>
    <t>Ersatzbeschaffung Transportwagen TW122</t>
  </si>
  <si>
    <t>I2500045</t>
  </si>
  <si>
    <t>Ersatzbesch. Universaltransportwagen UTW</t>
  </si>
  <si>
    <t>I2500046</t>
  </si>
  <si>
    <t>I2500047</t>
  </si>
  <si>
    <t>Ersatz Tanklöschfahrzeug TLF13 BFB</t>
  </si>
  <si>
    <t>I2500048</t>
  </si>
  <si>
    <t>Ersatz MS Feuerwehr Bern</t>
  </si>
  <si>
    <t>I2500049</t>
  </si>
  <si>
    <t>Ersatzbeschaffung Personenwagen Pw20+21</t>
  </si>
  <si>
    <t>I2700010</t>
  </si>
  <si>
    <t>Endoskopiegerät</t>
  </si>
  <si>
    <t>I2700011</t>
  </si>
  <si>
    <t>2.5 Tonnen Hydraulikbagger</t>
  </si>
  <si>
    <t>I3300003</t>
  </si>
  <si>
    <t>Mobiliarersatz in den Kindertagesstätten</t>
  </si>
  <si>
    <t>I3600003</t>
  </si>
  <si>
    <t>Zahnärztlicher Behandlungsplatz</t>
  </si>
  <si>
    <t>I3800001</t>
  </si>
  <si>
    <t>Eisaufb.maschine "Zamboni" Weyerm.haus</t>
  </si>
  <si>
    <t>I3800002</t>
  </si>
  <si>
    <t>Eisaufb.maschine "Zamboni" Ka-We-De</t>
  </si>
  <si>
    <t>I380-002</t>
  </si>
  <si>
    <t>Toyota Landcruiser Ka-We-De</t>
  </si>
  <si>
    <t>I380-004</t>
  </si>
  <si>
    <t>Eisaufbereitungsmaschine Ka-We-De</t>
  </si>
  <si>
    <t>I5100037</t>
  </si>
  <si>
    <t>LKW Kippbrücke mit Kran</t>
  </si>
  <si>
    <t>I5100038</t>
  </si>
  <si>
    <t>Pneubagger</t>
  </si>
  <si>
    <t>I5100040</t>
  </si>
  <si>
    <t>Zugfahrzeug Strassenunterhalt</t>
  </si>
  <si>
    <t>I5100041</t>
  </si>
  <si>
    <t>I5100042</t>
  </si>
  <si>
    <t>I5100044</t>
  </si>
  <si>
    <t>Reinigungsmaschine gross 5 m3</t>
  </si>
  <si>
    <t>I5100046</t>
  </si>
  <si>
    <t>Reinigungsmaschine klein (Kärcher)</t>
  </si>
  <si>
    <t>I5100047</t>
  </si>
  <si>
    <t>Reinigungsmaschine mittel 2 m3</t>
  </si>
  <si>
    <t>I5100049</t>
  </si>
  <si>
    <t>Strassenreinigungsmaschine City-Cat</t>
  </si>
  <si>
    <t>I5100050</t>
  </si>
  <si>
    <t>I5100051</t>
  </si>
  <si>
    <t>I5100054</t>
  </si>
  <si>
    <t>Anhänger Pannendienst</t>
  </si>
  <si>
    <t>I5100104</t>
  </si>
  <si>
    <t>Kastenwagen (102)</t>
  </si>
  <si>
    <t>I5100105</t>
  </si>
  <si>
    <t>Gabelstapler (862)</t>
  </si>
  <si>
    <t>I5100106</t>
  </si>
  <si>
    <t>Zugfahrzeug (431)</t>
  </si>
  <si>
    <t>I5100107</t>
  </si>
  <si>
    <t>Siebdruckanlage (932)</t>
  </si>
  <si>
    <t>I5100108</t>
  </si>
  <si>
    <t>Kombi Lkw (Sommer- und Winterdienst)</t>
  </si>
  <si>
    <t>I5100109</t>
  </si>
  <si>
    <t>Geräte-Trägerfahrzeug 4x4</t>
  </si>
  <si>
    <t>I5100110</t>
  </si>
  <si>
    <t>Transportfahrzeug mit Hebebühne (120)</t>
  </si>
  <si>
    <t>I5100111</t>
  </si>
  <si>
    <t>Transportfahrzeug mit Hebebühne (123)</t>
  </si>
  <si>
    <t>I5100112</t>
  </si>
  <si>
    <t>Kommunaltraktoren (7 Stück)</t>
  </si>
  <si>
    <t>I5100113</t>
  </si>
  <si>
    <t>I5100114</t>
  </si>
  <si>
    <t>I5100137</t>
  </si>
  <si>
    <t>2 x Pressmulden</t>
  </si>
  <si>
    <t>I5100138</t>
  </si>
  <si>
    <t>Pikett Fahrzeug - Pickup</t>
  </si>
  <si>
    <t>I5100139</t>
  </si>
  <si>
    <t>Strassenreinigungsmaschine Mittel</t>
  </si>
  <si>
    <t>I5100140</t>
  </si>
  <si>
    <t>2 x Strassenreinigungsmaschine Mittel</t>
  </si>
  <si>
    <t>I5100141</t>
  </si>
  <si>
    <t>Strassenreinigungsmaschine Gross</t>
  </si>
  <si>
    <t>I5100142</t>
  </si>
  <si>
    <t>2 x Strassenreinigungsmaschine Gross</t>
  </si>
  <si>
    <t>I5100145</t>
  </si>
  <si>
    <t>2 x Geräte-Trägerfahrzeug 4x4</t>
  </si>
  <si>
    <t>I5100146</t>
  </si>
  <si>
    <t>LKW-Saugwagen</t>
  </si>
  <si>
    <t>I5100148</t>
  </si>
  <si>
    <t>11 x WD Streuanhänger / Einrichtungen</t>
  </si>
  <si>
    <t>I5100149</t>
  </si>
  <si>
    <t>Pressmulde</t>
  </si>
  <si>
    <t>I5100165</t>
  </si>
  <si>
    <t>I5100166</t>
  </si>
  <si>
    <t>I5100167</t>
  </si>
  <si>
    <t>I5100168</t>
  </si>
  <si>
    <t>I5100169</t>
  </si>
  <si>
    <t>I5100170</t>
  </si>
  <si>
    <t>I5100171</t>
  </si>
  <si>
    <t>I5100172</t>
  </si>
  <si>
    <t>3 x Kommunaltraktoren</t>
  </si>
  <si>
    <t>I5100174</t>
  </si>
  <si>
    <t>Kastenwagen (142)</t>
  </si>
  <si>
    <t>I5100175</t>
  </si>
  <si>
    <t>Transportfahrzeug bis 3,5 to mit Kippbr.</t>
  </si>
  <si>
    <t>I5100176</t>
  </si>
  <si>
    <t>I5100177</t>
  </si>
  <si>
    <t>I5100178</t>
  </si>
  <si>
    <t>I5100179</t>
  </si>
  <si>
    <t>I5100235</t>
  </si>
  <si>
    <t>5 Kommunaltraktore</t>
  </si>
  <si>
    <t>I5100236</t>
  </si>
  <si>
    <t>Geräte-Trägerfahrzeug Kombi</t>
  </si>
  <si>
    <t>I5100237</t>
  </si>
  <si>
    <t>Lieferwagen mit Brücke, Verdeck u.Hebebü</t>
  </si>
  <si>
    <t>I5100238</t>
  </si>
  <si>
    <t>I5100239</t>
  </si>
  <si>
    <t>I5100240</t>
  </si>
  <si>
    <t>I5100241</t>
  </si>
  <si>
    <t>I5100242</t>
  </si>
  <si>
    <t>Waschwagen</t>
  </si>
  <si>
    <t>I5100243</t>
  </si>
  <si>
    <t>I5100244</t>
  </si>
  <si>
    <t>I510-260</t>
  </si>
  <si>
    <t>Transportfahrzeug mit Kran</t>
  </si>
  <si>
    <t>I510-265</t>
  </si>
  <si>
    <t>Transportfahrzeug mit Hebebühne</t>
  </si>
  <si>
    <t>I5200089</t>
  </si>
  <si>
    <t>Spezialfahrzeug für Pflanzentransport</t>
  </si>
  <si>
    <t>I5200090</t>
  </si>
  <si>
    <t>Grossflächenmäher</t>
  </si>
  <si>
    <t>I5200131</t>
  </si>
  <si>
    <t>Baggerlader</t>
  </si>
  <si>
    <t>I5200133</t>
  </si>
  <si>
    <t>I5200134</t>
  </si>
  <si>
    <t>I5200135</t>
  </si>
  <si>
    <t>I5200136</t>
  </si>
  <si>
    <t>Kleintransporter mit Hebebühne</t>
  </si>
  <si>
    <t>I5200137</t>
  </si>
  <si>
    <t>Lastwagen mit Kran und Greifer</t>
  </si>
  <si>
    <t>I5200138</t>
  </si>
  <si>
    <t>Zugfahrzeug zu Arbeitshebebühne</t>
  </si>
  <si>
    <t>I5200153</t>
  </si>
  <si>
    <t>Arbeitshebebühne mit Anhänger</t>
  </si>
  <si>
    <t>I5200154</t>
  </si>
  <si>
    <t>Raddumper Ersatz</t>
  </si>
  <si>
    <t>I5210010</t>
  </si>
  <si>
    <t>Traktorbagger</t>
  </si>
  <si>
    <t>I5210013</t>
  </si>
  <si>
    <t>Fahrzeug für die Abfallentsorgung</t>
  </si>
  <si>
    <t>I5210014</t>
  </si>
  <si>
    <t>Traktor</t>
  </si>
  <si>
    <t>I5210016</t>
  </si>
  <si>
    <t>I5210017</t>
  </si>
  <si>
    <t>I5210018</t>
  </si>
  <si>
    <t>Ersatz Traktor</t>
  </si>
  <si>
    <t>I5210025</t>
  </si>
  <si>
    <t>I5210026</t>
  </si>
  <si>
    <t>Fahrzeug für Abfallentsorgung Friedhof</t>
  </si>
  <si>
    <t>I5700007</t>
  </si>
  <si>
    <t>Ersatz GPS Geoinformation</t>
  </si>
  <si>
    <t>I6600005</t>
  </si>
  <si>
    <t>Ersatzbeschaffung eines LKW</t>
  </si>
  <si>
    <t>Total Fahrzeuge / Maschinen / Mobilien</t>
  </si>
  <si>
    <t>I0400008</t>
  </si>
  <si>
    <t>E-Voting GuB SK</t>
  </si>
  <si>
    <t>I0400009</t>
  </si>
  <si>
    <t>Ausbau der Archivierung</t>
  </si>
  <si>
    <t>I1500003</t>
  </si>
  <si>
    <t>Anpassen der Bauinspektoratssoftware</t>
  </si>
  <si>
    <t>I2300013</t>
  </si>
  <si>
    <t>Anpassung IMAGE-LINK</t>
  </si>
  <si>
    <t>I2300014</t>
  </si>
  <si>
    <t>Ersatz Kundeninformationssystem (KIS)</t>
  </si>
  <si>
    <t>I3100003</t>
  </si>
  <si>
    <t>Weiterentwicklung KiSS</t>
  </si>
  <si>
    <t>I3100016</t>
  </si>
  <si>
    <t>Archivlösung im Sozialbereich</t>
  </si>
  <si>
    <t>I3100017</t>
  </si>
  <si>
    <t>Weiterentwicklung KiSS II</t>
  </si>
  <si>
    <t>I3200003</t>
  </si>
  <si>
    <t>Ersatz base4kids (IVSB)</t>
  </si>
  <si>
    <t>I3200004</t>
  </si>
  <si>
    <t>Ersatz / Erweiterung Schuladmin.programm</t>
  </si>
  <si>
    <t>I320-004</t>
  </si>
  <si>
    <t>Informatikplattform Volksschulen</t>
  </si>
  <si>
    <t>I3800004</t>
  </si>
  <si>
    <t>Sportamt Reservationstool</t>
  </si>
  <si>
    <t>I5100115</t>
  </si>
  <si>
    <t>Schneideplotter (930)</t>
  </si>
  <si>
    <t>I5200123</t>
  </si>
  <si>
    <t>Grünflächenmanagementsystem (GFMS)</t>
  </si>
  <si>
    <t>I5700011</t>
  </si>
  <si>
    <t>Ersatz Feldrechner &amp; Feld-GIS Verm.amt</t>
  </si>
  <si>
    <t>I6500048</t>
  </si>
  <si>
    <t>Neues Intranet und Geschäftsverwaltung</t>
  </si>
  <si>
    <t>I6500049</t>
  </si>
  <si>
    <t>Ausbau/Ersatz Backoffice- +Backupsysteme</t>
  </si>
  <si>
    <t>I6500050</t>
  </si>
  <si>
    <t>IT-Grundschutzmassnahmen</t>
  </si>
  <si>
    <t>I6500052</t>
  </si>
  <si>
    <t>SAP Business Intelligence (SAP BI)</t>
  </si>
  <si>
    <t>I6500054</t>
  </si>
  <si>
    <t>Releasewechsel EWK (SAP CRM)</t>
  </si>
  <si>
    <t>I6500056</t>
  </si>
  <si>
    <t>Public Key Infrastruktur (PKI)</t>
  </si>
  <si>
    <t>I6500057</t>
  </si>
  <si>
    <t>IT-Systeme Notrechenzentrum Stadt Bern</t>
  </si>
  <si>
    <t>I6500058</t>
  </si>
  <si>
    <t>Datenspiegelung</t>
  </si>
  <si>
    <t>I6500059</t>
  </si>
  <si>
    <t>I6500060</t>
  </si>
  <si>
    <t>Relaunch des Internetauftrittes</t>
  </si>
  <si>
    <t>Total Informatik</t>
  </si>
  <si>
    <t>I1100013</t>
  </si>
  <si>
    <t>Sanierung Gebäude Stadttheater</t>
  </si>
  <si>
    <t>I1200006</t>
  </si>
  <si>
    <t>Überarbeitung Bauinventare</t>
  </si>
  <si>
    <t>I2500033</t>
  </si>
  <si>
    <t>Ersatz Branddienstbekleidung</t>
  </si>
  <si>
    <t>I6102016</t>
  </si>
  <si>
    <t>Emissionsspesen 2016</t>
  </si>
  <si>
    <t>I6102017</t>
  </si>
  <si>
    <t>Emissionsspesen 2017</t>
  </si>
  <si>
    <t>Total Übrige Investitionen</t>
  </si>
  <si>
    <t>I8500065</t>
  </si>
  <si>
    <t>Ufersanierung</t>
  </si>
  <si>
    <t>I8500102</t>
  </si>
  <si>
    <t>Gesamt-GEP, Überwachung KEB M19</t>
  </si>
  <si>
    <t>I8500145</t>
  </si>
  <si>
    <t>Private Abwasseranlagen</t>
  </si>
  <si>
    <t>I8500152</t>
  </si>
  <si>
    <t>Hochwasserschutz, Stadtentwässerung</t>
  </si>
  <si>
    <t>I8500153</t>
  </si>
  <si>
    <t>Richtplanungen; Gen. Entwässerungsplan</t>
  </si>
  <si>
    <t>I8500154</t>
  </si>
  <si>
    <t>Marktgasse; Netzerweiterung + Sanierung</t>
  </si>
  <si>
    <t>I8500156</t>
  </si>
  <si>
    <t>Fahrzeug für Kanalfernsehaufnahmen</t>
  </si>
  <si>
    <t>I8500165</t>
  </si>
  <si>
    <t>Sulgenbachkanal; Sanierung</t>
  </si>
  <si>
    <t>I8500169</t>
  </si>
  <si>
    <t>Brunnmatt - Fischermätteli; Entwässerung</t>
  </si>
  <si>
    <t>I8500170</t>
  </si>
  <si>
    <t>Eigerplatz (TRB TP2); Entwässerung</t>
  </si>
  <si>
    <t>I8500171</t>
  </si>
  <si>
    <t>Kanalnetz; Hauptauswertung TV-Daten</t>
  </si>
  <si>
    <t>I8500172</t>
  </si>
  <si>
    <t>Pumpwerk Gäbelbach; Teilerneuerung</t>
  </si>
  <si>
    <t>I8500173</t>
  </si>
  <si>
    <t>Pumpwerk Löchligut; Gesamtsanierung</t>
  </si>
  <si>
    <t>I8500174</t>
  </si>
  <si>
    <t>Stöckacker Süd; Entwässerung</t>
  </si>
  <si>
    <t>I8500175</t>
  </si>
  <si>
    <t>Zentweg, Ersatz Mischabwasserleitung</t>
  </si>
  <si>
    <t>I8500176</t>
  </si>
  <si>
    <t>Rodtmattstr.; Ersatz Mischabwasserkanal</t>
  </si>
  <si>
    <t>I8500177</t>
  </si>
  <si>
    <t>Köniz (TRB TP1); Entwässerung</t>
  </si>
  <si>
    <t>I8500178</t>
  </si>
  <si>
    <t>Guisanplatz; Alternative Fallschacht</t>
  </si>
  <si>
    <t>I8500179</t>
  </si>
  <si>
    <t>Viktoriaplatz (TRB TP4); Entwässerung</t>
  </si>
  <si>
    <t>I8500180</t>
  </si>
  <si>
    <t>Siedlungsentwässerung, Ersatz Leitsystem</t>
  </si>
  <si>
    <t>I850Z001</t>
  </si>
  <si>
    <t>Kanalnetz; diverse Planungen</t>
  </si>
  <si>
    <t>I850Z002</t>
  </si>
  <si>
    <t>Kanalnetz; diverse Realisierungen</t>
  </si>
  <si>
    <t>Total Stadtentwässerung</t>
  </si>
  <si>
    <t>I8700040</t>
  </si>
  <si>
    <t>Ersatz 4 Renault Puncher / 2012</t>
  </si>
  <si>
    <t>I8700072</t>
  </si>
  <si>
    <t>Ersatz Hakenfahrzeug</t>
  </si>
  <si>
    <t>I8700074</t>
  </si>
  <si>
    <t>Ersatz ÖkoInfoMobil</t>
  </si>
  <si>
    <t>I8700075</t>
  </si>
  <si>
    <t>Ersatz Stapler Linde</t>
  </si>
  <si>
    <t>I8700077</t>
  </si>
  <si>
    <t>Ersatz der 4 grossen Renault Puncher</t>
  </si>
  <si>
    <t>I8700081</t>
  </si>
  <si>
    <t>Ersatz 2 Kehrichtwagen MAN</t>
  </si>
  <si>
    <t>I8700082</t>
  </si>
  <si>
    <t>Ersatz Shredder Schliesling</t>
  </si>
  <si>
    <t>I8700083</t>
  </si>
  <si>
    <t>Beteiligung Vergärungsanlage</t>
  </si>
  <si>
    <t>I8700093</t>
  </si>
  <si>
    <t>QES Sammelposition ab 2012</t>
  </si>
  <si>
    <t>I8700094</t>
  </si>
  <si>
    <t>Hauskehricht-Sammelstellen Erweiterung</t>
  </si>
  <si>
    <t>I8700095</t>
  </si>
  <si>
    <t>Ersatz 3 Kehrichtwagen MAN</t>
  </si>
  <si>
    <t>I8700096</t>
  </si>
  <si>
    <t>Ersatz Einsatzfahrzeug</t>
  </si>
  <si>
    <t>I8700097</t>
  </si>
  <si>
    <t>Ersatz Glas- und Büchsencontainer</t>
  </si>
  <si>
    <t>I8700098</t>
  </si>
  <si>
    <t>Ersatz kleiner Kehrichtwagen MAN</t>
  </si>
  <si>
    <t>I8700099</t>
  </si>
  <si>
    <t>Ersatz grosser LW mit Hebebühne</t>
  </si>
  <si>
    <t>I8700100</t>
  </si>
  <si>
    <t>Erneuerung Kommunikationssujet ERB</t>
  </si>
  <si>
    <t>I8700101</t>
  </si>
  <si>
    <t>Release o. Ablösung Axapta/OBU (KW)</t>
  </si>
  <si>
    <t>I8700102</t>
  </si>
  <si>
    <t>Ausdehnung Grüngutsammlung</t>
  </si>
  <si>
    <t>I8700103</t>
  </si>
  <si>
    <t>I8700104</t>
  </si>
  <si>
    <t>Release Software Verwiegung</t>
  </si>
  <si>
    <t>Total Entsorgung + Recycling</t>
  </si>
  <si>
    <t>Total Sonderrechnungen</t>
  </si>
  <si>
    <t>Total Liegenschaften im öffentlichen Interesse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</si>
</sst>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
    <numFmt numFmtId="166" formatCode="0000.00"/>
    <numFmt numFmtId="167" formatCode="000.0"/>
    <numFmt numFmtId="168" formatCode="000"/>
    <numFmt numFmtId="169" formatCode="0.0%"/>
  </numFmts>
  <fonts count="52">
    <font>
      <sz val="10"/>
      <name val="Arial"/>
    </font>
    <font>
      <sz val="10"/>
      <color theme="1"/>
      <name val="Arial"/>
      <family val="2"/>
    </font>
    <font>
      <sz val="10"/>
      <name val="Arial"/>
      <family val="2"/>
    </font>
    <font>
      <b/>
      <sz val="10"/>
      <name val="Arial"/>
      <family val="2"/>
    </font>
    <font>
      <b/>
      <sz val="12"/>
      <name val="Arial"/>
      <family val="2"/>
    </font>
    <font>
      <sz val="10"/>
      <name val="Arial"/>
      <family val="2"/>
    </font>
    <font>
      <b/>
      <i/>
      <sz val="9"/>
      <color indexed="8"/>
      <name val="Arial"/>
      <family val="2"/>
    </font>
    <font>
      <sz val="9"/>
      <color indexed="8"/>
      <name val="Arial"/>
      <family val="2"/>
    </font>
    <font>
      <sz val="9"/>
      <color indexed="8"/>
      <name val="Arial"/>
      <family val="2"/>
    </font>
    <font>
      <sz val="9"/>
      <name val="Arial"/>
      <family val="2"/>
    </font>
    <font>
      <sz val="9"/>
      <color indexed="8"/>
      <name val="Wingdings"/>
      <charset val="2"/>
    </font>
    <font>
      <b/>
      <sz val="9"/>
      <color indexed="8"/>
      <name val="Arial"/>
      <family val="2"/>
    </font>
    <font>
      <b/>
      <sz val="9"/>
      <color indexed="8"/>
      <name val="Arial"/>
      <family val="2"/>
    </font>
    <font>
      <sz val="9"/>
      <name val="Arial"/>
      <family val="2"/>
    </font>
    <font>
      <sz val="9"/>
      <name val="Wingdings"/>
      <charset val="2"/>
    </font>
    <font>
      <b/>
      <sz val="8"/>
      <name val="Arial"/>
      <family val="2"/>
    </font>
    <font>
      <sz val="8"/>
      <name val="Arial"/>
      <family val="2"/>
    </font>
    <font>
      <i/>
      <sz val="8"/>
      <name val="Arial"/>
      <family val="2"/>
    </font>
    <font>
      <sz val="8"/>
      <name val="Arial"/>
      <family val="2"/>
    </font>
    <font>
      <b/>
      <sz val="8"/>
      <color indexed="81"/>
      <name val="Tahoma"/>
      <family val="2"/>
    </font>
    <font>
      <sz val="8"/>
      <color indexed="81"/>
      <name val="Tahoma"/>
      <family val="2"/>
    </font>
    <font>
      <b/>
      <sz val="9"/>
      <name val="Arial"/>
      <family val="2"/>
    </font>
    <font>
      <sz val="6"/>
      <color indexed="81"/>
      <name val="Tahoma"/>
      <family val="2"/>
    </font>
    <font>
      <sz val="10"/>
      <name val="Helvetica"/>
    </font>
    <font>
      <sz val="11"/>
      <name val="Helvetica"/>
      <family val="2"/>
    </font>
    <font>
      <b/>
      <sz val="12"/>
      <name val="Helvetica"/>
    </font>
    <font>
      <b/>
      <sz val="11"/>
      <name val="Helvetica"/>
      <family val="2"/>
    </font>
    <font>
      <sz val="9"/>
      <name val="Helvetica"/>
      <family val="2"/>
    </font>
    <font>
      <b/>
      <sz val="11"/>
      <color indexed="8"/>
      <name val="Helvetica"/>
      <family val="2"/>
    </font>
    <font>
      <sz val="12"/>
      <name val="Helvetica"/>
      <family val="2"/>
    </font>
    <font>
      <b/>
      <sz val="12"/>
      <name val="Helvetica"/>
      <family val="2"/>
    </font>
    <font>
      <b/>
      <i/>
      <sz val="12"/>
      <name val="Helvetica"/>
    </font>
    <font>
      <sz val="12"/>
      <name val="Helvetica"/>
    </font>
    <font>
      <sz val="18"/>
      <name val="Wingdings 3"/>
      <family val="1"/>
      <charset val="2"/>
    </font>
    <font>
      <b/>
      <i/>
      <sz val="12"/>
      <name val="Helvetica"/>
      <family val="2"/>
    </font>
    <font>
      <b/>
      <sz val="16"/>
      <name val="Arial"/>
      <family val="2"/>
    </font>
    <font>
      <sz val="12"/>
      <name val="Arial"/>
      <family val="2"/>
    </font>
    <font>
      <sz val="10"/>
      <name val="Helvetica"/>
      <family val="2"/>
    </font>
    <font>
      <sz val="7"/>
      <name val="Helvetica"/>
      <family val="2"/>
    </font>
    <font>
      <b/>
      <sz val="9"/>
      <name val="Helvetica"/>
      <family val="2"/>
    </font>
    <font>
      <b/>
      <sz val="10"/>
      <name val="Helvetica"/>
      <family val="2"/>
    </font>
    <font>
      <b/>
      <sz val="11"/>
      <name val="Arial"/>
      <family val="2"/>
    </font>
    <font>
      <sz val="11"/>
      <name val="Arial"/>
      <family val="2"/>
    </font>
    <font>
      <sz val="8"/>
      <name val="Helvetica"/>
      <family val="2"/>
    </font>
    <font>
      <b/>
      <sz val="8"/>
      <name val="Helvetica"/>
      <family val="2"/>
    </font>
    <font>
      <sz val="14"/>
      <name val="Arial"/>
      <family val="2"/>
    </font>
    <font>
      <i/>
      <sz val="10"/>
      <name val="Arial"/>
      <family val="2"/>
    </font>
    <font>
      <vertAlign val="superscript"/>
      <sz val="10"/>
      <name val="Arial"/>
      <family val="2"/>
    </font>
    <font>
      <sz val="9"/>
      <color indexed="81"/>
      <name val="Tahoma"/>
      <family val="2"/>
    </font>
    <font>
      <b/>
      <sz val="9"/>
      <color indexed="81"/>
      <name val="Tahoma"/>
      <family val="2"/>
    </font>
    <font>
      <sz val="7"/>
      <name val="Arial"/>
      <family val="2"/>
    </font>
    <font>
      <sz val="8"/>
      <color rgb="FF000000"/>
      <name val="Arial"/>
      <family val="2"/>
    </font>
  </fonts>
  <fills count="16">
    <fill>
      <patternFill patternType="none"/>
    </fill>
    <fill>
      <patternFill patternType="gray125"/>
    </fill>
    <fill>
      <patternFill patternType="solid">
        <fgColor indexed="9"/>
        <bgColor indexed="24"/>
      </patternFill>
    </fill>
    <fill>
      <patternFill patternType="solid">
        <fgColor indexed="22"/>
        <bgColor indexed="24"/>
      </patternFill>
    </fill>
    <fill>
      <patternFill patternType="solid">
        <fgColor indexed="22"/>
        <bgColor indexed="64"/>
      </patternFill>
    </fill>
    <fill>
      <patternFill patternType="solid">
        <fgColor indexed="10"/>
        <bgColor indexed="64"/>
      </patternFill>
    </fill>
    <fill>
      <patternFill patternType="solid">
        <fgColor indexed="13"/>
        <bgColor indexed="64"/>
      </patternFill>
    </fill>
    <fill>
      <patternFill patternType="solid">
        <fgColor indexed="44"/>
        <bgColor indexed="64"/>
      </patternFill>
    </fill>
    <fill>
      <patternFill patternType="solid">
        <fgColor indexed="9"/>
        <bgColor indexed="9"/>
      </patternFill>
    </fill>
    <fill>
      <patternFill patternType="solid">
        <fgColor indexed="41"/>
        <bgColor indexed="64"/>
      </patternFill>
    </fill>
    <fill>
      <patternFill patternType="solid">
        <fgColor indexed="10"/>
        <bgColor indexed="24"/>
      </patternFill>
    </fill>
    <fill>
      <patternFill patternType="solid">
        <fgColor indexed="41"/>
        <bgColor indexed="24"/>
      </patternFill>
    </fill>
    <fill>
      <patternFill patternType="solid">
        <fgColor theme="0" tint="-0.249977111117893"/>
        <bgColor indexed="64"/>
      </patternFill>
    </fill>
    <fill>
      <patternFill patternType="solid">
        <fgColor rgb="FFFF0000"/>
        <bgColor indexed="24"/>
      </patternFill>
    </fill>
    <fill>
      <patternFill patternType="solid">
        <fgColor rgb="FFFF0000"/>
        <bgColor indexed="64"/>
      </patternFill>
    </fill>
    <fill>
      <patternFill patternType="solid">
        <fgColor indexed="43"/>
        <bgColor indexed="64"/>
      </patternFill>
    </fill>
  </fills>
  <borders count="58">
    <border>
      <left/>
      <right/>
      <top/>
      <bottom/>
      <diagonal/>
    </border>
    <border>
      <left style="medium">
        <color indexed="21"/>
      </left>
      <right/>
      <top style="medium">
        <color indexed="21"/>
      </top>
      <bottom/>
      <diagonal/>
    </border>
    <border>
      <left/>
      <right/>
      <top style="medium">
        <color indexed="21"/>
      </top>
      <bottom/>
      <diagonal/>
    </border>
    <border>
      <left/>
      <right style="medium">
        <color indexed="21"/>
      </right>
      <top style="medium">
        <color indexed="21"/>
      </top>
      <bottom/>
      <diagonal/>
    </border>
    <border>
      <left style="medium">
        <color indexed="21"/>
      </left>
      <right/>
      <top/>
      <bottom/>
      <diagonal/>
    </border>
    <border>
      <left/>
      <right style="medium">
        <color indexed="21"/>
      </right>
      <top/>
      <bottom/>
      <diagonal/>
    </border>
    <border>
      <left style="medium">
        <color indexed="21"/>
      </left>
      <right/>
      <top style="thin">
        <color indexed="64"/>
      </top>
      <bottom style="thin">
        <color indexed="64"/>
      </bottom>
      <diagonal/>
    </border>
    <border>
      <left/>
      <right/>
      <top style="thin">
        <color indexed="64"/>
      </top>
      <bottom style="thin">
        <color indexed="64"/>
      </bottom>
      <diagonal/>
    </border>
    <border>
      <left/>
      <right style="medium">
        <color indexed="21"/>
      </right>
      <top style="thin">
        <color indexed="64"/>
      </top>
      <bottom style="thin">
        <color indexed="64"/>
      </bottom>
      <diagonal/>
    </border>
    <border>
      <left/>
      <right style="medium">
        <color indexed="21"/>
      </right>
      <top style="thin">
        <color indexed="64"/>
      </top>
      <bottom/>
      <diagonal/>
    </border>
    <border>
      <left style="medium">
        <color indexed="21"/>
      </left>
      <right/>
      <top style="thin">
        <color indexed="64"/>
      </top>
      <bottom style="medium">
        <color indexed="21"/>
      </bottom>
      <diagonal/>
    </border>
    <border>
      <left/>
      <right/>
      <top style="thin">
        <color indexed="64"/>
      </top>
      <bottom style="medium">
        <color indexed="21"/>
      </bottom>
      <diagonal/>
    </border>
    <border>
      <left/>
      <right style="medium">
        <color indexed="21"/>
      </right>
      <top style="thin">
        <color indexed="64"/>
      </top>
      <bottom style="medium">
        <color indexed="2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21"/>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21"/>
      </left>
      <right/>
      <top/>
      <bottom style="medium">
        <color indexed="21"/>
      </bottom>
      <diagonal/>
    </border>
    <border>
      <left/>
      <right/>
      <top/>
      <bottom style="medium">
        <color indexed="21"/>
      </bottom>
      <diagonal/>
    </border>
    <border>
      <left/>
      <right style="medium">
        <color indexed="21"/>
      </right>
      <top/>
      <bottom style="medium">
        <color indexed="21"/>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style="thin">
        <color indexed="64"/>
      </bottom>
      <diagonal/>
    </border>
    <border>
      <left style="thin">
        <color indexed="64"/>
      </left>
      <right style="thick">
        <color indexed="64"/>
      </right>
      <top style="thin">
        <color indexed="64"/>
      </top>
      <bottom/>
      <diagonal/>
    </border>
    <border>
      <left style="thin">
        <color indexed="64"/>
      </left>
      <right style="thick">
        <color indexed="64"/>
      </right>
      <top/>
      <bottom style="thin">
        <color indexed="64"/>
      </bottom>
      <diagonal/>
    </border>
    <border>
      <left/>
      <right style="thick">
        <color indexed="64"/>
      </right>
      <top/>
      <bottom style="thin">
        <color indexed="64"/>
      </bottom>
      <diagonal/>
    </border>
  </borders>
  <cellStyleXfs count="6">
    <xf numFmtId="0" fontId="0" fillId="0" borderId="0"/>
    <xf numFmtId="9" fontId="2" fillId="0" borderId="0" applyFont="0" applyFill="0" applyBorder="0" applyAlignment="0" applyProtection="0"/>
    <xf numFmtId="0" fontId="5" fillId="0" borderId="0"/>
    <xf numFmtId="0" fontId="23" fillId="0" borderId="0"/>
    <xf numFmtId="0" fontId="1" fillId="0" borderId="0"/>
    <xf numFmtId="9" fontId="1" fillId="0" borderId="0" applyFont="0" applyFill="0" applyBorder="0" applyAlignment="0" applyProtection="0"/>
  </cellStyleXfs>
  <cellXfs count="601">
    <xf numFmtId="0" fontId="0" fillId="0" borderId="0" xfId="0"/>
    <xf numFmtId="0" fontId="3" fillId="0" borderId="0" xfId="0" applyFont="1"/>
    <xf numFmtId="0" fontId="6" fillId="2" borderId="1" xfId="0" applyFont="1" applyFill="1" applyBorder="1" applyAlignment="1">
      <alignment horizontal="left" vertical="top"/>
    </xf>
    <xf numFmtId="0" fontId="6" fillId="2" borderId="2" xfId="0" applyFont="1" applyFill="1" applyBorder="1" applyAlignment="1">
      <alignment horizontal="left" vertical="top"/>
    </xf>
    <xf numFmtId="3" fontId="7" fillId="2" borderId="2" xfId="0" applyNumberFormat="1" applyFont="1" applyFill="1" applyBorder="1" applyAlignment="1">
      <alignment horizontal="right" vertical="top"/>
    </xf>
    <xf numFmtId="11" fontId="7" fillId="2" borderId="2" xfId="0" applyNumberFormat="1" applyFont="1" applyFill="1" applyBorder="1" applyAlignment="1">
      <alignment horizontal="center" vertical="top" wrapText="1"/>
    </xf>
    <xf numFmtId="0" fontId="8" fillId="2" borderId="3" xfId="0" applyFont="1" applyFill="1" applyBorder="1" applyAlignment="1">
      <alignment vertical="top" wrapText="1"/>
    </xf>
    <xf numFmtId="0" fontId="8" fillId="0" borderId="0" xfId="0" applyFont="1" applyFill="1" applyBorder="1" applyAlignment="1">
      <alignment vertical="top"/>
    </xf>
    <xf numFmtId="0" fontId="9" fillId="0" borderId="0" xfId="0" applyFont="1" applyFill="1" applyBorder="1" applyAlignment="1">
      <alignment vertical="top"/>
    </xf>
    <xf numFmtId="0" fontId="6" fillId="2" borderId="4" xfId="0" applyFont="1" applyFill="1" applyBorder="1" applyAlignment="1">
      <alignment horizontal="left"/>
    </xf>
    <xf numFmtId="0" fontId="6" fillId="2" borderId="0" xfId="0" applyFont="1" applyFill="1" applyBorder="1" applyAlignment="1">
      <alignment horizontal="left"/>
    </xf>
    <xf numFmtId="3" fontId="6" fillId="2" borderId="0" xfId="0" applyNumberFormat="1" applyFont="1" applyFill="1" applyBorder="1" applyAlignment="1">
      <alignment horizontal="right"/>
    </xf>
    <xf numFmtId="3" fontId="8" fillId="2" borderId="0" xfId="0" applyNumberFormat="1" applyFont="1" applyFill="1" applyBorder="1" applyAlignment="1"/>
    <xf numFmtId="164" fontId="8" fillId="2" borderId="0" xfId="0" applyNumberFormat="1" applyFont="1" applyFill="1" applyBorder="1" applyAlignment="1">
      <alignment horizontal="right"/>
    </xf>
    <xf numFmtId="0" fontId="8" fillId="2" borderId="0" xfId="0" applyFont="1" applyFill="1" applyBorder="1" applyAlignment="1">
      <alignment horizontal="center"/>
    </xf>
    <xf numFmtId="0" fontId="8" fillId="2" borderId="5" xfId="0" applyFont="1" applyFill="1" applyBorder="1" applyAlignment="1">
      <alignment wrapText="1"/>
    </xf>
    <xf numFmtId="0" fontId="8" fillId="0" borderId="0" xfId="0" applyFont="1" applyFill="1" applyBorder="1" applyAlignment="1"/>
    <xf numFmtId="0" fontId="9" fillId="0" borderId="0" xfId="0" applyFont="1" applyFill="1" applyBorder="1"/>
    <xf numFmtId="0" fontId="8" fillId="3" borderId="4" xfId="0" applyFont="1" applyFill="1" applyBorder="1" applyAlignment="1" applyProtection="1">
      <alignment horizontal="left" vertical="center"/>
      <protection locked="0"/>
    </xf>
    <xf numFmtId="0" fontId="8" fillId="3" borderId="0" xfId="0" applyFont="1" applyFill="1" applyBorder="1" applyAlignment="1" applyProtection="1">
      <alignment horizontal="left" vertical="center"/>
      <protection locked="0"/>
    </xf>
    <xf numFmtId="3" fontId="8" fillId="3" borderId="0" xfId="0" applyNumberFormat="1" applyFont="1" applyFill="1" applyBorder="1" applyAlignment="1" applyProtection="1">
      <alignment horizontal="right" vertical="center"/>
      <protection locked="0"/>
    </xf>
    <xf numFmtId="3" fontId="8" fillId="3" borderId="0" xfId="0" applyNumberFormat="1" applyFont="1" applyFill="1" applyBorder="1" applyAlignment="1">
      <alignment vertical="center"/>
    </xf>
    <xf numFmtId="164" fontId="8" fillId="3" borderId="0" xfId="0" applyNumberFormat="1" applyFont="1" applyFill="1" applyBorder="1" applyAlignment="1">
      <alignment horizontal="right" vertical="center"/>
    </xf>
    <xf numFmtId="2" fontId="10" fillId="3" borderId="0" xfId="0" applyNumberFormat="1" applyFont="1" applyFill="1" applyBorder="1" applyAlignment="1">
      <alignment horizontal="center" vertical="center"/>
    </xf>
    <xf numFmtId="0" fontId="8" fillId="3" borderId="5" xfId="0" applyFont="1" applyFill="1" applyBorder="1" applyAlignment="1"/>
    <xf numFmtId="0" fontId="9" fillId="0" borderId="0" xfId="0" applyFont="1" applyFill="1" applyBorder="1" applyAlignment="1"/>
    <xf numFmtId="0" fontId="8" fillId="2" borderId="4" xfId="0" applyFont="1" applyFill="1" applyBorder="1" applyAlignment="1" applyProtection="1">
      <alignment horizontal="left" vertical="center"/>
      <protection locked="0"/>
    </xf>
    <xf numFmtId="0" fontId="8" fillId="2" borderId="0" xfId="0" applyFont="1" applyFill="1" applyBorder="1" applyAlignment="1" applyProtection="1">
      <alignment horizontal="left" vertical="center"/>
      <protection locked="0"/>
    </xf>
    <xf numFmtId="3" fontId="8" fillId="2" borderId="0" xfId="0" applyNumberFormat="1" applyFont="1" applyFill="1" applyBorder="1" applyAlignment="1" applyProtection="1">
      <alignment horizontal="right" vertical="center"/>
      <protection locked="0"/>
    </xf>
    <xf numFmtId="3" fontId="8" fillId="2" borderId="0" xfId="0" applyNumberFormat="1" applyFont="1" applyFill="1" applyBorder="1" applyAlignment="1">
      <alignment vertical="center"/>
    </xf>
    <xf numFmtId="164" fontId="8" fillId="2" borderId="0" xfId="0" applyNumberFormat="1" applyFont="1" applyFill="1" applyBorder="1" applyAlignment="1">
      <alignment horizontal="right" vertical="center"/>
    </xf>
    <xf numFmtId="0" fontId="8" fillId="2" borderId="5" xfId="0" applyFont="1" applyFill="1" applyBorder="1" applyAlignment="1"/>
    <xf numFmtId="0" fontId="8" fillId="3" borderId="5" xfId="0" applyFont="1" applyFill="1" applyBorder="1" applyAlignment="1">
      <alignment wrapText="1"/>
    </xf>
    <xf numFmtId="0" fontId="6" fillId="2" borderId="4" xfId="0" applyFont="1" applyFill="1" applyBorder="1" applyAlignment="1">
      <alignment horizontal="left" vertical="center"/>
    </xf>
    <xf numFmtId="0" fontId="10" fillId="2" borderId="0" xfId="0" applyFont="1" applyFill="1" applyBorder="1" applyAlignment="1">
      <alignment horizontal="center" vertical="center"/>
    </xf>
    <xf numFmtId="0" fontId="9" fillId="0" borderId="0" xfId="0" applyFont="1" applyFill="1" applyBorder="1" applyAlignment="1">
      <alignment horizontal="left"/>
    </xf>
    <xf numFmtId="0" fontId="6" fillId="2" borderId="0" xfId="0" applyFont="1" applyFill="1" applyBorder="1" applyAlignment="1">
      <alignment horizontal="left" vertical="center"/>
    </xf>
    <xf numFmtId="3" fontId="6" fillId="2" borderId="0" xfId="0" applyNumberFormat="1" applyFont="1" applyFill="1" applyBorder="1" applyAlignment="1">
      <alignment horizontal="right" vertical="center"/>
    </xf>
    <xf numFmtId="0" fontId="8" fillId="2" borderId="0" xfId="0" applyFont="1" applyFill="1" applyBorder="1" applyAlignment="1">
      <alignment vertical="center"/>
    </xf>
    <xf numFmtId="0" fontId="11" fillId="3" borderId="6" xfId="0" applyFont="1" applyFill="1" applyBorder="1" applyAlignment="1">
      <alignment horizontal="left" vertical="center"/>
    </xf>
    <xf numFmtId="0" fontId="11" fillId="3" borderId="7" xfId="0" applyFont="1" applyFill="1" applyBorder="1" applyAlignment="1">
      <alignment horizontal="left" vertical="center"/>
    </xf>
    <xf numFmtId="3" fontId="12" fillId="3" borderId="7" xfId="0" applyNumberFormat="1" applyFont="1" applyFill="1" applyBorder="1" applyAlignment="1">
      <alignment vertical="center"/>
    </xf>
    <xf numFmtId="164" fontId="12" fillId="3" borderId="7" xfId="0" applyNumberFormat="1" applyFont="1" applyFill="1" applyBorder="1" applyAlignment="1">
      <alignment horizontal="right" vertical="center"/>
    </xf>
    <xf numFmtId="0" fontId="10" fillId="3" borderId="7" xfId="0" applyFont="1" applyFill="1" applyBorder="1" applyAlignment="1">
      <alignment horizontal="center" vertical="center"/>
    </xf>
    <xf numFmtId="0" fontId="8" fillId="0" borderId="4" xfId="0" applyFont="1" applyFill="1" applyBorder="1" applyAlignment="1" applyProtection="1">
      <alignment horizontal="left" vertical="center"/>
      <protection locked="0"/>
    </xf>
    <xf numFmtId="0" fontId="8" fillId="0" borderId="0" xfId="0" applyFont="1" applyFill="1" applyBorder="1" applyAlignment="1" applyProtection="1">
      <alignment horizontal="left" vertical="center"/>
      <protection locked="0"/>
    </xf>
    <xf numFmtId="3" fontId="8" fillId="0" borderId="0" xfId="0" applyNumberFormat="1" applyFont="1" applyFill="1" applyBorder="1" applyAlignment="1" applyProtection="1">
      <alignment horizontal="right" vertical="center"/>
      <protection locked="0"/>
    </xf>
    <xf numFmtId="3" fontId="8" fillId="0" borderId="0" xfId="0" applyNumberFormat="1" applyFont="1" applyFill="1" applyBorder="1" applyAlignment="1">
      <alignment vertical="center"/>
    </xf>
    <xf numFmtId="164" fontId="8" fillId="0" borderId="0" xfId="0" applyNumberFormat="1" applyFont="1" applyFill="1" applyBorder="1" applyAlignment="1">
      <alignment horizontal="right" vertical="center"/>
    </xf>
    <xf numFmtId="0" fontId="10" fillId="0" borderId="0" xfId="0" applyFont="1" applyFill="1" applyBorder="1" applyAlignment="1">
      <alignment horizontal="center" vertical="center"/>
    </xf>
    <xf numFmtId="0" fontId="8" fillId="0" borderId="5" xfId="0" applyFont="1" applyFill="1" applyBorder="1" applyAlignment="1">
      <alignment wrapText="1"/>
    </xf>
    <xf numFmtId="0" fontId="8" fillId="4" borderId="4" xfId="0" applyFont="1" applyFill="1" applyBorder="1" applyAlignment="1" applyProtection="1">
      <alignment horizontal="left" vertical="center"/>
      <protection locked="0"/>
    </xf>
    <xf numFmtId="0" fontId="8" fillId="4" borderId="0" xfId="0" applyFont="1" applyFill="1" applyBorder="1" applyAlignment="1" applyProtection="1">
      <alignment horizontal="left" vertical="center"/>
      <protection locked="0"/>
    </xf>
    <xf numFmtId="3" fontId="8" fillId="4" borderId="0" xfId="0" applyNumberFormat="1" applyFont="1" applyFill="1" applyBorder="1" applyAlignment="1" applyProtection="1">
      <alignment horizontal="right" vertical="center"/>
      <protection locked="0"/>
    </xf>
    <xf numFmtId="3" fontId="8" fillId="4" borderId="0" xfId="0" applyNumberFormat="1" applyFont="1" applyFill="1" applyBorder="1" applyAlignment="1">
      <alignment vertical="center"/>
    </xf>
    <xf numFmtId="164" fontId="8" fillId="4" borderId="0" xfId="0" applyNumberFormat="1" applyFont="1" applyFill="1" applyBorder="1" applyAlignment="1">
      <alignment horizontal="right" vertical="center"/>
    </xf>
    <xf numFmtId="0" fontId="8" fillId="4" borderId="5" xfId="0" applyFont="1" applyFill="1" applyBorder="1" applyAlignment="1">
      <alignment wrapText="1"/>
    </xf>
    <xf numFmtId="0" fontId="11" fillId="4" borderId="6" xfId="0" applyFont="1" applyFill="1" applyBorder="1" applyAlignment="1">
      <alignment horizontal="left" vertical="center"/>
    </xf>
    <xf numFmtId="0" fontId="11" fillId="4" borderId="7" xfId="0" applyFont="1" applyFill="1" applyBorder="1" applyAlignment="1">
      <alignment horizontal="left" vertical="center"/>
    </xf>
    <xf numFmtId="3" fontId="12" fillId="4" borderId="7" xfId="0" applyNumberFormat="1" applyFont="1" applyFill="1" applyBorder="1" applyAlignment="1">
      <alignment vertical="center"/>
    </xf>
    <xf numFmtId="164" fontId="12" fillId="4" borderId="7" xfId="0" applyNumberFormat="1" applyFont="1" applyFill="1" applyBorder="1" applyAlignment="1">
      <alignment horizontal="right" vertical="center"/>
    </xf>
    <xf numFmtId="0" fontId="10" fillId="4" borderId="7" xfId="0" applyFont="1" applyFill="1" applyBorder="1" applyAlignment="1">
      <alignment horizontal="center" vertical="center"/>
    </xf>
    <xf numFmtId="0" fontId="8" fillId="4" borderId="8" xfId="0" applyFont="1" applyFill="1" applyBorder="1" applyAlignment="1">
      <alignment vertical="top" wrapText="1"/>
    </xf>
    <xf numFmtId="0" fontId="8" fillId="3" borderId="8" xfId="0" applyFont="1" applyFill="1" applyBorder="1" applyAlignment="1">
      <alignment wrapText="1"/>
    </xf>
    <xf numFmtId="0" fontId="6" fillId="0" borderId="0" xfId="0" applyFont="1" applyFill="1" applyBorder="1" applyAlignment="1">
      <alignment horizontal="left"/>
    </xf>
    <xf numFmtId="3" fontId="6" fillId="0" borderId="0" xfId="0" applyNumberFormat="1" applyFont="1" applyFill="1" applyBorder="1" applyAlignment="1">
      <alignment horizontal="right"/>
    </xf>
    <xf numFmtId="3" fontId="8" fillId="0" borderId="0" xfId="0" applyNumberFormat="1" applyFont="1" applyFill="1" applyBorder="1" applyAlignment="1"/>
    <xf numFmtId="164" fontId="8" fillId="0" borderId="0" xfId="0" applyNumberFormat="1" applyFont="1" applyFill="1" applyBorder="1" applyAlignment="1">
      <alignment horizontal="right"/>
    </xf>
    <xf numFmtId="0" fontId="10" fillId="0" borderId="0" xfId="0" applyFont="1" applyFill="1" applyBorder="1" applyAlignment="1">
      <alignment horizontal="center"/>
    </xf>
    <xf numFmtId="0" fontId="8" fillId="0" borderId="0" xfId="0" applyFont="1" applyFill="1" applyBorder="1" applyAlignment="1">
      <alignment wrapText="1"/>
    </xf>
    <xf numFmtId="0" fontId="12" fillId="0" borderId="0" xfId="0" applyFont="1" applyFill="1" applyBorder="1" applyAlignment="1">
      <alignment horizontal="left"/>
    </xf>
    <xf numFmtId="3" fontId="12" fillId="0" borderId="0" xfId="0" applyNumberFormat="1" applyFont="1" applyFill="1" applyBorder="1" applyAlignment="1">
      <alignment horizontal="right"/>
    </xf>
    <xf numFmtId="0" fontId="14" fillId="0" borderId="0" xfId="0" applyFont="1" applyFill="1" applyBorder="1" applyAlignment="1">
      <alignment horizontal="center"/>
    </xf>
    <xf numFmtId="3" fontId="9" fillId="0" borderId="0" xfId="0" applyNumberFormat="1" applyFont="1" applyFill="1" applyBorder="1" applyAlignment="1">
      <alignment horizontal="right"/>
    </xf>
    <xf numFmtId="164" fontId="9" fillId="0" borderId="0" xfId="0" applyNumberFormat="1" applyFont="1" applyFill="1" applyBorder="1" applyAlignment="1">
      <alignment horizontal="right"/>
    </xf>
    <xf numFmtId="0" fontId="8" fillId="0" borderId="0" xfId="0" applyFont="1" applyFill="1" applyBorder="1" applyAlignment="1">
      <alignment horizontal="center"/>
    </xf>
    <xf numFmtId="0" fontId="9" fillId="0" borderId="0" xfId="0" applyFont="1" applyFill="1" applyBorder="1" applyAlignment="1">
      <alignment wrapText="1"/>
    </xf>
    <xf numFmtId="0" fontId="8" fillId="3" borderId="8" xfId="0" applyFont="1" applyFill="1" applyBorder="1" applyAlignment="1">
      <alignment vertical="center" wrapText="1"/>
    </xf>
    <xf numFmtId="0" fontId="8" fillId="0" borderId="9" xfId="0" applyFont="1" applyFill="1" applyBorder="1" applyAlignment="1">
      <alignment vertical="center" wrapText="1"/>
    </xf>
    <xf numFmtId="0" fontId="11" fillId="2" borderId="4" xfId="0" applyFont="1" applyFill="1" applyBorder="1" applyAlignment="1">
      <alignment horizontal="left"/>
    </xf>
    <xf numFmtId="0" fontId="7" fillId="2" borderId="0" xfId="0" applyFont="1" applyFill="1" applyBorder="1" applyAlignment="1">
      <alignment horizontal="left" vertical="center"/>
    </xf>
    <xf numFmtId="3" fontId="7" fillId="2" borderId="0" xfId="0" applyNumberFormat="1" applyFont="1" applyFill="1" applyBorder="1" applyAlignment="1">
      <alignment vertical="center"/>
    </xf>
    <xf numFmtId="164" fontId="7" fillId="2" borderId="0" xfId="0" applyNumberFormat="1" applyFont="1" applyFill="1" applyBorder="1" applyAlignment="1">
      <alignment horizontal="right" vertical="center"/>
    </xf>
    <xf numFmtId="0" fontId="7" fillId="2" borderId="0" xfId="0" applyFont="1" applyFill="1" applyBorder="1" applyAlignment="1">
      <alignment horizontal="center"/>
    </xf>
    <xf numFmtId="0" fontId="8" fillId="0" borderId="5" xfId="0" applyFont="1" applyFill="1" applyBorder="1" applyAlignment="1">
      <alignment vertical="center" wrapText="1"/>
    </xf>
    <xf numFmtId="0" fontId="7" fillId="0" borderId="5" xfId="0" applyFont="1" applyFill="1" applyBorder="1" applyAlignment="1">
      <alignment vertical="center" wrapText="1"/>
    </xf>
    <xf numFmtId="0" fontId="8" fillId="4" borderId="5" xfId="0" applyFont="1" applyFill="1" applyBorder="1" applyAlignment="1">
      <alignment vertical="center" wrapText="1"/>
    </xf>
    <xf numFmtId="0" fontId="7" fillId="4" borderId="5" xfId="0" applyFont="1" applyFill="1" applyBorder="1" applyAlignment="1">
      <alignment vertical="center" wrapText="1"/>
    </xf>
    <xf numFmtId="0" fontId="11" fillId="0" borderId="4" xfId="0" applyFont="1" applyFill="1" applyBorder="1" applyAlignment="1">
      <alignment horizontal="left"/>
    </xf>
    <xf numFmtId="0" fontId="7" fillId="0" borderId="0" xfId="0" applyFont="1" applyFill="1" applyBorder="1" applyAlignment="1">
      <alignment horizontal="left" vertical="center"/>
    </xf>
    <xf numFmtId="3" fontId="7" fillId="0" borderId="0" xfId="0" applyNumberFormat="1" applyFont="1" applyFill="1" applyBorder="1" applyAlignment="1">
      <alignment vertical="center"/>
    </xf>
    <xf numFmtId="164" fontId="7" fillId="0" borderId="0" xfId="0" applyNumberFormat="1" applyFont="1" applyFill="1" applyBorder="1" applyAlignment="1">
      <alignment horizontal="right" vertical="center"/>
    </xf>
    <xf numFmtId="0" fontId="7" fillId="0" borderId="0" xfId="0" applyFont="1" applyFill="1" applyBorder="1" applyAlignment="1">
      <alignment horizontal="center"/>
    </xf>
    <xf numFmtId="0" fontId="11" fillId="4" borderId="10" xfId="0" applyFont="1" applyFill="1" applyBorder="1" applyAlignment="1">
      <alignment horizontal="left"/>
    </xf>
    <xf numFmtId="0" fontId="11" fillId="4" borderId="11" xfId="0" applyFont="1" applyFill="1" applyBorder="1" applyAlignment="1">
      <alignment horizontal="left" vertical="center"/>
    </xf>
    <xf numFmtId="3" fontId="12" fillId="4" borderId="11" xfId="0" applyNumberFormat="1" applyFont="1" applyFill="1" applyBorder="1" applyAlignment="1">
      <alignment vertical="center"/>
    </xf>
    <xf numFmtId="164" fontId="12" fillId="4" borderId="11" xfId="0" applyNumberFormat="1" applyFont="1" applyFill="1" applyBorder="1" applyAlignment="1">
      <alignment horizontal="right" vertical="center"/>
    </xf>
    <xf numFmtId="0" fontId="8" fillId="4" borderId="11" xfId="0" applyFont="1" applyFill="1" applyBorder="1" applyAlignment="1">
      <alignment horizontal="center"/>
    </xf>
    <xf numFmtId="0" fontId="8" fillId="4" borderId="12" xfId="0" applyFont="1" applyFill="1" applyBorder="1" applyAlignment="1">
      <alignment wrapText="1"/>
    </xf>
    <xf numFmtId="0" fontId="11" fillId="4" borderId="4" xfId="0" applyFont="1" applyFill="1" applyBorder="1" applyAlignment="1">
      <alignment horizontal="left"/>
    </xf>
    <xf numFmtId="0" fontId="7" fillId="4" borderId="0" xfId="0" applyFont="1" applyFill="1" applyBorder="1" applyAlignment="1">
      <alignment horizontal="left" vertical="center"/>
    </xf>
    <xf numFmtId="3" fontId="7" fillId="4" borderId="0" xfId="0" applyNumberFormat="1" applyFont="1" applyFill="1" applyBorder="1" applyAlignment="1">
      <alignment vertical="center"/>
    </xf>
    <xf numFmtId="164" fontId="7" fillId="4" borderId="0" xfId="0" applyNumberFormat="1" applyFont="1" applyFill="1" applyBorder="1" applyAlignment="1">
      <alignment horizontal="right" vertical="center"/>
    </xf>
    <xf numFmtId="0" fontId="7" fillId="4" borderId="0" xfId="0" applyFont="1" applyFill="1" applyBorder="1" applyAlignment="1">
      <alignment horizontal="center"/>
    </xf>
    <xf numFmtId="3" fontId="8" fillId="4" borderId="8" xfId="0" applyNumberFormat="1" applyFont="1" applyFill="1" applyBorder="1" applyAlignment="1">
      <alignment vertical="center" wrapText="1"/>
    </xf>
    <xf numFmtId="3" fontId="9" fillId="0" borderId="0" xfId="0" applyNumberFormat="1" applyFont="1" applyFill="1" applyBorder="1"/>
    <xf numFmtId="3" fontId="14" fillId="0" borderId="0" xfId="0" applyNumberFormat="1" applyFont="1" applyFill="1" applyBorder="1" applyAlignment="1">
      <alignment horizontal="center"/>
    </xf>
    <xf numFmtId="3" fontId="9" fillId="0" borderId="0" xfId="0" applyNumberFormat="1" applyFont="1" applyFill="1" applyBorder="1" applyAlignment="1">
      <alignment wrapText="1"/>
    </xf>
    <xf numFmtId="0" fontId="18" fillId="0" borderId="0" xfId="0" applyFont="1"/>
    <xf numFmtId="3" fontId="18" fillId="0" borderId="0" xfId="0" applyNumberFormat="1" applyFont="1"/>
    <xf numFmtId="0" fontId="18" fillId="6" borderId="0" xfId="0" applyFont="1" applyFill="1"/>
    <xf numFmtId="3" fontId="0" fillId="0" borderId="0" xfId="0" applyNumberFormat="1"/>
    <xf numFmtId="3" fontId="18" fillId="0" borderId="0" xfId="0" applyNumberFormat="1" applyFont="1" applyFill="1"/>
    <xf numFmtId="3" fontId="16" fillId="0" borderId="13" xfId="0" applyNumberFormat="1" applyFont="1" applyBorder="1"/>
    <xf numFmtId="3" fontId="8" fillId="3" borderId="5" xfId="0" applyNumberFormat="1" applyFont="1" applyFill="1" applyBorder="1" applyAlignment="1"/>
    <xf numFmtId="2" fontId="10" fillId="0" borderId="0" xfId="0" applyNumberFormat="1" applyFont="1" applyFill="1" applyBorder="1" applyAlignment="1">
      <alignment horizontal="center" vertical="center"/>
    </xf>
    <xf numFmtId="0" fontId="13" fillId="0" borderId="0" xfId="0" applyFont="1" applyFill="1" applyBorder="1" applyAlignment="1" applyProtection="1">
      <alignment horizontal="left"/>
      <protection locked="0"/>
    </xf>
    <xf numFmtId="0" fontId="12" fillId="0" borderId="0" xfId="0" applyFont="1" applyFill="1" applyBorder="1" applyAlignment="1"/>
    <xf numFmtId="0" fontId="21" fillId="0" borderId="0" xfId="0" applyFont="1" applyFill="1" applyBorder="1"/>
    <xf numFmtId="0" fontId="12" fillId="3" borderId="4" xfId="0" applyFont="1" applyFill="1" applyBorder="1" applyAlignment="1">
      <alignment horizontal="left"/>
    </xf>
    <xf numFmtId="0" fontId="12" fillId="3" borderId="0" xfId="0" applyFont="1" applyFill="1" applyBorder="1" applyAlignment="1">
      <alignment horizontal="left" vertical="center"/>
    </xf>
    <xf numFmtId="3" fontId="12" fillId="3" borderId="0" xfId="0" applyNumberFormat="1" applyFont="1" applyFill="1" applyBorder="1" applyAlignment="1">
      <alignment vertical="center"/>
    </xf>
    <xf numFmtId="164" fontId="12" fillId="3" borderId="0" xfId="0" applyNumberFormat="1" applyFont="1" applyFill="1" applyBorder="1" applyAlignment="1">
      <alignment horizontal="right" vertical="center"/>
    </xf>
    <xf numFmtId="0" fontId="12" fillId="3" borderId="0" xfId="0" applyFont="1" applyFill="1" applyBorder="1" applyAlignment="1">
      <alignment horizontal="center"/>
    </xf>
    <xf numFmtId="0" fontId="12" fillId="4" borderId="5" xfId="0" applyFont="1" applyFill="1" applyBorder="1" applyAlignment="1">
      <alignment vertical="center" wrapText="1"/>
    </xf>
    <xf numFmtId="0" fontId="7" fillId="0" borderId="0" xfId="0" applyFont="1" applyFill="1" applyBorder="1" applyAlignment="1">
      <alignment horizontal="left" vertical="center" wrapText="1"/>
    </xf>
    <xf numFmtId="0" fontId="11" fillId="0" borderId="22" xfId="0" applyFont="1" applyFill="1" applyBorder="1" applyAlignment="1">
      <alignment horizontal="left"/>
    </xf>
    <xf numFmtId="164" fontId="12" fillId="0" borderId="15" xfId="0" applyNumberFormat="1" applyFont="1" applyFill="1" applyBorder="1" applyAlignment="1">
      <alignment horizontal="right" vertical="center"/>
    </xf>
    <xf numFmtId="0" fontId="10" fillId="0" borderId="15" xfId="0" applyFont="1" applyFill="1" applyBorder="1" applyAlignment="1">
      <alignment horizontal="center" vertical="center"/>
    </xf>
    <xf numFmtId="2" fontId="10" fillId="4" borderId="7" xfId="0" applyNumberFormat="1" applyFont="1" applyFill="1" applyBorder="1" applyAlignment="1">
      <alignment horizontal="center" vertical="center"/>
    </xf>
    <xf numFmtId="0" fontId="8" fillId="4" borderId="8" xfId="0" applyFont="1" applyFill="1" applyBorder="1" applyAlignment="1">
      <alignment wrapText="1"/>
    </xf>
    <xf numFmtId="2" fontId="10" fillId="4" borderId="0" xfId="0" applyNumberFormat="1" applyFont="1" applyFill="1" applyBorder="1" applyAlignment="1">
      <alignment horizontal="center" vertical="center"/>
    </xf>
    <xf numFmtId="0" fontId="6" fillId="0" borderId="0" xfId="0" applyFont="1" applyFill="1" applyBorder="1" applyAlignment="1">
      <alignment horizontal="left" vertical="center"/>
    </xf>
    <xf numFmtId="3" fontId="6" fillId="0" borderId="0" xfId="0" applyNumberFormat="1" applyFont="1" applyFill="1" applyBorder="1" applyAlignment="1">
      <alignment horizontal="right" vertical="center"/>
    </xf>
    <xf numFmtId="0" fontId="8" fillId="0" borderId="0" xfId="0" applyFont="1" applyFill="1" applyBorder="1" applyAlignment="1">
      <alignment vertical="center"/>
    </xf>
    <xf numFmtId="0" fontId="15" fillId="0" borderId="0" xfId="0" applyFont="1"/>
    <xf numFmtId="0" fontId="7" fillId="4" borderId="0" xfId="0" applyFont="1" applyFill="1" applyBorder="1" applyAlignment="1">
      <alignment horizontal="left" vertical="center" wrapText="1"/>
    </xf>
    <xf numFmtId="0" fontId="24" fillId="0" borderId="0" xfId="0" applyFont="1" applyBorder="1" applyAlignment="1"/>
    <xf numFmtId="165" fontId="25" fillId="0" borderId="0" xfId="0" applyNumberFormat="1" applyFont="1" applyFill="1" applyBorder="1" applyAlignment="1"/>
    <xf numFmtId="0" fontId="24" fillId="0" borderId="0" xfId="0" applyFont="1" applyFill="1" applyAlignment="1">
      <alignment horizontal="right"/>
    </xf>
    <xf numFmtId="0" fontId="24" fillId="0" borderId="0" xfId="0" applyFont="1" applyAlignment="1">
      <alignment horizontal="right"/>
    </xf>
    <xf numFmtId="0" fontId="24" fillId="8" borderId="0" xfId="0" applyFont="1" applyFill="1" applyAlignment="1"/>
    <xf numFmtId="0" fontId="24" fillId="0" borderId="0" xfId="0" applyFont="1" applyAlignment="1"/>
    <xf numFmtId="0" fontId="24" fillId="0" borderId="14" xfId="0" applyFont="1" applyBorder="1"/>
    <xf numFmtId="0" fontId="24" fillId="0" borderId="15" xfId="0" applyFont="1" applyBorder="1"/>
    <xf numFmtId="0" fontId="26" fillId="0" borderId="33" xfId="0" applyFont="1" applyFill="1" applyBorder="1" applyAlignment="1">
      <alignment horizontal="center"/>
    </xf>
    <xf numFmtId="0" fontId="24" fillId="0" borderId="0" xfId="0" applyFont="1"/>
    <xf numFmtId="0" fontId="24" fillId="0" borderId="17" xfId="0" applyFont="1" applyBorder="1"/>
    <xf numFmtId="0" fontId="26" fillId="0" borderId="0" xfId="0" applyFont="1" applyBorder="1"/>
    <xf numFmtId="0" fontId="26" fillId="0" borderId="34" xfId="0" applyFont="1" applyFill="1" applyBorder="1" applyAlignment="1">
      <alignment horizontal="center"/>
    </xf>
    <xf numFmtId="0" fontId="26" fillId="0" borderId="35" xfId="0" applyFont="1" applyFill="1" applyBorder="1" applyAlignment="1">
      <alignment horizontal="center"/>
    </xf>
    <xf numFmtId="0" fontId="24" fillId="0" borderId="19" xfId="0" applyFont="1" applyBorder="1"/>
    <xf numFmtId="0" fontId="27" fillId="0" borderId="20" xfId="0" applyFont="1" applyBorder="1"/>
    <xf numFmtId="0" fontId="24" fillId="0" borderId="0" xfId="0" applyFont="1" applyBorder="1"/>
    <xf numFmtId="0" fontId="26" fillId="0" borderId="33" xfId="0" applyNumberFormat="1" applyFont="1" applyFill="1" applyBorder="1" applyAlignment="1">
      <alignment horizontal="right"/>
    </xf>
    <xf numFmtId="0" fontId="26" fillId="0" borderId="16" xfId="0" applyNumberFormat="1" applyFont="1" applyFill="1" applyBorder="1" applyAlignment="1">
      <alignment horizontal="right"/>
    </xf>
    <xf numFmtId="0" fontId="29" fillId="0" borderId="17" xfId="0" applyFont="1" applyBorder="1"/>
    <xf numFmtId="0" fontId="30" fillId="0" borderId="0" xfId="0" applyFont="1" applyBorder="1"/>
    <xf numFmtId="0" fontId="30" fillId="0" borderId="34" xfId="0" applyNumberFormat="1" applyFont="1" applyFill="1" applyBorder="1" applyAlignment="1">
      <alignment horizontal="right"/>
    </xf>
    <xf numFmtId="0" fontId="30" fillId="0" borderId="18" xfId="0" applyNumberFormat="1" applyFont="1" applyFill="1" applyBorder="1" applyAlignment="1">
      <alignment horizontal="right"/>
    </xf>
    <xf numFmtId="0" fontId="29" fillId="0" borderId="0" xfId="0" applyFont="1"/>
    <xf numFmtId="0" fontId="29" fillId="0" borderId="0" xfId="0" applyFont="1" applyBorder="1"/>
    <xf numFmtId="165" fontId="30" fillId="0" borderId="34" xfId="0" applyNumberFormat="1" applyFont="1" applyFill="1" applyBorder="1" applyAlignment="1">
      <alignment horizontal="right"/>
    </xf>
    <xf numFmtId="165" fontId="30" fillId="0" borderId="18" xfId="0" applyNumberFormat="1" applyFont="1" applyFill="1" applyBorder="1" applyAlignment="1">
      <alignment horizontal="right"/>
    </xf>
    <xf numFmtId="165" fontId="29" fillId="0" borderId="0" xfId="0" applyNumberFormat="1" applyFont="1"/>
    <xf numFmtId="0" fontId="29" fillId="0" borderId="20" xfId="0" applyFont="1" applyBorder="1"/>
    <xf numFmtId="165" fontId="30" fillId="0" borderId="35" xfId="0" applyNumberFormat="1" applyFont="1" applyFill="1" applyBorder="1" applyAlignment="1">
      <alignment horizontal="right"/>
    </xf>
    <xf numFmtId="165" fontId="30" fillId="0" borderId="21" xfId="0" applyNumberFormat="1" applyFont="1" applyFill="1" applyBorder="1" applyAlignment="1">
      <alignment horizontal="right"/>
    </xf>
    <xf numFmtId="165" fontId="29" fillId="0" borderId="33" xfId="0" applyNumberFormat="1" applyFont="1" applyFill="1" applyBorder="1"/>
    <xf numFmtId="165" fontId="29" fillId="0" borderId="18" xfId="0" applyNumberFormat="1" applyFont="1" applyFill="1" applyBorder="1"/>
    <xf numFmtId="0" fontId="25" fillId="0" borderId="17" xfId="0" applyFont="1" applyBorder="1"/>
    <xf numFmtId="0" fontId="25" fillId="0" borderId="20" xfId="0" applyFont="1" applyBorder="1"/>
    <xf numFmtId="165" fontId="25" fillId="0" borderId="35" xfId="0" applyNumberFormat="1" applyFont="1" applyFill="1" applyBorder="1" applyAlignment="1">
      <alignment horizontal="right"/>
    </xf>
    <xf numFmtId="165" fontId="25" fillId="0" borderId="21" xfId="0" applyNumberFormat="1" applyFont="1" applyFill="1" applyBorder="1" applyAlignment="1">
      <alignment horizontal="right"/>
    </xf>
    <xf numFmtId="0" fontId="25" fillId="0" borderId="0" xfId="0" applyFont="1"/>
    <xf numFmtId="0" fontId="31" fillId="0" borderId="17" xfId="0" applyFont="1" applyBorder="1"/>
    <xf numFmtId="0" fontId="31" fillId="0" borderId="20" xfId="0" applyFont="1" applyBorder="1"/>
    <xf numFmtId="165" fontId="31" fillId="0" borderId="35" xfId="0" applyNumberFormat="1" applyFont="1" applyFill="1" applyBorder="1" applyAlignment="1">
      <alignment horizontal="right"/>
    </xf>
    <xf numFmtId="165" fontId="31" fillId="0" borderId="21" xfId="0" applyNumberFormat="1" applyFont="1" applyFill="1" applyBorder="1" applyAlignment="1">
      <alignment horizontal="right"/>
    </xf>
    <xf numFmtId="0" fontId="32" fillId="0" borderId="0" xfId="0" applyFont="1"/>
    <xf numFmtId="0" fontId="31" fillId="0" borderId="0" xfId="0" applyFont="1"/>
    <xf numFmtId="0" fontId="25" fillId="0" borderId="20" xfId="0" applyFont="1" applyBorder="1" applyAlignment="1">
      <alignment wrapText="1"/>
    </xf>
    <xf numFmtId="165" fontId="30" fillId="0" borderId="33" xfId="0" applyNumberFormat="1" applyFont="1" applyFill="1" applyBorder="1" applyAlignment="1">
      <alignment horizontal="right"/>
    </xf>
    <xf numFmtId="0" fontId="33" fillId="0" borderId="17" xfId="0" applyFont="1" applyBorder="1" applyAlignment="1">
      <alignment horizontal="center"/>
    </xf>
    <xf numFmtId="0" fontId="34" fillId="0" borderId="20" xfId="0" applyFont="1" applyFill="1" applyBorder="1"/>
    <xf numFmtId="165" fontId="34" fillId="0" borderId="35" xfId="0" applyNumberFormat="1" applyFont="1" applyFill="1" applyBorder="1" applyAlignment="1">
      <alignment horizontal="right"/>
    </xf>
    <xf numFmtId="165" fontId="34" fillId="0" borderId="21" xfId="0" applyNumberFormat="1" applyFont="1" applyFill="1" applyBorder="1" applyAlignment="1">
      <alignment horizontal="right"/>
    </xf>
    <xf numFmtId="0" fontId="29" fillId="0" borderId="19" xfId="0" applyFont="1" applyBorder="1"/>
    <xf numFmtId="3" fontId="24" fillId="0" borderId="0" xfId="0" applyNumberFormat="1" applyFont="1" applyBorder="1"/>
    <xf numFmtId="164" fontId="26" fillId="0" borderId="0" xfId="0" applyNumberFormat="1" applyFont="1" applyFill="1" applyBorder="1" applyAlignment="1">
      <alignment horizontal="right"/>
    </xf>
    <xf numFmtId="0" fontId="26" fillId="0" borderId="0" xfId="0" applyNumberFormat="1" applyFont="1" applyFill="1" applyBorder="1" applyAlignment="1">
      <alignment horizontal="right"/>
    </xf>
    <xf numFmtId="0" fontId="26" fillId="0" borderId="0" xfId="0" applyNumberFormat="1" applyFont="1" applyBorder="1" applyAlignment="1">
      <alignment horizontal="right"/>
    </xf>
    <xf numFmtId="164" fontId="26" fillId="0" borderId="0" xfId="0" applyNumberFormat="1" applyFont="1" applyBorder="1" applyAlignment="1">
      <alignment horizontal="right"/>
    </xf>
    <xf numFmtId="0" fontId="25" fillId="0" borderId="0" xfId="0" applyFont="1" applyBorder="1"/>
    <xf numFmtId="165" fontId="25" fillId="7" borderId="0" xfId="0" applyNumberFormat="1" applyFont="1" applyFill="1" applyBorder="1" applyAlignment="1">
      <alignment horizontal="right"/>
    </xf>
    <xf numFmtId="165" fontId="25" fillId="0" borderId="0" xfId="0" applyNumberFormat="1" applyFont="1" applyFill="1" applyBorder="1" applyAlignment="1">
      <alignment horizontal="right"/>
    </xf>
    <xf numFmtId="164" fontId="26" fillId="0" borderId="0" xfId="0" applyNumberFormat="1" applyFont="1" applyAlignment="1">
      <alignment horizontal="right"/>
    </xf>
    <xf numFmtId="0" fontId="26" fillId="0" borderId="0" xfId="0" applyNumberFormat="1" applyFont="1" applyAlignment="1">
      <alignment horizontal="right"/>
    </xf>
    <xf numFmtId="166" fontId="24" fillId="0" borderId="0" xfId="0" applyNumberFormat="1" applyFont="1" applyBorder="1"/>
    <xf numFmtId="167" fontId="26" fillId="0" borderId="0" xfId="0" applyNumberFormat="1" applyFont="1" applyAlignment="1">
      <alignment horizontal="right"/>
    </xf>
    <xf numFmtId="2" fontId="26" fillId="0" borderId="0" xfId="0" applyNumberFormat="1" applyFont="1" applyAlignment="1">
      <alignment horizontal="right"/>
    </xf>
    <xf numFmtId="3" fontId="24" fillId="0" borderId="0" xfId="0" applyNumberFormat="1" applyFont="1" applyAlignment="1">
      <alignment horizontal="right"/>
    </xf>
    <xf numFmtId="3" fontId="5" fillId="0" borderId="0" xfId="0" applyNumberFormat="1" applyFont="1" applyFill="1" applyProtection="1"/>
    <xf numFmtId="3" fontId="5" fillId="0" borderId="0" xfId="0" applyNumberFormat="1" applyFont="1" applyProtection="1"/>
    <xf numFmtId="0" fontId="5" fillId="0" borderId="0" xfId="0" applyFont="1"/>
    <xf numFmtId="3" fontId="4" fillId="0" borderId="0" xfId="0" applyNumberFormat="1" applyFont="1" applyFill="1" applyProtection="1"/>
    <xf numFmtId="3" fontId="36" fillId="0" borderId="0" xfId="0" applyNumberFormat="1" applyFont="1" applyFill="1" applyProtection="1"/>
    <xf numFmtId="0" fontId="36" fillId="0" borderId="0" xfId="0" applyFont="1"/>
    <xf numFmtId="3" fontId="3" fillId="4" borderId="36" xfId="0" applyNumberFormat="1" applyFont="1" applyFill="1" applyBorder="1" applyProtection="1"/>
    <xf numFmtId="3" fontId="3" fillId="4" borderId="37" xfId="0" applyNumberFormat="1" applyFont="1" applyFill="1" applyBorder="1" applyAlignment="1" applyProtection="1">
      <alignment horizontal="center"/>
    </xf>
    <xf numFmtId="3" fontId="3" fillId="4" borderId="38" xfId="0" applyNumberFormat="1" applyFont="1" applyFill="1" applyBorder="1" applyAlignment="1" applyProtection="1">
      <alignment horizontal="center"/>
    </xf>
    <xf numFmtId="3" fontId="3" fillId="0" borderId="39" xfId="0" applyNumberFormat="1" applyFont="1" applyFill="1" applyBorder="1" applyProtection="1"/>
    <xf numFmtId="3" fontId="3" fillId="0" borderId="13" xfId="0" applyNumberFormat="1" applyFont="1" applyFill="1" applyBorder="1" applyProtection="1"/>
    <xf numFmtId="3" fontId="3" fillId="0" borderId="40" xfId="0" applyNumberFormat="1" applyFont="1" applyFill="1" applyBorder="1" applyProtection="1"/>
    <xf numFmtId="3" fontId="5" fillId="4" borderId="39" xfId="0" applyNumberFormat="1" applyFont="1" applyFill="1" applyBorder="1" applyProtection="1"/>
    <xf numFmtId="3" fontId="5" fillId="4" borderId="13" xfId="0" applyNumberFormat="1" applyFont="1" applyFill="1" applyBorder="1" applyProtection="1"/>
    <xf numFmtId="3" fontId="5" fillId="4" borderId="40" xfId="0" applyNumberFormat="1" applyFont="1" applyFill="1" applyBorder="1" applyProtection="1"/>
    <xf numFmtId="3" fontId="5" fillId="0" borderId="39" xfId="0" applyNumberFormat="1" applyFont="1" applyFill="1" applyBorder="1" applyProtection="1"/>
    <xf numFmtId="3" fontId="5" fillId="0" borderId="13" xfId="0" applyNumberFormat="1" applyFont="1" applyFill="1" applyBorder="1" applyProtection="1"/>
    <xf numFmtId="3" fontId="5" fillId="0" borderId="40" xfId="0" applyNumberFormat="1" applyFont="1" applyFill="1" applyBorder="1" applyProtection="1"/>
    <xf numFmtId="3" fontId="5" fillId="0" borderId="41" xfId="0" applyNumberFormat="1" applyFont="1" applyFill="1" applyBorder="1" applyProtection="1"/>
    <xf numFmtId="3" fontId="5" fillId="0" borderId="7" xfId="0" applyNumberFormat="1" applyFont="1" applyFill="1" applyBorder="1" applyProtection="1"/>
    <xf numFmtId="3" fontId="5" fillId="0" borderId="42" xfId="0" applyNumberFormat="1" applyFont="1" applyFill="1" applyBorder="1" applyProtection="1"/>
    <xf numFmtId="0" fontId="5" fillId="0" borderId="28" xfId="0" applyFont="1" applyBorder="1"/>
    <xf numFmtId="0" fontId="5" fillId="0" borderId="15" xfId="0" applyFont="1" applyBorder="1"/>
    <xf numFmtId="0" fontId="5" fillId="0" borderId="29" xfId="0" applyFont="1" applyBorder="1"/>
    <xf numFmtId="3" fontId="3" fillId="4" borderId="43" xfId="0" applyNumberFormat="1" applyFont="1" applyFill="1" applyBorder="1" applyProtection="1"/>
    <xf numFmtId="3" fontId="3" fillId="4" borderId="44" xfId="0" applyNumberFormat="1" applyFont="1" applyFill="1" applyBorder="1"/>
    <xf numFmtId="3" fontId="3" fillId="4" borderId="45" xfId="0" applyNumberFormat="1" applyFont="1" applyFill="1" applyBorder="1"/>
    <xf numFmtId="0" fontId="5" fillId="0" borderId="0" xfId="0" applyFont="1" applyFill="1"/>
    <xf numFmtId="0" fontId="3" fillId="0" borderId="0" xfId="0" applyFont="1" applyFill="1"/>
    <xf numFmtId="0" fontId="37" fillId="0" borderId="0" xfId="3" applyFont="1" applyBorder="1"/>
    <xf numFmtId="0" fontId="38" fillId="0" borderId="0" xfId="3" applyFont="1" applyBorder="1" applyAlignment="1">
      <alignment horizontal="right"/>
    </xf>
    <xf numFmtId="0" fontId="23" fillId="0" borderId="0" xfId="3" applyBorder="1"/>
    <xf numFmtId="0" fontId="39" fillId="0" borderId="0" xfId="3" applyFont="1" applyBorder="1"/>
    <xf numFmtId="0" fontId="27" fillId="0" borderId="0" xfId="3" applyFont="1" applyBorder="1"/>
    <xf numFmtId="0" fontId="40" fillId="0" borderId="0" xfId="3" applyFont="1" applyBorder="1" applyAlignment="1">
      <alignment horizontal="left"/>
    </xf>
    <xf numFmtId="0" fontId="41" fillId="0" borderId="0" xfId="3" applyFont="1" applyBorder="1" applyAlignment="1">
      <alignment horizontal="left"/>
    </xf>
    <xf numFmtId="2" fontId="23" fillId="0" borderId="0" xfId="3" applyNumberFormat="1"/>
    <xf numFmtId="2" fontId="23" fillId="0" borderId="0" xfId="3" applyNumberFormat="1" applyBorder="1"/>
    <xf numFmtId="0" fontId="42" fillId="0" borderId="0" xfId="3" applyFont="1" applyBorder="1"/>
    <xf numFmtId="0" fontId="42" fillId="0" borderId="0" xfId="3" applyFont="1" applyBorder="1" applyAlignment="1">
      <alignment horizontal="left"/>
    </xf>
    <xf numFmtId="0" fontId="23" fillId="0" borderId="0" xfId="3"/>
    <xf numFmtId="0" fontId="40" fillId="0" borderId="23" xfId="3" applyFont="1" applyBorder="1"/>
    <xf numFmtId="0" fontId="23" fillId="0" borderId="24" xfId="3" applyBorder="1"/>
    <xf numFmtId="0" fontId="40" fillId="0" borderId="24" xfId="3" applyFont="1" applyBorder="1"/>
    <xf numFmtId="0" fontId="23" fillId="0" borderId="25" xfId="3" applyBorder="1"/>
    <xf numFmtId="0" fontId="23" fillId="0" borderId="26" xfId="3" applyBorder="1"/>
    <xf numFmtId="0" fontId="23" fillId="0" borderId="26" xfId="3" applyFill="1" applyBorder="1"/>
    <xf numFmtId="0" fontId="43" fillId="0" borderId="26" xfId="3" applyFont="1" applyBorder="1" applyAlignment="1">
      <alignment horizontal="left" indent="1"/>
    </xf>
    <xf numFmtId="0" fontId="43" fillId="0" borderId="0" xfId="3" applyFont="1" applyBorder="1"/>
    <xf numFmtId="0" fontId="43" fillId="0" borderId="27" xfId="3" applyFont="1" applyBorder="1"/>
    <xf numFmtId="0" fontId="27" fillId="0" borderId="26" xfId="3" applyFont="1" applyFill="1" applyBorder="1"/>
    <xf numFmtId="0" fontId="44" fillId="0" borderId="0" xfId="3" applyFont="1" applyBorder="1"/>
    <xf numFmtId="0" fontId="44" fillId="0" borderId="26" xfId="3" applyFont="1" applyBorder="1" applyAlignment="1">
      <alignment horizontal="left" indent="1"/>
    </xf>
    <xf numFmtId="0" fontId="37" fillId="0" borderId="26" xfId="3" applyFont="1" applyFill="1" applyBorder="1"/>
    <xf numFmtId="0" fontId="23" fillId="0" borderId="26" xfId="3" applyBorder="1" applyAlignment="1">
      <alignment horizontal="left" indent="1"/>
    </xf>
    <xf numFmtId="0" fontId="40" fillId="0" borderId="0" xfId="3" applyFont="1" applyBorder="1"/>
    <xf numFmtId="0" fontId="23" fillId="0" borderId="27" xfId="3" applyBorder="1"/>
    <xf numFmtId="0" fontId="43" fillId="0" borderId="26" xfId="3" applyFont="1" applyFill="1" applyBorder="1"/>
    <xf numFmtId="0" fontId="23" fillId="0" borderId="30" xfId="3" applyBorder="1"/>
    <xf numFmtId="0" fontId="23" fillId="0" borderId="31" xfId="3" applyBorder="1"/>
    <xf numFmtId="0" fontId="23" fillId="0" borderId="32" xfId="3" applyBorder="1"/>
    <xf numFmtId="0" fontId="43" fillId="0" borderId="31" xfId="3" applyFont="1" applyBorder="1"/>
    <xf numFmtId="0" fontId="43" fillId="0" borderId="32" xfId="3" applyFont="1" applyBorder="1"/>
    <xf numFmtId="0" fontId="39" fillId="0" borderId="0" xfId="0" applyFont="1"/>
    <xf numFmtId="0" fontId="23" fillId="0" borderId="0" xfId="3" applyFill="1" applyBorder="1"/>
    <xf numFmtId="0" fontId="43" fillId="0" borderId="0" xfId="3" applyFont="1" applyBorder="1" applyAlignment="1">
      <alignment horizontal="left" indent="1"/>
    </xf>
    <xf numFmtId="0" fontId="27" fillId="0" borderId="0" xfId="3" applyFont="1" applyFill="1" applyBorder="1"/>
    <xf numFmtId="0" fontId="44" fillId="0" borderId="0" xfId="3" applyFont="1" applyBorder="1" applyAlignment="1">
      <alignment horizontal="left" indent="1"/>
    </xf>
    <xf numFmtId="0" fontId="37" fillId="0" borderId="0" xfId="3" applyFont="1" applyFill="1" applyBorder="1"/>
    <xf numFmtId="0" fontId="43" fillId="0" borderId="26" xfId="3" applyFont="1" applyBorder="1" applyAlignment="1">
      <alignment horizontal="left" wrapText="1" indent="1"/>
    </xf>
    <xf numFmtId="0" fontId="43" fillId="0" borderId="0" xfId="3" applyFont="1" applyFill="1" applyBorder="1"/>
    <xf numFmtId="0" fontId="23" fillId="0" borderId="0" xfId="3" applyFill="1"/>
    <xf numFmtId="165" fontId="29" fillId="0" borderId="34" xfId="0" applyNumberFormat="1" applyFont="1" applyFill="1" applyBorder="1"/>
    <xf numFmtId="165" fontId="25" fillId="5" borderId="0" xfId="0" applyNumberFormat="1" applyFont="1" applyFill="1" applyBorder="1" applyAlignment="1">
      <alignment horizontal="right"/>
    </xf>
    <xf numFmtId="0" fontId="45" fillId="0" borderId="0" xfId="0" applyFont="1"/>
    <xf numFmtId="0" fontId="16" fillId="0" borderId="0" xfId="0" applyFont="1" applyFill="1" applyAlignment="1">
      <alignment horizontal="center"/>
    </xf>
    <xf numFmtId="0" fontId="18" fillId="0" borderId="0" xfId="0" applyFont="1" applyFill="1"/>
    <xf numFmtId="3" fontId="18" fillId="0" borderId="0" xfId="0" applyNumberFormat="1" applyFont="1" applyFill="1" applyAlignment="1"/>
    <xf numFmtId="0" fontId="18" fillId="0" borderId="13" xfId="0" applyFont="1" applyBorder="1"/>
    <xf numFmtId="0" fontId="15" fillId="0" borderId="13" xfId="0" applyFont="1" applyFill="1" applyBorder="1" applyAlignment="1">
      <alignment horizontal="center"/>
    </xf>
    <xf numFmtId="3" fontId="15" fillId="0" borderId="13" xfId="0" applyNumberFormat="1" applyFont="1" applyBorder="1" applyAlignment="1">
      <alignment horizontal="center"/>
    </xf>
    <xf numFmtId="0" fontId="15" fillId="0" borderId="13" xfId="0" applyFont="1" applyBorder="1" applyAlignment="1">
      <alignment horizontal="center"/>
    </xf>
    <xf numFmtId="0" fontId="41" fillId="4" borderId="13" xfId="0" applyFont="1" applyFill="1" applyBorder="1"/>
    <xf numFmtId="0" fontId="15" fillId="4" borderId="13" xfId="0" applyFont="1" applyFill="1" applyBorder="1" applyAlignment="1">
      <alignment horizontal="center"/>
    </xf>
    <xf numFmtId="3" fontId="15" fillId="4" borderId="13" xfId="0" applyNumberFormat="1" applyFont="1" applyFill="1" applyBorder="1"/>
    <xf numFmtId="3" fontId="18" fillId="0" borderId="13" xfId="0" applyNumberFormat="1" applyFont="1" applyBorder="1"/>
    <xf numFmtId="0" fontId="41" fillId="0" borderId="13" xfId="0" applyFont="1" applyBorder="1"/>
    <xf numFmtId="3" fontId="15" fillId="5" borderId="0" xfId="0" applyNumberFormat="1" applyFont="1" applyFill="1"/>
    <xf numFmtId="3" fontId="15" fillId="0" borderId="13" xfId="0" applyNumberFormat="1" applyFont="1" applyFill="1" applyBorder="1"/>
    <xf numFmtId="0" fontId="3" fillId="0" borderId="13" xfId="0" applyFont="1" applyBorder="1"/>
    <xf numFmtId="0" fontId="15" fillId="0" borderId="13" xfId="0" applyFont="1" applyBorder="1"/>
    <xf numFmtId="0" fontId="16" fillId="0" borderId="13" xfId="0" applyFont="1" applyFill="1" applyBorder="1" applyAlignment="1">
      <alignment horizontal="center"/>
    </xf>
    <xf numFmtId="3" fontId="18" fillId="0" borderId="13" xfId="0" applyNumberFormat="1" applyFont="1" applyFill="1" applyBorder="1"/>
    <xf numFmtId="0" fontId="15" fillId="0" borderId="0" xfId="0" applyFont="1" applyFill="1"/>
    <xf numFmtId="3" fontId="18" fillId="0" borderId="0" xfId="0" applyNumberFormat="1" applyFont="1" applyFill="1" applyAlignment="1">
      <alignment horizontal="right"/>
    </xf>
    <xf numFmtId="3" fontId="8" fillId="10" borderId="0" xfId="0" applyNumberFormat="1" applyFont="1" applyFill="1" applyBorder="1" applyAlignment="1">
      <alignment vertical="center"/>
    </xf>
    <xf numFmtId="0" fontId="8" fillId="10" borderId="4" xfId="0" applyFont="1" applyFill="1" applyBorder="1" applyAlignment="1" applyProtection="1">
      <alignment horizontal="left" vertical="center"/>
      <protection locked="0"/>
    </xf>
    <xf numFmtId="0" fontId="8" fillId="10" borderId="0" xfId="0" applyFont="1" applyFill="1" applyBorder="1" applyAlignment="1" applyProtection="1">
      <alignment horizontal="left" vertical="center"/>
      <protection locked="0"/>
    </xf>
    <xf numFmtId="3" fontId="8" fillId="10" borderId="0" xfId="0" applyNumberFormat="1" applyFont="1" applyFill="1" applyBorder="1" applyAlignment="1" applyProtection="1">
      <alignment horizontal="right" vertical="center"/>
      <protection locked="0"/>
    </xf>
    <xf numFmtId="164" fontId="8" fillId="10" borderId="0" xfId="0" applyNumberFormat="1" applyFont="1" applyFill="1" applyBorder="1" applyAlignment="1">
      <alignment horizontal="right" vertical="center"/>
    </xf>
    <xf numFmtId="2" fontId="10" fillId="10" borderId="0" xfId="0" applyNumberFormat="1" applyFont="1" applyFill="1" applyBorder="1" applyAlignment="1">
      <alignment horizontal="center" vertical="center"/>
    </xf>
    <xf numFmtId="2" fontId="10" fillId="5" borderId="0" xfId="0" applyNumberFormat="1" applyFont="1" applyFill="1" applyBorder="1" applyAlignment="1">
      <alignment horizontal="center" vertical="center"/>
    </xf>
    <xf numFmtId="0" fontId="8" fillId="9" borderId="5" xfId="0" applyFont="1" applyFill="1" applyBorder="1" applyAlignment="1">
      <alignment wrapText="1"/>
    </xf>
    <xf numFmtId="0" fontId="8" fillId="11" borderId="5" xfId="0" applyFont="1" applyFill="1" applyBorder="1" applyAlignment="1">
      <alignment vertical="top" wrapText="1" shrinkToFit="1"/>
    </xf>
    <xf numFmtId="0" fontId="9" fillId="0" borderId="5" xfId="0" applyFont="1" applyFill="1" applyBorder="1" applyAlignment="1">
      <alignment wrapText="1"/>
    </xf>
    <xf numFmtId="0" fontId="8" fillId="3" borderId="5" xfId="0" applyFont="1" applyFill="1" applyBorder="1" applyAlignment="1">
      <alignment vertical="top" wrapText="1"/>
    </xf>
    <xf numFmtId="0" fontId="6" fillId="0" borderId="4" xfId="0" applyFont="1" applyFill="1" applyBorder="1" applyAlignment="1">
      <alignment horizontal="left" vertical="center"/>
    </xf>
    <xf numFmtId="0" fontId="7" fillId="0" borderId="0" xfId="0" applyFont="1" applyFill="1" applyBorder="1" applyAlignment="1" applyProtection="1">
      <alignment horizontal="left" vertical="center"/>
      <protection locked="0"/>
    </xf>
    <xf numFmtId="4" fontId="0" fillId="0" borderId="34" xfId="0" applyNumberFormat="1" applyFill="1" applyBorder="1"/>
    <xf numFmtId="4" fontId="0" fillId="0" borderId="18" xfId="0" applyNumberFormat="1" applyFill="1" applyBorder="1"/>
    <xf numFmtId="4" fontId="5" fillId="0" borderId="34" xfId="0" applyNumberFormat="1" applyFont="1" applyFill="1" applyBorder="1"/>
    <xf numFmtId="0" fontId="8" fillId="4" borderId="0" xfId="0" applyFont="1" applyFill="1" applyBorder="1" applyAlignment="1" applyProtection="1">
      <alignment horizontal="left" vertical="center" wrapText="1"/>
      <protection locked="0"/>
    </xf>
    <xf numFmtId="10" fontId="0" fillId="0" borderId="0" xfId="1" applyNumberFormat="1" applyFont="1"/>
    <xf numFmtId="0" fontId="16" fillId="0" borderId="13" xfId="0" applyFont="1" applyBorder="1"/>
    <xf numFmtId="0" fontId="16" fillId="0" borderId="0" xfId="0" applyFont="1"/>
    <xf numFmtId="0" fontId="16" fillId="0" borderId="13" xfId="0" applyFont="1" applyBorder="1" applyAlignment="1">
      <alignment horizontal="center"/>
    </xf>
    <xf numFmtId="0" fontId="3" fillId="0" borderId="13" xfId="0" applyFont="1" applyBorder="1" applyAlignment="1">
      <alignment horizontal="center"/>
    </xf>
    <xf numFmtId="3" fontId="18" fillId="0" borderId="13" xfId="0" applyNumberFormat="1" applyFont="1" applyBorder="1" applyAlignment="1">
      <alignment horizontal="center"/>
    </xf>
    <xf numFmtId="0" fontId="7" fillId="2" borderId="2" xfId="0" applyFont="1" applyFill="1" applyBorder="1" applyAlignment="1">
      <alignment horizontal="right" vertical="top"/>
    </xf>
    <xf numFmtId="164" fontId="7" fillId="2" borderId="2" xfId="0" applyNumberFormat="1" applyFont="1" applyFill="1" applyBorder="1" applyAlignment="1">
      <alignment horizontal="right" vertical="top" wrapText="1"/>
    </xf>
    <xf numFmtId="0" fontId="24" fillId="0" borderId="7" xfId="0" applyFont="1" applyBorder="1"/>
    <xf numFmtId="0" fontId="41" fillId="0" borderId="0" xfId="2" applyFont="1" applyFill="1" applyAlignment="1">
      <alignment horizontal="left" vertical="top" wrapText="1"/>
    </xf>
    <xf numFmtId="0" fontId="5" fillId="0" borderId="0" xfId="2" applyFill="1"/>
    <xf numFmtId="4" fontId="41" fillId="0" borderId="0" xfId="2" applyNumberFormat="1" applyFont="1" applyFill="1" applyAlignment="1">
      <alignment horizontal="left" vertical="top" wrapText="1"/>
    </xf>
    <xf numFmtId="0" fontId="5" fillId="0" borderId="0" xfId="2" applyFont="1" applyFill="1" applyAlignment="1">
      <alignment vertical="top"/>
    </xf>
    <xf numFmtId="4" fontId="5" fillId="0" borderId="0" xfId="2" applyNumberFormat="1" applyFill="1"/>
    <xf numFmtId="0" fontId="5" fillId="0" borderId="50" xfId="2" applyFill="1" applyBorder="1" applyAlignment="1">
      <alignment wrapText="1"/>
    </xf>
    <xf numFmtId="0" fontId="5" fillId="0" borderId="13" xfId="2" applyFill="1" applyBorder="1" applyAlignment="1">
      <alignment wrapText="1"/>
    </xf>
    <xf numFmtId="4" fontId="5" fillId="0" borderId="13" xfId="2" applyNumberFormat="1" applyFill="1" applyBorder="1" applyAlignment="1">
      <alignment horizontal="center"/>
    </xf>
    <xf numFmtId="0" fontId="5" fillId="0" borderId="0" xfId="2" applyFill="1" applyAlignment="1">
      <alignment wrapText="1"/>
    </xf>
    <xf numFmtId="0" fontId="5" fillId="0" borderId="17" xfId="2" applyFill="1" applyBorder="1"/>
    <xf numFmtId="0" fontId="5" fillId="0" borderId="34" xfId="2" applyFill="1" applyBorder="1"/>
    <xf numFmtId="4" fontId="5" fillId="0" borderId="34" xfId="2" applyNumberFormat="1" applyFill="1" applyBorder="1"/>
    <xf numFmtId="4" fontId="5" fillId="0" borderId="18" xfId="2" applyNumberFormat="1" applyFill="1" applyBorder="1"/>
    <xf numFmtId="168" fontId="5" fillId="0" borderId="17" xfId="2" applyNumberFormat="1" applyFill="1" applyBorder="1"/>
    <xf numFmtId="4" fontId="5" fillId="0" borderId="34" xfId="2" applyNumberFormat="1" applyFill="1" applyBorder="1" applyAlignment="1">
      <alignment horizontal="right"/>
    </xf>
    <xf numFmtId="4" fontId="5" fillId="0" borderId="34" xfId="2" applyNumberFormat="1" applyFont="1" applyFill="1" applyBorder="1"/>
    <xf numFmtId="0" fontId="3" fillId="4" borderId="17" xfId="2" applyFont="1" applyFill="1" applyBorder="1"/>
    <xf numFmtId="0" fontId="3" fillId="4" borderId="34" xfId="2" applyFont="1" applyFill="1" applyBorder="1"/>
    <xf numFmtId="4" fontId="3" fillId="4" borderId="34" xfId="2" applyNumberFormat="1" applyFont="1" applyFill="1" applyBorder="1"/>
    <xf numFmtId="0" fontId="3" fillId="0" borderId="17" xfId="2" applyFont="1" applyFill="1" applyBorder="1"/>
    <xf numFmtId="0" fontId="3" fillId="0" borderId="34" xfId="2" applyFont="1" applyFill="1" applyBorder="1"/>
    <xf numFmtId="4" fontId="3" fillId="0" borderId="34" xfId="2" applyNumberFormat="1" applyFont="1" applyFill="1" applyBorder="1"/>
    <xf numFmtId="4" fontId="5" fillId="0" borderId="18" xfId="2" applyNumberFormat="1" applyFont="1" applyFill="1" applyBorder="1" applyAlignment="1">
      <alignment horizontal="right"/>
    </xf>
    <xf numFmtId="4" fontId="3" fillId="0" borderId="18" xfId="2" applyNumberFormat="1" applyFont="1" applyFill="1" applyBorder="1"/>
    <xf numFmtId="0" fontId="3" fillId="4" borderId="50" xfId="2" applyFont="1" applyFill="1" applyBorder="1"/>
    <xf numFmtId="0" fontId="3" fillId="4" borderId="13" xfId="2" applyFont="1" applyFill="1" applyBorder="1"/>
    <xf numFmtId="4" fontId="3" fillId="4" borderId="13" xfId="2" applyNumberFormat="1" applyFont="1" applyFill="1" applyBorder="1"/>
    <xf numFmtId="0" fontId="3" fillId="0" borderId="50" xfId="2" applyFont="1" applyFill="1" applyBorder="1"/>
    <xf numFmtId="0" fontId="3" fillId="0" borderId="13" xfId="2" applyFont="1" applyFill="1" applyBorder="1"/>
    <xf numFmtId="4" fontId="3" fillId="0" borderId="13" xfId="2" applyNumberFormat="1" applyFont="1" applyFill="1" applyBorder="1"/>
    <xf numFmtId="0" fontId="3" fillId="0" borderId="19" xfId="2" applyFont="1" applyFill="1" applyBorder="1"/>
    <xf numFmtId="0" fontId="3" fillId="0" borderId="35" xfId="2" applyFont="1" applyFill="1" applyBorder="1"/>
    <xf numFmtId="4" fontId="3" fillId="0" borderId="35" xfId="2" applyNumberFormat="1" applyFont="1" applyFill="1" applyBorder="1"/>
    <xf numFmtId="0" fontId="3" fillId="4" borderId="19" xfId="2" applyFont="1" applyFill="1" applyBorder="1"/>
    <xf numFmtId="0" fontId="3" fillId="4" borderId="35" xfId="2" applyFont="1" applyFill="1" applyBorder="1"/>
    <xf numFmtId="4" fontId="3" fillId="4" borderId="35" xfId="2" applyNumberFormat="1" applyFont="1" applyFill="1" applyBorder="1"/>
    <xf numFmtId="4" fontId="46" fillId="0" borderId="0" xfId="2" applyNumberFormat="1" applyFont="1" applyFill="1"/>
    <xf numFmtId="0" fontId="47" fillId="0" borderId="0" xfId="2" applyFont="1" applyFill="1"/>
    <xf numFmtId="4" fontId="5" fillId="5" borderId="0" xfId="2" applyNumberFormat="1" applyFill="1"/>
    <xf numFmtId="4" fontId="5" fillId="0" borderId="34" xfId="2" applyNumberFormat="1" applyFont="1" applyFill="1" applyBorder="1" applyAlignment="1">
      <alignment horizontal="right"/>
    </xf>
    <xf numFmtId="4" fontId="0" fillId="0" borderId="34" xfId="0" applyNumberFormat="1" applyFill="1" applyBorder="1" applyAlignment="1">
      <alignment horizontal="right"/>
    </xf>
    <xf numFmtId="4" fontId="0" fillId="0" borderId="18" xfId="0" applyNumberFormat="1" applyFill="1" applyBorder="1" applyAlignment="1">
      <alignment horizontal="right"/>
    </xf>
    <xf numFmtId="0" fontId="7" fillId="2" borderId="5" xfId="0" applyFont="1" applyFill="1" applyBorder="1" applyAlignment="1">
      <alignment wrapText="1"/>
    </xf>
    <xf numFmtId="3" fontId="7" fillId="3" borderId="5" xfId="0" applyNumberFormat="1" applyFont="1" applyFill="1" applyBorder="1" applyAlignment="1"/>
    <xf numFmtId="0" fontId="7" fillId="2" borderId="5" xfId="0" applyFont="1" applyFill="1" applyBorder="1" applyAlignment="1"/>
    <xf numFmtId="0" fontId="7" fillId="3" borderId="5" xfId="0" applyFont="1" applyFill="1" applyBorder="1" applyAlignment="1">
      <alignment wrapText="1"/>
    </xf>
    <xf numFmtId="0" fontId="7" fillId="0" borderId="5" xfId="0" applyFont="1" applyFill="1" applyBorder="1" applyAlignment="1">
      <alignment wrapText="1"/>
    </xf>
    <xf numFmtId="0" fontId="7" fillId="4" borderId="5" xfId="0" applyFont="1" applyFill="1" applyBorder="1" applyAlignment="1">
      <alignment wrapText="1"/>
    </xf>
    <xf numFmtId="2" fontId="10" fillId="0" borderId="48" xfId="0" applyNumberFormat="1" applyFont="1" applyFill="1" applyBorder="1" applyAlignment="1">
      <alignment horizontal="center" vertical="center"/>
    </xf>
    <xf numFmtId="0" fontId="8" fillId="12" borderId="4" xfId="0" applyFont="1" applyFill="1" applyBorder="1" applyAlignment="1" applyProtection="1">
      <alignment horizontal="left" vertical="center"/>
      <protection locked="0"/>
    </xf>
    <xf numFmtId="0" fontId="8" fillId="12" borderId="0" xfId="0" applyFont="1" applyFill="1" applyBorder="1" applyAlignment="1" applyProtection="1">
      <alignment horizontal="left" vertical="center"/>
      <protection locked="0"/>
    </xf>
    <xf numFmtId="3" fontId="8" fillId="12" borderId="0" xfId="0" applyNumberFormat="1" applyFont="1" applyFill="1" applyBorder="1" applyAlignment="1" applyProtection="1">
      <alignment horizontal="right" vertical="center"/>
      <protection locked="0"/>
    </xf>
    <xf numFmtId="3" fontId="8" fillId="12" borderId="0" xfId="0" applyNumberFormat="1" applyFont="1" applyFill="1" applyBorder="1" applyAlignment="1">
      <alignment vertical="center"/>
    </xf>
    <xf numFmtId="164" fontId="8" fillId="12" borderId="0" xfId="0" applyNumberFormat="1" applyFont="1" applyFill="1" applyBorder="1" applyAlignment="1">
      <alignment horizontal="right" vertical="center"/>
    </xf>
    <xf numFmtId="2" fontId="10" fillId="12" borderId="0" xfId="0" applyNumberFormat="1" applyFont="1" applyFill="1" applyBorder="1" applyAlignment="1">
      <alignment horizontal="center" vertical="center"/>
    </xf>
    <xf numFmtId="0" fontId="8" fillId="0" borderId="47" xfId="0" applyFont="1" applyFill="1" applyBorder="1" applyAlignment="1" applyProtection="1">
      <alignment horizontal="left" vertical="center"/>
      <protection locked="0"/>
    </xf>
    <xf numFmtId="0" fontId="8" fillId="0" borderId="48" xfId="0" applyFont="1" applyFill="1" applyBorder="1" applyAlignment="1" applyProtection="1">
      <alignment horizontal="left" vertical="center"/>
      <protection locked="0"/>
    </xf>
    <xf numFmtId="3" fontId="8" fillId="0" borderId="48" xfId="0" applyNumberFormat="1" applyFont="1" applyFill="1" applyBorder="1" applyAlignment="1" applyProtection="1">
      <alignment horizontal="right" vertical="center"/>
      <protection locked="0"/>
    </xf>
    <xf numFmtId="3" fontId="8" fillId="0" borderId="48" xfId="0" applyNumberFormat="1" applyFont="1" applyFill="1" applyBorder="1" applyAlignment="1">
      <alignment vertical="center"/>
    </xf>
    <xf numFmtId="164" fontId="8" fillId="0" borderId="48" xfId="0" applyNumberFormat="1" applyFont="1" applyFill="1" applyBorder="1" applyAlignment="1">
      <alignment horizontal="right" vertical="center"/>
    </xf>
    <xf numFmtId="0" fontId="7" fillId="0" borderId="49" xfId="0" applyFont="1" applyFill="1" applyBorder="1" applyAlignment="1">
      <alignment wrapText="1"/>
    </xf>
    <xf numFmtId="0" fontId="7" fillId="12" borderId="5" xfId="0" applyFont="1" applyFill="1" applyBorder="1" applyAlignment="1">
      <alignment wrapText="1"/>
    </xf>
    <xf numFmtId="0" fontId="7" fillId="12" borderId="5" xfId="0" applyFont="1" applyFill="1" applyBorder="1" applyAlignment="1">
      <alignment vertical="top" wrapText="1"/>
    </xf>
    <xf numFmtId="0" fontId="7" fillId="3" borderId="5" xfId="0" applyFont="1" applyFill="1" applyBorder="1" applyAlignment="1">
      <alignment vertical="top" wrapText="1"/>
    </xf>
    <xf numFmtId="0" fontId="8" fillId="13" borderId="4" xfId="0" applyFont="1" applyFill="1" applyBorder="1" applyAlignment="1" applyProtection="1">
      <alignment horizontal="left" vertical="center"/>
      <protection locked="0"/>
    </xf>
    <xf numFmtId="0" fontId="8" fillId="13" borderId="0" xfId="0" applyFont="1" applyFill="1" applyBorder="1" applyAlignment="1" applyProtection="1">
      <alignment horizontal="left" vertical="center"/>
      <protection locked="0"/>
    </xf>
    <xf numFmtId="3" fontId="8" fillId="13" borderId="0" xfId="0" applyNumberFormat="1" applyFont="1" applyFill="1" applyBorder="1" applyAlignment="1" applyProtection="1">
      <alignment horizontal="right" vertical="center"/>
      <protection locked="0"/>
    </xf>
    <xf numFmtId="164" fontId="8" fillId="13" borderId="0" xfId="0" applyNumberFormat="1" applyFont="1" applyFill="1" applyBorder="1" applyAlignment="1">
      <alignment horizontal="right" vertical="center"/>
    </xf>
    <xf numFmtId="2" fontId="10" fillId="13" borderId="0" xfId="0" applyNumberFormat="1" applyFont="1" applyFill="1" applyBorder="1" applyAlignment="1">
      <alignment horizontal="center" vertical="center"/>
    </xf>
    <xf numFmtId="2" fontId="10" fillId="14" borderId="0" xfId="0" applyNumberFormat="1" applyFont="1" applyFill="1" applyBorder="1" applyAlignment="1">
      <alignment horizontal="center" vertical="center"/>
    </xf>
    <xf numFmtId="0" fontId="7" fillId="10" borderId="0" xfId="0" applyFont="1" applyFill="1" applyBorder="1" applyAlignment="1" applyProtection="1">
      <alignment horizontal="left" vertical="center"/>
      <protection locked="0"/>
    </xf>
    <xf numFmtId="0" fontId="7" fillId="0" borderId="4" xfId="0" applyFont="1" applyFill="1" applyBorder="1" applyAlignment="1" applyProtection="1">
      <alignment horizontal="left" vertical="center"/>
      <protection locked="0"/>
    </xf>
    <xf numFmtId="0" fontId="7" fillId="3" borderId="4" xfId="0" applyFont="1" applyFill="1" applyBorder="1" applyAlignment="1" applyProtection="1">
      <alignment horizontal="left" vertical="center"/>
      <protection locked="0"/>
    </xf>
    <xf numFmtId="0" fontId="16" fillId="0" borderId="0" xfId="0" applyFont="1" applyFill="1"/>
    <xf numFmtId="0" fontId="28" fillId="0" borderId="7" xfId="0" applyFont="1" applyFill="1" applyBorder="1" applyAlignment="1">
      <alignment vertical="center"/>
    </xf>
    <xf numFmtId="0" fontId="0" fillId="0" borderId="7" xfId="0" applyFill="1" applyBorder="1" applyAlignment="1">
      <alignment horizontal="center"/>
    </xf>
    <xf numFmtId="0" fontId="24" fillId="0" borderId="46" xfId="0" applyFont="1" applyBorder="1"/>
    <xf numFmtId="4" fontId="3" fillId="12" borderId="34" xfId="2" applyNumberFormat="1" applyFont="1" applyFill="1" applyBorder="1"/>
    <xf numFmtId="0" fontId="15" fillId="0" borderId="13" xfId="0" applyFont="1" applyFill="1" applyBorder="1"/>
    <xf numFmtId="4" fontId="11" fillId="0" borderId="7" xfId="0" applyNumberFormat="1" applyFont="1" applyFill="1" applyBorder="1" applyAlignment="1">
      <alignment horizontal="left"/>
    </xf>
    <xf numFmtId="4" fontId="7" fillId="0" borderId="20" xfId="0" applyNumberFormat="1" applyFont="1" applyFill="1" applyBorder="1" applyAlignment="1">
      <alignment horizontal="left" vertical="center"/>
    </xf>
    <xf numFmtId="4" fontId="7" fillId="0" borderId="20" xfId="0" applyNumberFormat="1" applyFont="1" applyFill="1" applyBorder="1" applyAlignment="1">
      <alignment vertical="center"/>
    </xf>
    <xf numFmtId="4" fontId="12" fillId="0" borderId="7" xfId="0" applyNumberFormat="1" applyFont="1" applyFill="1" applyBorder="1" applyAlignment="1">
      <alignment horizontal="right" vertical="center"/>
    </xf>
    <xf numFmtId="4" fontId="10" fillId="0" borderId="7" xfId="0" applyNumberFormat="1" applyFont="1" applyFill="1" applyBorder="1" applyAlignment="1">
      <alignment horizontal="center" vertical="center"/>
    </xf>
    <xf numFmtId="4" fontId="8" fillId="0" borderId="7" xfId="0" applyNumberFormat="1" applyFont="1" applyFill="1" applyBorder="1" applyAlignment="1">
      <alignment vertical="center" wrapText="1"/>
    </xf>
    <xf numFmtId="0" fontId="7" fillId="0" borderId="7" xfId="0" applyFont="1" applyFill="1" applyBorder="1" applyAlignment="1">
      <alignment horizontal="left" vertical="center"/>
    </xf>
    <xf numFmtId="3" fontId="7" fillId="0" borderId="7" xfId="0" applyNumberFormat="1" applyFont="1" applyFill="1" applyBorder="1" applyAlignment="1">
      <alignment vertical="center"/>
    </xf>
    <xf numFmtId="0" fontId="11" fillId="4" borderId="11" xfId="0" applyFont="1" applyFill="1" applyBorder="1" applyAlignment="1">
      <alignment horizontal="left" vertical="center" wrapText="1"/>
    </xf>
    <xf numFmtId="0" fontId="11" fillId="4" borderId="0" xfId="0" applyFont="1" applyFill="1" applyBorder="1" applyAlignment="1">
      <alignment horizontal="left" vertical="center" wrapText="1"/>
    </xf>
    <xf numFmtId="0" fontId="7" fillId="0" borderId="4" xfId="0" applyFont="1" applyFill="1" applyBorder="1" applyAlignment="1">
      <alignment horizontal="left"/>
    </xf>
    <xf numFmtId="0" fontId="7" fillId="4" borderId="4" xfId="0" applyFont="1" applyFill="1" applyBorder="1" applyAlignment="1">
      <alignment horizontal="left"/>
    </xf>
    <xf numFmtId="0" fontId="7" fillId="12" borderId="5" xfId="0" applyFont="1" applyFill="1" applyBorder="1" applyAlignment="1">
      <alignment wrapText="1" shrinkToFit="1"/>
    </xf>
    <xf numFmtId="3" fontId="5" fillId="0" borderId="33" xfId="0" applyNumberFormat="1" applyFont="1" applyFill="1" applyBorder="1" applyProtection="1"/>
    <xf numFmtId="3" fontId="5" fillId="0" borderId="52" xfId="0" applyNumberFormat="1" applyFont="1" applyFill="1" applyBorder="1" applyProtection="1"/>
    <xf numFmtId="3" fontId="2" fillId="0" borderId="51" xfId="0" applyNumberFormat="1" applyFont="1" applyFill="1" applyBorder="1" applyAlignment="1" applyProtection="1">
      <alignment wrapText="1"/>
    </xf>
    <xf numFmtId="0" fontId="3" fillId="0" borderId="13" xfId="0" applyFont="1" applyBorder="1" applyAlignment="1">
      <alignment wrapText="1"/>
    </xf>
    <xf numFmtId="3" fontId="16" fillId="0" borderId="13" xfId="0" applyNumberFormat="1" applyFont="1" applyBorder="1" applyAlignment="1">
      <alignment horizontal="center"/>
    </xf>
    <xf numFmtId="3" fontId="16" fillId="0" borderId="13" xfId="0" applyNumberFormat="1" applyFont="1" applyFill="1" applyBorder="1"/>
    <xf numFmtId="3" fontId="15" fillId="0" borderId="0" xfId="4" applyNumberFormat="1" applyFont="1" applyFill="1" applyProtection="1"/>
    <xf numFmtId="3" fontId="16" fillId="0" borderId="0" xfId="4" applyNumberFormat="1" applyFont="1" applyFill="1" applyProtection="1"/>
    <xf numFmtId="0" fontId="15" fillId="0" borderId="0" xfId="4" applyFont="1" applyProtection="1"/>
    <xf numFmtId="0" fontId="15" fillId="0" borderId="0" xfId="4" applyFont="1" applyAlignment="1" applyProtection="1">
      <alignment vertical="top"/>
    </xf>
    <xf numFmtId="3" fontId="15" fillId="0" borderId="0" xfId="4" applyNumberFormat="1" applyFont="1" applyFill="1" applyAlignment="1" applyProtection="1">
      <alignment vertical="top"/>
    </xf>
    <xf numFmtId="3" fontId="16" fillId="0" borderId="0" xfId="4" applyNumberFormat="1" applyFont="1" applyFill="1" applyAlignment="1" applyProtection="1">
      <alignment horizontal="left" vertical="top"/>
    </xf>
    <xf numFmtId="3" fontId="16" fillId="0" borderId="0" xfId="4" applyNumberFormat="1" applyFont="1" applyFill="1" applyAlignment="1" applyProtection="1">
      <alignment vertical="top"/>
    </xf>
    <xf numFmtId="3" fontId="15" fillId="0" borderId="0" xfId="4" applyNumberFormat="1" applyFont="1" applyFill="1" applyProtection="1">
      <protection locked="0"/>
    </xf>
    <xf numFmtId="3" fontId="16" fillId="0" borderId="0" xfId="4" applyNumberFormat="1" applyFont="1" applyFill="1" applyProtection="1">
      <protection locked="0"/>
    </xf>
    <xf numFmtId="3" fontId="16" fillId="0" borderId="0" xfId="4" applyNumberFormat="1" applyFont="1" applyFill="1" applyBorder="1" applyAlignment="1" applyProtection="1">
      <alignment horizontal="center"/>
    </xf>
    <xf numFmtId="3" fontId="15" fillId="0" borderId="0" xfId="4" applyNumberFormat="1" applyFont="1" applyFill="1" applyBorder="1" applyAlignment="1" applyProtection="1">
      <alignment wrapText="1"/>
      <protection locked="0"/>
    </xf>
    <xf numFmtId="3" fontId="16" fillId="0" borderId="0" xfId="4" applyNumberFormat="1" applyFont="1" applyFill="1" applyBorder="1" applyAlignment="1" applyProtection="1">
      <alignment wrapText="1"/>
      <protection locked="0"/>
    </xf>
    <xf numFmtId="0" fontId="15" fillId="0" borderId="0" xfId="4" applyFont="1" applyFill="1" applyProtection="1"/>
    <xf numFmtId="0" fontId="16" fillId="0" borderId="0" xfId="4" applyFont="1" applyFill="1" applyProtection="1"/>
    <xf numFmtId="0" fontId="15" fillId="0" borderId="0" xfId="4" applyFont="1" applyFill="1" applyProtection="1">
      <protection locked="0"/>
    </xf>
    <xf numFmtId="0" fontId="16" fillId="0" borderId="0" xfId="4" applyFont="1" applyFill="1" applyProtection="1">
      <protection locked="0"/>
    </xf>
    <xf numFmtId="0" fontId="16" fillId="0" borderId="0" xfId="4" applyFont="1" applyFill="1" applyBorder="1" applyAlignment="1" applyProtection="1">
      <alignment horizontal="left" vertical="top" wrapText="1"/>
    </xf>
    <xf numFmtId="3" fontId="16" fillId="0" borderId="13" xfId="4" applyNumberFormat="1" applyFont="1" applyFill="1" applyBorder="1" applyProtection="1"/>
    <xf numFmtId="3" fontId="15" fillId="0" borderId="13" xfId="4" applyNumberFormat="1" applyFont="1" applyFill="1" applyBorder="1" applyProtection="1"/>
    <xf numFmtId="10" fontId="15" fillId="0" borderId="13" xfId="4" applyNumberFormat="1" applyFont="1" applyFill="1" applyBorder="1" applyProtection="1"/>
    <xf numFmtId="10" fontId="16" fillId="0" borderId="13" xfId="4" applyNumberFormat="1" applyFont="1" applyFill="1" applyBorder="1" applyProtection="1"/>
    <xf numFmtId="10" fontId="16" fillId="0" borderId="0" xfId="4" applyNumberFormat="1" applyFont="1" applyFill="1" applyProtection="1"/>
    <xf numFmtId="3" fontId="15" fillId="0" borderId="20" xfId="4" applyNumberFormat="1" applyFont="1" applyFill="1" applyBorder="1" applyProtection="1"/>
    <xf numFmtId="3" fontId="15" fillId="0" borderId="0" xfId="4" applyNumberFormat="1" applyFont="1" applyFill="1" applyBorder="1" applyProtection="1"/>
    <xf numFmtId="3" fontId="15" fillId="0" borderId="19" xfId="4" applyNumberFormat="1" applyFont="1" applyFill="1" applyBorder="1" applyAlignment="1" applyProtection="1">
      <alignment horizontal="left"/>
    </xf>
    <xf numFmtId="3" fontId="15" fillId="0" borderId="20" xfId="4" applyNumberFormat="1" applyFont="1" applyFill="1" applyBorder="1" applyAlignment="1" applyProtection="1">
      <alignment horizontal="left"/>
    </xf>
    <xf numFmtId="3" fontId="15" fillId="0" borderId="7" xfId="4" applyNumberFormat="1" applyFont="1" applyFill="1" applyBorder="1" applyAlignment="1" applyProtection="1">
      <alignment horizontal="left"/>
    </xf>
    <xf numFmtId="3" fontId="16" fillId="0" borderId="50" xfId="4" applyNumberFormat="1" applyFont="1" applyFill="1" applyBorder="1" applyAlignment="1" applyProtection="1">
      <alignment horizontal="left"/>
    </xf>
    <xf numFmtId="3" fontId="16" fillId="0" borderId="7" xfId="4" applyNumberFormat="1" applyFont="1" applyFill="1" applyBorder="1" applyAlignment="1" applyProtection="1">
      <alignment horizontal="left"/>
    </xf>
    <xf numFmtId="3" fontId="16" fillId="0" borderId="50" xfId="4" applyNumberFormat="1" applyFont="1" applyFill="1" applyBorder="1" applyProtection="1"/>
    <xf numFmtId="3" fontId="15" fillId="0" borderId="50" xfId="4" applyNumberFormat="1" applyFont="1" applyFill="1" applyBorder="1" applyProtection="1"/>
    <xf numFmtId="3" fontId="15" fillId="0" borderId="50" xfId="4" applyNumberFormat="1" applyFont="1" applyFill="1" applyBorder="1" applyAlignment="1" applyProtection="1">
      <alignment horizontal="left"/>
    </xf>
    <xf numFmtId="3" fontId="16" fillId="0" borderId="0" xfId="4" applyNumberFormat="1" applyFont="1" applyFill="1" applyAlignment="1" applyProtection="1">
      <alignment horizontal="left" vertical="top" wrapText="1"/>
    </xf>
    <xf numFmtId="3" fontId="16" fillId="0" borderId="50" xfId="4" applyNumberFormat="1" applyFont="1" applyFill="1" applyBorder="1" applyAlignment="1" applyProtection="1">
      <alignment horizontal="left" wrapText="1"/>
    </xf>
    <xf numFmtId="3" fontId="16" fillId="0" borderId="7" xfId="4" applyNumberFormat="1" applyFont="1" applyFill="1" applyBorder="1" applyAlignment="1" applyProtection="1">
      <alignment horizontal="left" wrapText="1"/>
    </xf>
    <xf numFmtId="3" fontId="50" fillId="0" borderId="13" xfId="4" applyNumberFormat="1" applyFont="1" applyFill="1" applyBorder="1" applyAlignment="1" applyProtection="1">
      <alignment wrapText="1"/>
    </xf>
    <xf numFmtId="9" fontId="16" fillId="0" borderId="13" xfId="4" applyNumberFormat="1" applyFont="1" applyFill="1" applyBorder="1" applyProtection="1"/>
    <xf numFmtId="3" fontId="16" fillId="0" borderId="13" xfId="4" applyNumberFormat="1" applyFont="1" applyFill="1" applyBorder="1" applyAlignment="1" applyProtection="1">
      <alignment horizontal="right"/>
    </xf>
    <xf numFmtId="3" fontId="16" fillId="0" borderId="0" xfId="4" applyNumberFormat="1" applyFont="1" applyFill="1" applyBorder="1" applyProtection="1"/>
    <xf numFmtId="3" fontId="15" fillId="0" borderId="0" xfId="4" applyNumberFormat="1" applyFont="1" applyFill="1" applyBorder="1" applyAlignment="1" applyProtection="1">
      <alignment wrapText="1"/>
    </xf>
    <xf numFmtId="3" fontId="16" fillId="0" borderId="0" xfId="4" applyNumberFormat="1" applyFont="1" applyFill="1" applyBorder="1" applyAlignment="1" applyProtection="1">
      <alignment wrapText="1"/>
    </xf>
    <xf numFmtId="9" fontId="16" fillId="0" borderId="13" xfId="4" applyNumberFormat="1" applyFont="1" applyFill="1" applyBorder="1" applyAlignment="1" applyProtection="1">
      <alignment horizontal="right"/>
    </xf>
    <xf numFmtId="9" fontId="16" fillId="0" borderId="13" xfId="5" applyFont="1" applyFill="1" applyBorder="1" applyProtection="1"/>
    <xf numFmtId="9" fontId="16" fillId="0" borderId="13" xfId="5" applyFont="1" applyFill="1" applyBorder="1" applyAlignment="1" applyProtection="1">
      <alignment horizontal="center"/>
    </xf>
    <xf numFmtId="3" fontId="16" fillId="0" borderId="13" xfId="4" applyNumberFormat="1" applyFont="1" applyFill="1" applyBorder="1" applyAlignment="1" applyProtection="1">
      <alignment horizontal="center"/>
    </xf>
    <xf numFmtId="9" fontId="16" fillId="0" borderId="13" xfId="4" applyNumberFormat="1" applyFont="1" applyFill="1" applyBorder="1" applyAlignment="1" applyProtection="1">
      <alignment horizontal="center"/>
    </xf>
    <xf numFmtId="3" fontId="16" fillId="0" borderId="14" xfId="4" applyNumberFormat="1" applyFont="1" applyFill="1" applyBorder="1" applyAlignment="1" applyProtection="1">
      <alignment horizontal="fill" vertical="top" wrapText="1"/>
    </xf>
    <xf numFmtId="3" fontId="16" fillId="0" borderId="15" xfId="4" applyNumberFormat="1" applyFont="1" applyFill="1" applyBorder="1" applyAlignment="1" applyProtection="1">
      <alignment horizontal="fill" vertical="top"/>
    </xf>
    <xf numFmtId="3" fontId="16" fillId="0" borderId="33" xfId="4" applyNumberFormat="1" applyFont="1" applyFill="1" applyBorder="1" applyAlignment="1" applyProtection="1">
      <alignment horizontal="right" vertical="top"/>
    </xf>
    <xf numFmtId="3" fontId="16" fillId="0" borderId="19" xfId="4" applyNumberFormat="1" applyFont="1" applyFill="1" applyBorder="1" applyAlignment="1" applyProtection="1">
      <alignment horizontal="fill" vertical="top" wrapText="1"/>
    </xf>
    <xf numFmtId="3" fontId="16" fillId="0" borderId="20" xfId="4" applyNumberFormat="1" applyFont="1" applyFill="1" applyBorder="1" applyAlignment="1" applyProtection="1">
      <alignment horizontal="fill" vertical="top"/>
    </xf>
    <xf numFmtId="3" fontId="16" fillId="0" borderId="35" xfId="4" applyNumberFormat="1" applyFont="1" applyFill="1" applyBorder="1" applyAlignment="1" applyProtection="1">
      <alignment horizontal="right" vertical="top"/>
    </xf>
    <xf numFmtId="3" fontId="16" fillId="0" borderId="13" xfId="4" applyNumberFormat="1" applyFont="1" applyFill="1" applyBorder="1" applyAlignment="1" applyProtection="1">
      <alignment horizontal="left"/>
    </xf>
    <xf numFmtId="9" fontId="16" fillId="0" borderId="33" xfId="4" applyNumberFormat="1" applyFont="1" applyFill="1" applyBorder="1" applyProtection="1"/>
    <xf numFmtId="3" fontId="43" fillId="0" borderId="50" xfId="4" applyNumberFormat="1" applyFont="1" applyFill="1" applyBorder="1" applyAlignment="1" applyProtection="1">
      <alignment horizontal="left"/>
    </xf>
    <xf numFmtId="3" fontId="16" fillId="0" borderId="35" xfId="4" applyNumberFormat="1" applyFont="1" applyFill="1" applyBorder="1" applyProtection="1"/>
    <xf numFmtId="3" fontId="16" fillId="0" borderId="34" xfId="4" applyNumberFormat="1" applyFont="1" applyFill="1" applyBorder="1" applyProtection="1"/>
    <xf numFmtId="3" fontId="16" fillId="0" borderId="34" xfId="4" applyNumberFormat="1" applyFont="1" applyFill="1" applyBorder="1" applyAlignment="1" applyProtection="1">
      <alignment vertical="top"/>
    </xf>
    <xf numFmtId="3" fontId="16" fillId="0" borderId="17" xfId="4" applyNumberFormat="1" applyFont="1" applyFill="1" applyBorder="1" applyAlignment="1" applyProtection="1">
      <alignment vertical="top"/>
    </xf>
    <xf numFmtId="3" fontId="16" fillId="0" borderId="18" xfId="4" applyNumberFormat="1" applyFont="1" applyFill="1" applyBorder="1" applyAlignment="1" applyProtection="1">
      <alignment vertical="top"/>
    </xf>
    <xf numFmtId="3" fontId="16" fillId="0" borderId="19" xfId="4" applyNumberFormat="1" applyFont="1" applyFill="1" applyBorder="1" applyAlignment="1" applyProtection="1">
      <alignment horizontal="left" vertical="top" wrapText="1"/>
    </xf>
    <xf numFmtId="3" fontId="16" fillId="0" borderId="35" xfId="4" applyNumberFormat="1" applyFont="1" applyFill="1" applyBorder="1" applyAlignment="1" applyProtection="1">
      <alignment vertical="top"/>
    </xf>
    <xf numFmtId="3" fontId="16" fillId="0" borderId="20" xfId="4" applyNumberFormat="1" applyFont="1" applyFill="1" applyBorder="1" applyAlignment="1" applyProtection="1">
      <alignment vertical="top"/>
    </xf>
    <xf numFmtId="3" fontId="16" fillId="0" borderId="21" xfId="4" applyNumberFormat="1" applyFont="1" applyFill="1" applyBorder="1" applyAlignment="1" applyProtection="1">
      <alignment vertical="top"/>
    </xf>
    <xf numFmtId="10" fontId="15" fillId="0" borderId="0" xfId="4" applyNumberFormat="1" applyFont="1" applyFill="1" applyBorder="1" applyProtection="1"/>
    <xf numFmtId="10" fontId="16" fillId="0" borderId="0" xfId="4" applyNumberFormat="1" applyFont="1" applyFill="1" applyBorder="1" applyProtection="1"/>
    <xf numFmtId="3" fontId="16" fillId="0" borderId="0" xfId="4" applyNumberFormat="1" applyFont="1" applyFill="1" applyAlignment="1" applyProtection="1">
      <alignment wrapText="1"/>
    </xf>
    <xf numFmtId="9" fontId="16" fillId="0" borderId="13" xfId="5" applyFont="1" applyFill="1" applyBorder="1" applyAlignment="1" applyProtection="1">
      <alignment horizontal="right"/>
    </xf>
    <xf numFmtId="3" fontId="16" fillId="0" borderId="33" xfId="4" applyNumberFormat="1" applyFont="1" applyFill="1" applyBorder="1" applyAlignment="1" applyProtection="1">
      <alignment horizontal="right"/>
    </xf>
    <xf numFmtId="3" fontId="16" fillId="0" borderId="35" xfId="4" applyNumberFormat="1" applyFont="1" applyFill="1" applyBorder="1" applyAlignment="1" applyProtection="1">
      <alignment horizontal="center"/>
    </xf>
    <xf numFmtId="9" fontId="16" fillId="0" borderId="13" xfId="5" applyFont="1" applyFill="1" applyBorder="1" applyAlignment="1" applyProtection="1">
      <alignment horizontal="center" vertical="top"/>
    </xf>
    <xf numFmtId="3" fontId="15" fillId="0" borderId="0" xfId="4" quotePrefix="1" applyNumberFormat="1" applyFont="1" applyFill="1" applyProtection="1">
      <protection locked="0"/>
    </xf>
    <xf numFmtId="3" fontId="16" fillId="0" borderId="19" xfId="4" applyNumberFormat="1" applyFont="1" applyFill="1" applyBorder="1" applyAlignment="1" applyProtection="1">
      <alignment horizontal="left"/>
    </xf>
    <xf numFmtId="0" fontId="16" fillId="0" borderId="13" xfId="4" applyNumberFormat="1" applyFont="1" applyFill="1" applyBorder="1" applyAlignment="1" applyProtection="1">
      <alignment horizontal="center"/>
    </xf>
    <xf numFmtId="3" fontId="16" fillId="0" borderId="50" xfId="4" applyNumberFormat="1" applyFont="1" applyFill="1" applyBorder="1" applyAlignment="1">
      <alignment horizontal="left"/>
    </xf>
    <xf numFmtId="3" fontId="16" fillId="0" borderId="7" xfId="4" applyNumberFormat="1" applyFont="1" applyFill="1" applyBorder="1" applyAlignment="1">
      <alignment horizontal="left"/>
    </xf>
    <xf numFmtId="9" fontId="16" fillId="0" borderId="13" xfId="4" applyNumberFormat="1" applyFont="1" applyFill="1" applyBorder="1" applyAlignment="1">
      <alignment horizontal="right"/>
    </xf>
    <xf numFmtId="9" fontId="16" fillId="0" borderId="13" xfId="4" applyNumberFormat="1" applyFont="1" applyFill="1" applyBorder="1"/>
    <xf numFmtId="3" fontId="16" fillId="0" borderId="0" xfId="4" applyNumberFormat="1" applyFont="1" applyFill="1" applyBorder="1" applyAlignment="1">
      <alignment horizontal="left"/>
    </xf>
    <xf numFmtId="3" fontId="16" fillId="0" borderId="0" xfId="4" applyNumberFormat="1" applyFont="1" applyFill="1" applyBorder="1"/>
    <xf numFmtId="169" fontId="16" fillId="0" borderId="13" xfId="4" applyNumberFormat="1" applyFont="1" applyFill="1" applyBorder="1" applyProtection="1"/>
    <xf numFmtId="1" fontId="16" fillId="0" borderId="13" xfId="4" applyNumberFormat="1" applyFont="1" applyFill="1" applyBorder="1" applyProtection="1"/>
    <xf numFmtId="3" fontId="17" fillId="0" borderId="50" xfId="4" applyNumberFormat="1" applyFont="1" applyFill="1" applyBorder="1" applyAlignment="1" applyProtection="1">
      <alignment horizontal="left"/>
    </xf>
    <xf numFmtId="0" fontId="16" fillId="0" borderId="50" xfId="4" applyFont="1" applyFill="1" applyBorder="1" applyAlignment="1" applyProtection="1">
      <alignment horizontal="left" wrapText="1"/>
    </xf>
    <xf numFmtId="0" fontId="16" fillId="0" borderId="7" xfId="4" applyFont="1" applyFill="1" applyBorder="1" applyAlignment="1" applyProtection="1">
      <alignment horizontal="left" wrapText="1"/>
    </xf>
    <xf numFmtId="3" fontId="16" fillId="0" borderId="13" xfId="4" applyNumberFormat="1" applyFont="1" applyFill="1" applyBorder="1" applyAlignment="1" applyProtection="1">
      <alignment horizontal="right" wrapText="1"/>
    </xf>
    <xf numFmtId="4" fontId="16" fillId="0" borderId="13" xfId="4" applyNumberFormat="1" applyFont="1" applyFill="1" applyBorder="1" applyProtection="1"/>
    <xf numFmtId="0" fontId="51" fillId="0" borderId="0" xfId="4" applyFont="1" applyAlignment="1">
      <alignment horizontal="left" vertical="center" readingOrder="1"/>
    </xf>
    <xf numFmtId="4" fontId="16" fillId="0" borderId="13" xfId="4" quotePrefix="1" applyNumberFormat="1" applyFont="1" applyFill="1" applyBorder="1" applyProtection="1"/>
    <xf numFmtId="49" fontId="16" fillId="0" borderId="13" xfId="4" applyNumberFormat="1" applyFont="1" applyFill="1" applyBorder="1" applyProtection="1"/>
    <xf numFmtId="3" fontId="16" fillId="0" borderId="13" xfId="4" quotePrefix="1" applyNumberFormat="1" applyFont="1" applyFill="1" applyBorder="1" applyProtection="1"/>
    <xf numFmtId="165" fontId="16" fillId="0" borderId="13" xfId="4" applyNumberFormat="1" applyFont="1" applyFill="1" applyBorder="1" applyProtection="1"/>
    <xf numFmtId="3" fontId="15" fillId="0" borderId="46" xfId="4" applyNumberFormat="1" applyFont="1" applyFill="1" applyBorder="1" applyAlignment="1" applyProtection="1">
      <alignment horizontal="left"/>
    </xf>
    <xf numFmtId="3" fontId="16" fillId="0" borderId="46" xfId="4" applyNumberFormat="1" applyFont="1" applyFill="1" applyBorder="1" applyAlignment="1" applyProtection="1">
      <alignment horizontal="left"/>
    </xf>
    <xf numFmtId="3" fontId="16" fillId="0" borderId="46" xfId="4" applyNumberFormat="1" applyFont="1" applyFill="1" applyBorder="1" applyProtection="1"/>
    <xf numFmtId="9" fontId="16" fillId="0" borderId="13" xfId="4" quotePrefix="1" applyNumberFormat="1" applyFont="1" applyFill="1" applyBorder="1" applyProtection="1"/>
    <xf numFmtId="0" fontId="1" fillId="0" borderId="0" xfId="4"/>
    <xf numFmtId="0" fontId="16" fillId="0" borderId="0" xfId="0" applyFont="1" applyFill="1" applyBorder="1"/>
    <xf numFmtId="0" fontId="16" fillId="0" borderId="18" xfId="0" applyFont="1" applyFill="1" applyBorder="1"/>
    <xf numFmtId="3" fontId="16" fillId="15" borderId="13" xfId="0" applyNumberFormat="1" applyFont="1" applyFill="1" applyBorder="1" applyAlignment="1">
      <alignment vertical="top" wrapText="1"/>
    </xf>
    <xf numFmtId="3" fontId="16" fillId="0" borderId="53" xfId="0" applyNumberFormat="1" applyFont="1" applyFill="1" applyBorder="1" applyAlignment="1">
      <alignment horizontal="left" vertical="top" wrapText="1"/>
    </xf>
    <xf numFmtId="3" fontId="16" fillId="9" borderId="46" xfId="0" applyNumberFormat="1" applyFont="1" applyFill="1" applyBorder="1" applyAlignment="1">
      <alignment horizontal="left" vertical="top" wrapText="1"/>
    </xf>
    <xf numFmtId="3" fontId="16" fillId="0" borderId="46" xfId="0" applyNumberFormat="1" applyFont="1" applyFill="1" applyBorder="1" applyAlignment="1">
      <alignment horizontal="left" vertical="top" wrapText="1"/>
    </xf>
    <xf numFmtId="3" fontId="16" fillId="0" borderId="13" xfId="0" applyNumberFormat="1" applyFont="1" applyFill="1" applyBorder="1" applyAlignment="1">
      <alignment horizontal="left" vertical="top" wrapText="1"/>
    </xf>
    <xf numFmtId="3" fontId="16" fillId="0" borderId="0" xfId="0" applyNumberFormat="1" applyFont="1" applyFill="1"/>
    <xf numFmtId="0" fontId="3" fillId="0" borderId="0" xfId="0" applyFont="1" applyFill="1" applyBorder="1"/>
    <xf numFmtId="3" fontId="16" fillId="0" borderId="0" xfId="0" applyNumberFormat="1" applyFont="1" applyFill="1" applyBorder="1"/>
    <xf numFmtId="0" fontId="16" fillId="0" borderId="20" xfId="0" applyFont="1" applyFill="1" applyBorder="1"/>
    <xf numFmtId="49" fontId="2" fillId="0" borderId="13" xfId="0" applyNumberFormat="1" applyFont="1" applyFill="1" applyBorder="1"/>
    <xf numFmtId="3" fontId="2" fillId="15" borderId="13" xfId="0" applyNumberFormat="1" applyFont="1" applyFill="1" applyBorder="1"/>
    <xf numFmtId="3" fontId="2" fillId="0" borderId="53" xfId="0" applyNumberFormat="1" applyFont="1" applyBorder="1"/>
    <xf numFmtId="3" fontId="2" fillId="9" borderId="46" xfId="0" applyNumberFormat="1" applyFont="1" applyFill="1" applyBorder="1"/>
    <xf numFmtId="3" fontId="2" fillId="0" borderId="46" xfId="0" applyNumberFormat="1" applyFont="1" applyFill="1" applyBorder="1"/>
    <xf numFmtId="3" fontId="2" fillId="0" borderId="13" xfId="0" applyNumberFormat="1" applyFont="1" applyBorder="1"/>
    <xf numFmtId="0" fontId="2" fillId="0" borderId="0" xfId="0" applyFont="1"/>
    <xf numFmtId="49" fontId="2" fillId="0" borderId="7" xfId="0" applyNumberFormat="1" applyFont="1" applyFill="1" applyBorder="1"/>
    <xf numFmtId="3" fontId="2" fillId="0" borderId="7" xfId="0" applyNumberFormat="1" applyFont="1" applyFill="1" applyBorder="1"/>
    <xf numFmtId="3" fontId="2" fillId="0" borderId="54" xfId="0" applyNumberFormat="1" applyFont="1" applyBorder="1"/>
    <xf numFmtId="3" fontId="2" fillId="0" borderId="7" xfId="0" applyNumberFormat="1" applyFont="1" applyBorder="1"/>
    <xf numFmtId="49" fontId="2" fillId="0" borderId="33" xfId="0" applyNumberFormat="1" applyFont="1" applyFill="1" applyBorder="1"/>
    <xf numFmtId="3" fontId="2" fillId="15" borderId="14" xfId="0" applyNumberFormat="1" applyFont="1" applyFill="1" applyBorder="1"/>
    <xf numFmtId="3" fontId="2" fillId="0" borderId="55" xfId="0" applyNumberFormat="1" applyFont="1" applyBorder="1"/>
    <xf numFmtId="3" fontId="2" fillId="9" borderId="16" xfId="0" applyNumberFormat="1" applyFont="1" applyFill="1" applyBorder="1"/>
    <xf numFmtId="3" fontId="2" fillId="0" borderId="16" xfId="0" applyNumberFormat="1" applyFont="1" applyFill="1" applyBorder="1"/>
    <xf numFmtId="3" fontId="2" fillId="0" borderId="33" xfId="0" applyNumberFormat="1" applyFont="1" applyFill="1" applyBorder="1"/>
    <xf numFmtId="0" fontId="2" fillId="0" borderId="0" xfId="0" applyFont="1" applyBorder="1"/>
    <xf numFmtId="49" fontId="3" fillId="0" borderId="13" xfId="0" applyNumberFormat="1" applyFont="1" applyFill="1" applyBorder="1"/>
    <xf numFmtId="49" fontId="2" fillId="0" borderId="35" xfId="0" applyNumberFormat="1" applyFont="1" applyFill="1" applyBorder="1"/>
    <xf numFmtId="3" fontId="3" fillId="15" borderId="56" xfId="0" applyNumberFormat="1" applyFont="1" applyFill="1" applyBorder="1"/>
    <xf numFmtId="3" fontId="3" fillId="0" borderId="56" xfId="0" applyNumberFormat="1" applyFont="1" applyBorder="1"/>
    <xf numFmtId="3" fontId="3" fillId="9" borderId="21" xfId="0" applyNumberFormat="1" applyFont="1" applyFill="1" applyBorder="1"/>
    <xf numFmtId="3" fontId="3" fillId="0" borderId="35" xfId="0" applyNumberFormat="1" applyFont="1" applyBorder="1"/>
    <xf numFmtId="0" fontId="2" fillId="0" borderId="0" xfId="0" applyFont="1" applyFill="1"/>
    <xf numFmtId="3" fontId="2" fillId="0" borderId="0" xfId="0" applyNumberFormat="1" applyFont="1" applyFill="1"/>
    <xf numFmtId="3" fontId="3" fillId="0" borderId="0" xfId="0" applyNumberFormat="1" applyFont="1" applyFill="1"/>
    <xf numFmtId="3" fontId="2" fillId="0" borderId="50" xfId="0" applyNumberFormat="1" applyFont="1" applyFill="1" applyBorder="1"/>
    <xf numFmtId="3" fontId="2" fillId="0" borderId="13" xfId="0" applyNumberFormat="1" applyFont="1" applyFill="1" applyBorder="1"/>
    <xf numFmtId="3" fontId="2" fillId="0" borderId="14" xfId="0" applyNumberFormat="1" applyFont="1" applyFill="1" applyBorder="1"/>
    <xf numFmtId="3" fontId="2" fillId="0" borderId="19" xfId="0" applyNumberFormat="1" applyFont="1" applyFill="1" applyBorder="1"/>
    <xf numFmtId="3" fontId="3" fillId="0" borderId="21" xfId="0" applyNumberFormat="1" applyFont="1" applyFill="1" applyBorder="1"/>
    <xf numFmtId="49" fontId="2" fillId="0" borderId="20" xfId="0" applyNumberFormat="1" applyFont="1" applyFill="1" applyBorder="1"/>
    <xf numFmtId="3" fontId="2" fillId="0" borderId="20" xfId="0" applyNumberFormat="1" applyFont="1" applyFill="1" applyBorder="1"/>
    <xf numFmtId="3" fontId="2" fillId="0" borderId="57" xfId="0" applyNumberFormat="1" applyFont="1" applyBorder="1"/>
    <xf numFmtId="3" fontId="2" fillId="0" borderId="20" xfId="0" applyNumberFormat="1" applyFont="1" applyBorder="1"/>
    <xf numFmtId="0" fontId="16" fillId="0" borderId="13" xfId="0" applyFont="1" applyFill="1" applyBorder="1"/>
    <xf numFmtId="3" fontId="16" fillId="0" borderId="13" xfId="0" applyNumberFormat="1" applyFont="1" applyFill="1" applyBorder="1" applyAlignment="1">
      <alignment horizontal="left" wrapText="1"/>
    </xf>
    <xf numFmtId="3" fontId="16" fillId="9" borderId="13" xfId="0" applyNumberFormat="1" applyFont="1" applyFill="1" applyBorder="1" applyAlignment="1">
      <alignment horizontal="left"/>
    </xf>
    <xf numFmtId="3" fontId="16" fillId="0" borderId="13" xfId="0" applyNumberFormat="1" applyFont="1" applyFill="1" applyBorder="1" applyAlignment="1">
      <alignment horizontal="left"/>
    </xf>
    <xf numFmtId="49" fontId="16" fillId="0" borderId="13" xfId="0" applyNumberFormat="1" applyFont="1" applyFill="1" applyBorder="1"/>
    <xf numFmtId="3" fontId="16" fillId="9" borderId="13" xfId="0" applyNumberFormat="1" applyFont="1" applyFill="1" applyBorder="1"/>
    <xf numFmtId="49" fontId="15" fillId="0" borderId="13" xfId="0" applyNumberFormat="1" applyFont="1" applyFill="1" applyBorder="1"/>
    <xf numFmtId="3" fontId="15" fillId="9" borderId="13" xfId="0" applyNumberFormat="1" applyFont="1" applyFill="1" applyBorder="1"/>
    <xf numFmtId="3" fontId="15" fillId="0" borderId="0" xfId="0" applyNumberFormat="1" applyFont="1" applyFill="1"/>
    <xf numFmtId="3" fontId="16" fillId="0" borderId="13" xfId="0" applyNumberFormat="1" applyFont="1" applyFill="1" applyBorder="1" applyAlignment="1">
      <alignment horizontal="right" wrapText="1"/>
    </xf>
    <xf numFmtId="3" fontId="16" fillId="9" borderId="13" xfId="0" applyNumberFormat="1" applyFont="1" applyFill="1" applyBorder="1" applyAlignment="1">
      <alignment horizontal="right"/>
    </xf>
    <xf numFmtId="3" fontId="16" fillId="0" borderId="13" xfId="0" applyNumberFormat="1" applyFont="1" applyFill="1" applyBorder="1" applyAlignment="1">
      <alignment horizontal="right"/>
    </xf>
    <xf numFmtId="3" fontId="15" fillId="0" borderId="13" xfId="0" applyNumberFormat="1" applyFont="1" applyBorder="1"/>
    <xf numFmtId="3" fontId="35" fillId="0" borderId="0" xfId="0" applyNumberFormat="1" applyFont="1" applyFill="1" applyAlignment="1" applyProtection="1">
      <alignment horizontal="center"/>
    </xf>
    <xf numFmtId="0" fontId="41" fillId="0" borderId="0" xfId="2" applyFont="1" applyFill="1" applyAlignment="1">
      <alignment horizontal="left" vertical="top" wrapText="1"/>
    </xf>
    <xf numFmtId="0" fontId="43" fillId="0" borderId="0" xfId="3" applyFont="1" applyBorder="1" applyAlignment="1">
      <alignment vertical="top" wrapText="1"/>
    </xf>
    <xf numFmtId="0" fontId="0" fillId="0" borderId="0" xfId="0" applyAlignment="1">
      <alignment vertical="top"/>
    </xf>
    <xf numFmtId="0" fontId="0" fillId="0" borderId="27" xfId="0" applyBorder="1" applyAlignment="1">
      <alignment vertical="top"/>
    </xf>
    <xf numFmtId="3" fontId="15" fillId="0" borderId="0" xfId="4" applyNumberFormat="1" applyFont="1" applyFill="1" applyAlignment="1" applyProtection="1">
      <alignment wrapText="1"/>
    </xf>
    <xf numFmtId="3" fontId="16" fillId="0" borderId="0" xfId="4" applyNumberFormat="1" applyFont="1" applyFill="1" applyAlignment="1" applyProtection="1">
      <alignment horizontal="left" vertical="top" wrapText="1"/>
    </xf>
    <xf numFmtId="3" fontId="15" fillId="0" borderId="0" xfId="4" applyNumberFormat="1" applyFont="1" applyFill="1" applyBorder="1" applyAlignment="1" applyProtection="1">
      <alignment wrapText="1"/>
    </xf>
    <xf numFmtId="3" fontId="16" fillId="0" borderId="0" xfId="4" applyNumberFormat="1" applyFont="1" applyFill="1" applyBorder="1" applyAlignment="1" applyProtection="1">
      <alignment wrapText="1"/>
    </xf>
    <xf numFmtId="3" fontId="15" fillId="0" borderId="19" xfId="4" applyNumberFormat="1" applyFont="1" applyFill="1" applyBorder="1" applyAlignment="1" applyProtection="1">
      <alignment horizontal="left"/>
    </xf>
    <xf numFmtId="3" fontId="15" fillId="0" borderId="20" xfId="4" applyNumberFormat="1" applyFont="1" applyFill="1" applyBorder="1" applyAlignment="1" applyProtection="1">
      <alignment horizontal="left"/>
    </xf>
    <xf numFmtId="3" fontId="15" fillId="0" borderId="7" xfId="4" applyNumberFormat="1" applyFont="1" applyFill="1" applyBorder="1" applyAlignment="1" applyProtection="1">
      <alignment horizontal="left"/>
    </xf>
    <xf numFmtId="3" fontId="15" fillId="0" borderId="46" xfId="4" applyNumberFormat="1" applyFont="1" applyFill="1" applyBorder="1" applyAlignment="1" applyProtection="1">
      <alignment horizontal="left"/>
    </xf>
    <xf numFmtId="3" fontId="16" fillId="0" borderId="50" xfId="4" applyNumberFormat="1" applyFont="1" applyFill="1" applyBorder="1" applyAlignment="1" applyProtection="1">
      <alignment horizontal="left"/>
    </xf>
    <xf numFmtId="3" fontId="16" fillId="0" borderId="7" xfId="4" applyNumberFormat="1" applyFont="1" applyFill="1" applyBorder="1" applyAlignment="1" applyProtection="1">
      <alignment horizontal="left"/>
    </xf>
    <xf numFmtId="3" fontId="16" fillId="0" borderId="46" xfId="4" applyNumberFormat="1" applyFont="1" applyFill="1" applyBorder="1" applyAlignment="1" applyProtection="1">
      <alignment horizontal="left"/>
    </xf>
    <xf numFmtId="3" fontId="15" fillId="0" borderId="50" xfId="4" applyNumberFormat="1" applyFont="1" applyFill="1" applyBorder="1" applyAlignment="1" applyProtection="1">
      <alignment horizontal="left"/>
    </xf>
    <xf numFmtId="3" fontId="16" fillId="0" borderId="0" xfId="4" applyNumberFormat="1" applyFont="1" applyFill="1" applyAlignment="1" applyProtection="1">
      <alignment vertical="top" wrapText="1"/>
    </xf>
    <xf numFmtId="0" fontId="1" fillId="0" borderId="0" xfId="4" applyAlignment="1">
      <alignment vertical="top" wrapText="1"/>
    </xf>
    <xf numFmtId="3" fontId="16" fillId="0" borderId="50" xfId="4" applyNumberFormat="1" applyFont="1" applyFill="1" applyBorder="1" applyAlignment="1" applyProtection="1">
      <alignment horizontal="left" vertical="top" wrapText="1"/>
    </xf>
    <xf numFmtId="3" fontId="16" fillId="0" borderId="7" xfId="4" applyNumberFormat="1" applyFont="1" applyFill="1" applyBorder="1" applyAlignment="1" applyProtection="1">
      <alignment horizontal="left" vertical="top" wrapText="1"/>
    </xf>
    <xf numFmtId="3" fontId="16" fillId="0" borderId="46" xfId="4" applyNumberFormat="1" applyFont="1" applyFill="1" applyBorder="1" applyAlignment="1" applyProtection="1">
      <alignment horizontal="left" vertical="top" wrapText="1"/>
    </xf>
    <xf numFmtId="3" fontId="16" fillId="0" borderId="0" xfId="4" applyNumberFormat="1" applyFont="1" applyFill="1" applyAlignment="1" applyProtection="1">
      <alignment horizontal="left" vertical="top"/>
    </xf>
  </cellXfs>
  <cellStyles count="6">
    <cellStyle name="Prozent" xfId="1" builtinId="5"/>
    <cellStyle name="Prozent 2" xfId="5"/>
    <cellStyle name="Standard" xfId="0" builtinId="0"/>
    <cellStyle name="Standard 2" xfId="2"/>
    <cellStyle name="Standard 3" xfId="4"/>
    <cellStyle name="Standard_Tabelle1"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544487663197686E-2"/>
          <c:y val="5.4621848739495799E-2"/>
          <c:w val="0.85137385413552458"/>
          <c:h val="0.79201680672268904"/>
        </c:manualLayout>
      </c:layout>
      <c:barChart>
        <c:barDir val="col"/>
        <c:grouping val="clustered"/>
        <c:varyColors val="0"/>
        <c:ser>
          <c:idx val="0"/>
          <c:order val="0"/>
          <c:tx>
            <c:strRef>
              <c:f>'Kennzahlen 1'!$A$4</c:f>
              <c:strCache>
                <c:ptCount val="1"/>
                <c:pt idx="0">
                  <c:v>Selbstfinanzierungsgrad   %</c:v>
                </c:pt>
              </c:strCache>
            </c:strRef>
          </c:tx>
          <c:spPr>
            <a:solidFill>
              <a:srgbClr val="CCFFFF"/>
            </a:solidFill>
            <a:ln w="12700">
              <a:solidFill>
                <a:srgbClr val="000000"/>
              </a:solidFill>
              <a:prstDash val="solid"/>
            </a:ln>
          </c:spPr>
          <c:invertIfNegative val="0"/>
          <c:cat>
            <c:numRef>
              <c:f>'Kennzahlen 1'!$B$2:$F$2</c:f>
              <c:numCache>
                <c:formatCode>General</c:formatCode>
                <c:ptCount val="5"/>
                <c:pt idx="0">
                  <c:v>2012</c:v>
                </c:pt>
                <c:pt idx="1">
                  <c:v>2013</c:v>
                </c:pt>
                <c:pt idx="2">
                  <c:v>2014</c:v>
                </c:pt>
                <c:pt idx="3">
                  <c:v>2015</c:v>
                </c:pt>
                <c:pt idx="4">
                  <c:v>2016</c:v>
                </c:pt>
              </c:numCache>
            </c:numRef>
          </c:cat>
          <c:val>
            <c:numRef>
              <c:f>'Kennzahlen 1'!$B$4:$F$4</c:f>
              <c:numCache>
                <c:formatCode>0.00</c:formatCode>
                <c:ptCount val="5"/>
                <c:pt idx="0">
                  <c:v>70.430000000000007</c:v>
                </c:pt>
                <c:pt idx="1">
                  <c:v>73.489999999999995</c:v>
                </c:pt>
                <c:pt idx="2">
                  <c:v>88.54</c:v>
                </c:pt>
                <c:pt idx="3">
                  <c:v>82.26</c:v>
                </c:pt>
                <c:pt idx="4">
                  <c:v>83.02</c:v>
                </c:pt>
              </c:numCache>
            </c:numRef>
          </c:val>
        </c:ser>
        <c:dLbls>
          <c:showLegendKey val="0"/>
          <c:showVal val="0"/>
          <c:showCatName val="0"/>
          <c:showSerName val="0"/>
          <c:showPercent val="0"/>
          <c:showBubbleSize val="0"/>
        </c:dLbls>
        <c:gapWidth val="150"/>
        <c:axId val="113838720"/>
        <c:axId val="113861376"/>
      </c:barChart>
      <c:lineChart>
        <c:grouping val="standard"/>
        <c:varyColors val="0"/>
        <c:ser>
          <c:idx val="1"/>
          <c:order val="1"/>
          <c:tx>
            <c:strRef>
              <c:f>'Kennzahlen 1'!$A$5</c:f>
              <c:strCache>
                <c:ptCount val="1"/>
                <c:pt idx="0">
                  <c:v>Selbstfinanzierungsanteil   %</c:v>
                </c:pt>
              </c:strCache>
            </c:strRef>
          </c:tx>
          <c:spPr>
            <a:ln w="25400">
              <a:solidFill>
                <a:srgbClr val="0000FF"/>
              </a:solidFill>
              <a:prstDash val="solid"/>
            </a:ln>
          </c:spPr>
          <c:marker>
            <c:symbol val="diamond"/>
            <c:size val="8"/>
            <c:spPr>
              <a:solidFill>
                <a:srgbClr val="0000FF"/>
              </a:solidFill>
              <a:ln>
                <a:solidFill>
                  <a:srgbClr val="0000FF"/>
                </a:solidFill>
                <a:prstDash val="solid"/>
              </a:ln>
            </c:spPr>
          </c:marker>
          <c:cat>
            <c:numRef>
              <c:f>'Kennzahlen 1'!$B$2:$F$2</c:f>
              <c:numCache>
                <c:formatCode>General</c:formatCode>
                <c:ptCount val="5"/>
                <c:pt idx="0">
                  <c:v>2012</c:v>
                </c:pt>
                <c:pt idx="1">
                  <c:v>2013</c:v>
                </c:pt>
                <c:pt idx="2">
                  <c:v>2014</c:v>
                </c:pt>
                <c:pt idx="3">
                  <c:v>2015</c:v>
                </c:pt>
                <c:pt idx="4">
                  <c:v>2016</c:v>
                </c:pt>
              </c:numCache>
            </c:numRef>
          </c:cat>
          <c:val>
            <c:numRef>
              <c:f>'Kennzahlen 1'!$B$5:$F$5</c:f>
              <c:numCache>
                <c:formatCode>0.00</c:formatCode>
                <c:ptCount val="5"/>
                <c:pt idx="0">
                  <c:v>3.55</c:v>
                </c:pt>
                <c:pt idx="1">
                  <c:v>3.46</c:v>
                </c:pt>
                <c:pt idx="2">
                  <c:v>3.94</c:v>
                </c:pt>
                <c:pt idx="3">
                  <c:v>3.64</c:v>
                </c:pt>
                <c:pt idx="4">
                  <c:v>3.63</c:v>
                </c:pt>
              </c:numCache>
            </c:numRef>
          </c:val>
          <c:smooth val="0"/>
        </c:ser>
        <c:dLbls>
          <c:showLegendKey val="0"/>
          <c:showVal val="0"/>
          <c:showCatName val="0"/>
          <c:showSerName val="0"/>
          <c:showPercent val="0"/>
          <c:showBubbleSize val="0"/>
        </c:dLbls>
        <c:marker val="1"/>
        <c:smooth val="0"/>
        <c:axId val="113862912"/>
        <c:axId val="113876992"/>
      </c:lineChart>
      <c:catAx>
        <c:axId val="11383872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de-DE"/>
          </a:p>
        </c:txPr>
        <c:crossAx val="113861376"/>
        <c:crosses val="autoZero"/>
        <c:auto val="1"/>
        <c:lblAlgn val="ctr"/>
        <c:lblOffset val="100"/>
        <c:tickLblSkip val="1"/>
        <c:tickMarkSkip val="1"/>
        <c:noMultiLvlLbl val="0"/>
      </c:catAx>
      <c:valAx>
        <c:axId val="113861376"/>
        <c:scaling>
          <c:orientation val="minMax"/>
        </c:scaling>
        <c:delete val="0"/>
        <c:axPos val="l"/>
        <c:majorGridlines>
          <c:spPr>
            <a:ln w="3175">
              <a:solidFill>
                <a:srgbClr val="000000"/>
              </a:solidFill>
              <a:prstDash val="solid"/>
            </a:ln>
          </c:spPr>
        </c:majorGridlines>
        <c:numFmt formatCode="0" sourceLinked="0"/>
        <c:majorTickMark val="none"/>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de-DE"/>
          </a:p>
        </c:txPr>
        <c:crossAx val="113838720"/>
        <c:crosses val="autoZero"/>
        <c:crossBetween val="between"/>
      </c:valAx>
      <c:catAx>
        <c:axId val="113862912"/>
        <c:scaling>
          <c:orientation val="minMax"/>
        </c:scaling>
        <c:delete val="1"/>
        <c:axPos val="b"/>
        <c:numFmt formatCode="General" sourceLinked="1"/>
        <c:majorTickMark val="out"/>
        <c:minorTickMark val="none"/>
        <c:tickLblPos val="nextTo"/>
        <c:crossAx val="113876992"/>
        <c:crosses val="autoZero"/>
        <c:auto val="1"/>
        <c:lblAlgn val="ctr"/>
        <c:lblOffset val="100"/>
        <c:noMultiLvlLbl val="0"/>
      </c:catAx>
      <c:valAx>
        <c:axId val="113876992"/>
        <c:scaling>
          <c:orientation val="minMax"/>
        </c:scaling>
        <c:delete val="0"/>
        <c:axPos val="r"/>
        <c:numFmt formatCode="0.0" sourceLinked="0"/>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de-DE"/>
          </a:p>
        </c:txPr>
        <c:crossAx val="113862912"/>
        <c:crosses val="max"/>
        <c:crossBetween val="between"/>
      </c:valAx>
      <c:spPr>
        <a:noFill/>
        <a:ln w="3175">
          <a:solidFill>
            <a:srgbClr val="808080"/>
          </a:solidFill>
          <a:prstDash val="solid"/>
        </a:ln>
      </c:spPr>
    </c:plotArea>
    <c:legend>
      <c:legendPos val="b"/>
      <c:layout>
        <c:manualLayout>
          <c:xMode val="edge"/>
          <c:yMode val="edge"/>
          <c:x val="0.17285962033421104"/>
          <c:y val="0.93487394957983194"/>
          <c:w val="0.66074364290893373"/>
          <c:h val="5.0420168067226934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de-DE"/>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de-DE"/>
    </a:p>
  </c:txPr>
  <c:printSettings>
    <c:headerFooter alignWithMargins="0"/>
    <c:pageMargins b="0.984251969" l="0.78740157499999996" r="0.78740157499999996" t="0.984251969" header="0.4921259845" footer="0.4921259845"/>
    <c:pageSetup paperSize="9" orientation="landscape" horizontalDpi="1200" verticalDpi="120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080821366038915E-2"/>
          <c:y val="5.4621848739495799E-2"/>
          <c:w val="0.84680273898282787"/>
          <c:h val="0.83613445378151263"/>
        </c:manualLayout>
      </c:layout>
      <c:barChart>
        <c:barDir val="col"/>
        <c:grouping val="clustered"/>
        <c:varyColors val="0"/>
        <c:ser>
          <c:idx val="0"/>
          <c:order val="0"/>
          <c:tx>
            <c:strRef>
              <c:f>'Kennzahlen 1'!$I$4</c:f>
              <c:strCache>
                <c:ptCount val="1"/>
                <c:pt idx="0">
                  <c:v>Zinsbelastungsanteil   %</c:v>
                </c:pt>
              </c:strCache>
            </c:strRef>
          </c:tx>
          <c:spPr>
            <a:solidFill>
              <a:srgbClr val="CCFFFF"/>
            </a:solidFill>
            <a:ln w="12700">
              <a:solidFill>
                <a:srgbClr val="000000"/>
              </a:solidFill>
              <a:prstDash val="solid"/>
            </a:ln>
          </c:spPr>
          <c:invertIfNegative val="0"/>
          <c:cat>
            <c:numRef>
              <c:f>'Kennzahlen 1'!$J$2:$N$2</c:f>
              <c:numCache>
                <c:formatCode>General</c:formatCode>
                <c:ptCount val="5"/>
                <c:pt idx="0">
                  <c:v>2012</c:v>
                </c:pt>
                <c:pt idx="1">
                  <c:v>2013</c:v>
                </c:pt>
                <c:pt idx="2">
                  <c:v>2014</c:v>
                </c:pt>
                <c:pt idx="3">
                  <c:v>2015</c:v>
                </c:pt>
                <c:pt idx="4">
                  <c:v>2016</c:v>
                </c:pt>
              </c:numCache>
            </c:numRef>
          </c:cat>
          <c:val>
            <c:numRef>
              <c:f>'Kennzahlen 1'!$J$4:$N$4</c:f>
              <c:numCache>
                <c:formatCode>0.00</c:formatCode>
                <c:ptCount val="5"/>
                <c:pt idx="0">
                  <c:v>-0.7</c:v>
                </c:pt>
                <c:pt idx="1">
                  <c:v>0.23</c:v>
                </c:pt>
                <c:pt idx="2">
                  <c:v>0.01</c:v>
                </c:pt>
                <c:pt idx="3">
                  <c:v>0.16</c:v>
                </c:pt>
                <c:pt idx="4">
                  <c:v>0.34</c:v>
                </c:pt>
              </c:numCache>
            </c:numRef>
          </c:val>
        </c:ser>
        <c:dLbls>
          <c:showLegendKey val="0"/>
          <c:showVal val="0"/>
          <c:showCatName val="0"/>
          <c:showSerName val="0"/>
          <c:showPercent val="0"/>
          <c:showBubbleSize val="0"/>
        </c:dLbls>
        <c:gapWidth val="150"/>
        <c:axId val="117183616"/>
        <c:axId val="117185536"/>
      </c:barChart>
      <c:lineChart>
        <c:grouping val="standard"/>
        <c:varyColors val="0"/>
        <c:ser>
          <c:idx val="1"/>
          <c:order val="1"/>
          <c:tx>
            <c:strRef>
              <c:f>'Kennzahlen 1'!$I$5</c:f>
              <c:strCache>
                <c:ptCount val="1"/>
                <c:pt idx="0">
                  <c:v>Kapitaldienstanteil       %</c:v>
                </c:pt>
              </c:strCache>
            </c:strRef>
          </c:tx>
          <c:spPr>
            <a:ln w="25400">
              <a:solidFill>
                <a:srgbClr val="0000FF"/>
              </a:solidFill>
              <a:prstDash val="solid"/>
            </a:ln>
          </c:spPr>
          <c:marker>
            <c:symbol val="diamond"/>
            <c:size val="8"/>
            <c:spPr>
              <a:solidFill>
                <a:srgbClr val="0000FF"/>
              </a:solidFill>
              <a:ln>
                <a:solidFill>
                  <a:srgbClr val="0000FF"/>
                </a:solidFill>
                <a:prstDash val="solid"/>
              </a:ln>
            </c:spPr>
          </c:marker>
          <c:cat>
            <c:numRef>
              <c:f>'Kennzahlen 1'!$J$2:$N$2</c:f>
              <c:numCache>
                <c:formatCode>General</c:formatCode>
                <c:ptCount val="5"/>
                <c:pt idx="0">
                  <c:v>2012</c:v>
                </c:pt>
                <c:pt idx="1">
                  <c:v>2013</c:v>
                </c:pt>
                <c:pt idx="2">
                  <c:v>2014</c:v>
                </c:pt>
                <c:pt idx="3">
                  <c:v>2015</c:v>
                </c:pt>
                <c:pt idx="4">
                  <c:v>2016</c:v>
                </c:pt>
              </c:numCache>
            </c:numRef>
          </c:cat>
          <c:val>
            <c:numRef>
              <c:f>'Kennzahlen 1'!$J$5:$N$5</c:f>
              <c:numCache>
                <c:formatCode>0.00</c:formatCode>
                <c:ptCount val="5"/>
                <c:pt idx="0">
                  <c:v>2.58</c:v>
                </c:pt>
                <c:pt idx="1">
                  <c:v>3.6</c:v>
                </c:pt>
                <c:pt idx="2">
                  <c:v>3.1</c:v>
                </c:pt>
                <c:pt idx="3">
                  <c:v>3.45</c:v>
                </c:pt>
                <c:pt idx="4">
                  <c:v>4.5999999999999996</c:v>
                </c:pt>
              </c:numCache>
            </c:numRef>
          </c:val>
          <c:smooth val="0"/>
        </c:ser>
        <c:dLbls>
          <c:showLegendKey val="0"/>
          <c:showVal val="0"/>
          <c:showCatName val="0"/>
          <c:showSerName val="0"/>
          <c:showPercent val="0"/>
          <c:showBubbleSize val="0"/>
        </c:dLbls>
        <c:marker val="1"/>
        <c:smooth val="0"/>
        <c:axId val="117195520"/>
        <c:axId val="117197056"/>
      </c:lineChart>
      <c:catAx>
        <c:axId val="11718361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25" b="1" i="0" u="none" strike="noStrike" baseline="0">
                <a:solidFill>
                  <a:srgbClr val="000000"/>
                </a:solidFill>
                <a:latin typeface="Arial"/>
                <a:ea typeface="Arial"/>
                <a:cs typeface="Arial"/>
              </a:defRPr>
            </a:pPr>
            <a:endParaRPr lang="de-DE"/>
          </a:p>
        </c:txPr>
        <c:crossAx val="117185536"/>
        <c:crosses val="autoZero"/>
        <c:auto val="1"/>
        <c:lblAlgn val="ctr"/>
        <c:lblOffset val="100"/>
        <c:tickLblSkip val="1"/>
        <c:tickMarkSkip val="1"/>
        <c:noMultiLvlLbl val="0"/>
      </c:catAx>
      <c:valAx>
        <c:axId val="117185536"/>
        <c:scaling>
          <c:orientation val="minMax"/>
        </c:scaling>
        <c:delete val="0"/>
        <c:axPos val="l"/>
        <c:majorGridlines>
          <c:spPr>
            <a:ln w="3175">
              <a:solidFill>
                <a:srgbClr val="000000"/>
              </a:solidFill>
              <a:prstDash val="solid"/>
            </a:ln>
          </c:spPr>
        </c:majorGridlines>
        <c:numFmt formatCode="0.0" sourceLinked="0"/>
        <c:majorTickMark val="none"/>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de-DE"/>
          </a:p>
        </c:txPr>
        <c:crossAx val="117183616"/>
        <c:crosses val="autoZero"/>
        <c:crossBetween val="between"/>
      </c:valAx>
      <c:catAx>
        <c:axId val="117195520"/>
        <c:scaling>
          <c:orientation val="minMax"/>
        </c:scaling>
        <c:delete val="1"/>
        <c:axPos val="b"/>
        <c:numFmt formatCode="General" sourceLinked="1"/>
        <c:majorTickMark val="out"/>
        <c:minorTickMark val="none"/>
        <c:tickLblPos val="nextTo"/>
        <c:crossAx val="117197056"/>
        <c:crosses val="autoZero"/>
        <c:auto val="1"/>
        <c:lblAlgn val="ctr"/>
        <c:lblOffset val="100"/>
        <c:noMultiLvlLbl val="0"/>
      </c:catAx>
      <c:valAx>
        <c:axId val="117197056"/>
        <c:scaling>
          <c:orientation val="minMax"/>
        </c:scaling>
        <c:delete val="0"/>
        <c:axPos val="r"/>
        <c:numFmt formatCode="0.0" sourceLinked="0"/>
        <c:majorTickMark val="cross"/>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de-DE"/>
          </a:p>
        </c:txPr>
        <c:crossAx val="117195520"/>
        <c:crosses val="max"/>
        <c:crossBetween val="between"/>
      </c:valAx>
      <c:spPr>
        <a:noFill/>
        <a:ln w="3175">
          <a:solidFill>
            <a:srgbClr val="808080"/>
          </a:solidFill>
          <a:prstDash val="solid"/>
        </a:ln>
      </c:spPr>
    </c:plotArea>
    <c:legend>
      <c:legendPos val="b"/>
      <c:layout>
        <c:manualLayout>
          <c:xMode val="edge"/>
          <c:yMode val="edge"/>
          <c:x val="0.21043806392887757"/>
          <c:y val="0.93697478991596639"/>
          <c:w val="0.58754297127000543"/>
          <c:h val="4.8319327731092487E-2"/>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de-DE"/>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de-DE"/>
    </a:p>
  </c:txPr>
  <c:printSettings>
    <c:headerFooter alignWithMargins="0"/>
    <c:pageMargins b="0.984251969" l="0.78740157499999996" r="0.78740157499999996" t="0.984251969" header="0.4921259845" footer="0.4921259845"/>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de-CH"/>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795786061588337E-2"/>
          <c:y val="5.4621848739495799E-2"/>
          <c:w val="0.85089141004862234"/>
          <c:h val="0.79201680672268904"/>
        </c:manualLayout>
      </c:layout>
      <c:barChart>
        <c:barDir val="col"/>
        <c:grouping val="clustered"/>
        <c:varyColors val="0"/>
        <c:ser>
          <c:idx val="0"/>
          <c:order val="0"/>
          <c:tx>
            <c:strRef>
              <c:f>'Kennzahlen 2'!$A$4</c:f>
              <c:strCache>
                <c:ptCount val="1"/>
                <c:pt idx="0">
                  <c:v>Bruttoverschuldungsanteil %</c:v>
                </c:pt>
              </c:strCache>
            </c:strRef>
          </c:tx>
          <c:spPr>
            <a:solidFill>
              <a:srgbClr val="CCFFFF"/>
            </a:solidFill>
            <a:ln w="12700">
              <a:solidFill>
                <a:srgbClr val="000000"/>
              </a:solidFill>
              <a:prstDash val="solid"/>
            </a:ln>
          </c:spPr>
          <c:invertIfNegative val="0"/>
          <c:cat>
            <c:numRef>
              <c:f>'Kennzahlen 2'!$B$2:$F$2</c:f>
              <c:numCache>
                <c:formatCode>General</c:formatCode>
                <c:ptCount val="5"/>
                <c:pt idx="0">
                  <c:v>2012</c:v>
                </c:pt>
                <c:pt idx="1">
                  <c:v>2013</c:v>
                </c:pt>
                <c:pt idx="2">
                  <c:v>2014</c:v>
                </c:pt>
                <c:pt idx="3">
                  <c:v>2015</c:v>
                </c:pt>
                <c:pt idx="4">
                  <c:v>2016</c:v>
                </c:pt>
              </c:numCache>
            </c:numRef>
          </c:cat>
          <c:val>
            <c:numRef>
              <c:f>'Kennzahlen 2'!$B$4:$F$4</c:f>
              <c:numCache>
                <c:formatCode>0.00</c:formatCode>
                <c:ptCount val="5"/>
                <c:pt idx="0">
                  <c:v>104.22</c:v>
                </c:pt>
                <c:pt idx="1">
                  <c:v>103.72</c:v>
                </c:pt>
                <c:pt idx="2">
                  <c:v>101.6</c:v>
                </c:pt>
                <c:pt idx="3">
                  <c:v>101.57</c:v>
                </c:pt>
                <c:pt idx="4">
                  <c:v>101.32</c:v>
                </c:pt>
              </c:numCache>
            </c:numRef>
          </c:val>
        </c:ser>
        <c:dLbls>
          <c:showLegendKey val="0"/>
          <c:showVal val="0"/>
          <c:showCatName val="0"/>
          <c:showSerName val="0"/>
          <c:showPercent val="0"/>
          <c:showBubbleSize val="0"/>
        </c:dLbls>
        <c:gapWidth val="150"/>
        <c:axId val="121606528"/>
        <c:axId val="121608448"/>
      </c:barChart>
      <c:lineChart>
        <c:grouping val="standard"/>
        <c:varyColors val="0"/>
        <c:ser>
          <c:idx val="1"/>
          <c:order val="1"/>
          <c:tx>
            <c:strRef>
              <c:f>'Kennzahlen 2'!$A$5</c:f>
              <c:strCache>
                <c:ptCount val="1"/>
                <c:pt idx="0">
                  <c:v>Investitionsanteil %</c:v>
                </c:pt>
              </c:strCache>
            </c:strRef>
          </c:tx>
          <c:spPr>
            <a:ln w="25400">
              <a:solidFill>
                <a:srgbClr val="0000FF"/>
              </a:solidFill>
              <a:prstDash val="solid"/>
            </a:ln>
          </c:spPr>
          <c:marker>
            <c:symbol val="diamond"/>
            <c:size val="8"/>
            <c:spPr>
              <a:solidFill>
                <a:srgbClr val="0000FF"/>
              </a:solidFill>
              <a:ln>
                <a:solidFill>
                  <a:srgbClr val="0000FF"/>
                </a:solidFill>
                <a:prstDash val="solid"/>
              </a:ln>
            </c:spPr>
          </c:marker>
          <c:cat>
            <c:numRef>
              <c:f>'Kennzahlen 2'!$B$2:$F$2</c:f>
              <c:numCache>
                <c:formatCode>General</c:formatCode>
                <c:ptCount val="5"/>
                <c:pt idx="0">
                  <c:v>2012</c:v>
                </c:pt>
                <c:pt idx="1">
                  <c:v>2013</c:v>
                </c:pt>
                <c:pt idx="2">
                  <c:v>2014</c:v>
                </c:pt>
                <c:pt idx="3">
                  <c:v>2015</c:v>
                </c:pt>
                <c:pt idx="4">
                  <c:v>2016</c:v>
                </c:pt>
              </c:numCache>
            </c:numRef>
          </c:cat>
          <c:val>
            <c:numRef>
              <c:f>'Kennzahlen 2'!$B$5:$F$5</c:f>
              <c:numCache>
                <c:formatCode>0.00</c:formatCode>
                <c:ptCount val="5"/>
                <c:pt idx="0">
                  <c:v>5.35</c:v>
                </c:pt>
                <c:pt idx="1">
                  <c:v>5.03</c:v>
                </c:pt>
                <c:pt idx="2">
                  <c:v>4.8099999999999996</c:v>
                </c:pt>
                <c:pt idx="3">
                  <c:v>4.76</c:v>
                </c:pt>
                <c:pt idx="4">
                  <c:v>4.71</c:v>
                </c:pt>
              </c:numCache>
            </c:numRef>
          </c:val>
          <c:smooth val="0"/>
        </c:ser>
        <c:dLbls>
          <c:showLegendKey val="0"/>
          <c:showVal val="0"/>
          <c:showCatName val="0"/>
          <c:showSerName val="0"/>
          <c:showPercent val="0"/>
          <c:showBubbleSize val="0"/>
        </c:dLbls>
        <c:marker val="1"/>
        <c:smooth val="0"/>
        <c:axId val="121614336"/>
        <c:axId val="121615872"/>
      </c:lineChart>
      <c:catAx>
        <c:axId val="1216065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de-DE"/>
          </a:p>
        </c:txPr>
        <c:crossAx val="121608448"/>
        <c:crosses val="autoZero"/>
        <c:auto val="1"/>
        <c:lblAlgn val="ctr"/>
        <c:lblOffset val="100"/>
        <c:tickLblSkip val="1"/>
        <c:tickMarkSkip val="1"/>
        <c:noMultiLvlLbl val="0"/>
      </c:catAx>
      <c:valAx>
        <c:axId val="121608448"/>
        <c:scaling>
          <c:orientation val="minMax"/>
        </c:scaling>
        <c:delete val="0"/>
        <c:axPos val="l"/>
        <c:majorGridlines>
          <c:spPr>
            <a:ln w="3175">
              <a:solidFill>
                <a:srgbClr val="000000"/>
              </a:solidFill>
              <a:prstDash val="solid"/>
            </a:ln>
          </c:spPr>
        </c:majorGridlines>
        <c:numFmt formatCode="0" sourceLinked="0"/>
        <c:majorTickMark val="none"/>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de-DE"/>
          </a:p>
        </c:txPr>
        <c:crossAx val="121606528"/>
        <c:crosses val="autoZero"/>
        <c:crossBetween val="between"/>
      </c:valAx>
      <c:catAx>
        <c:axId val="121614336"/>
        <c:scaling>
          <c:orientation val="minMax"/>
        </c:scaling>
        <c:delete val="1"/>
        <c:axPos val="b"/>
        <c:numFmt formatCode="General" sourceLinked="1"/>
        <c:majorTickMark val="out"/>
        <c:minorTickMark val="none"/>
        <c:tickLblPos val="nextTo"/>
        <c:crossAx val="121615872"/>
        <c:crossesAt val="6"/>
        <c:auto val="1"/>
        <c:lblAlgn val="ctr"/>
        <c:lblOffset val="100"/>
        <c:noMultiLvlLbl val="0"/>
      </c:catAx>
      <c:valAx>
        <c:axId val="121615872"/>
        <c:scaling>
          <c:orientation val="minMax"/>
          <c:max val="8"/>
          <c:min val="4"/>
        </c:scaling>
        <c:delete val="0"/>
        <c:axPos val="r"/>
        <c:numFmt formatCode="0.0" sourceLinked="0"/>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de-DE"/>
          </a:p>
        </c:txPr>
        <c:crossAx val="121614336"/>
        <c:crosses val="max"/>
        <c:crossBetween val="between"/>
        <c:majorUnit val="0.5"/>
        <c:minorUnit val="0.05"/>
      </c:valAx>
      <c:spPr>
        <a:noFill/>
        <a:ln w="3175">
          <a:solidFill>
            <a:srgbClr val="808080"/>
          </a:solidFill>
          <a:prstDash val="solid"/>
        </a:ln>
      </c:spPr>
    </c:plotArea>
    <c:legend>
      <c:legendPos val="b"/>
      <c:layout>
        <c:manualLayout>
          <c:xMode val="edge"/>
          <c:yMode val="edge"/>
          <c:x val="0.21555915721231766"/>
          <c:y val="0.93487394957983194"/>
          <c:w val="0.57374392220421389"/>
          <c:h val="5.0420168067226934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de-DE"/>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de-DE"/>
    </a:p>
  </c:txPr>
  <c:printSettings>
    <c:headerFooter alignWithMargins="0"/>
    <c:pageMargins b="0.984251969" l="0.78740157499999996" r="0.78740157499999996" t="0.984251969" header="0.4921259845" footer="0.492125984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19050</xdr:colOff>
      <xdr:row>6</xdr:row>
      <xdr:rowOff>0</xdr:rowOff>
    </xdr:from>
    <xdr:to>
      <xdr:col>7</xdr:col>
      <xdr:colOff>0</xdr:colOff>
      <xdr:row>34</xdr:row>
      <xdr:rowOff>0</xdr:rowOff>
    </xdr:to>
    <xdr:graphicFrame macro="">
      <xdr:nvGraphicFramePr>
        <xdr:cNvPr id="9275"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6</xdr:row>
      <xdr:rowOff>0</xdr:rowOff>
    </xdr:from>
    <xdr:to>
      <xdr:col>15</xdr:col>
      <xdr:colOff>0</xdr:colOff>
      <xdr:row>34</xdr:row>
      <xdr:rowOff>0</xdr:rowOff>
    </xdr:to>
    <xdr:graphicFrame macro="">
      <xdr:nvGraphicFramePr>
        <xdr:cNvPr id="9276"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6</xdr:row>
      <xdr:rowOff>0</xdr:rowOff>
    </xdr:from>
    <xdr:to>
      <xdr:col>7</xdr:col>
      <xdr:colOff>0</xdr:colOff>
      <xdr:row>34</xdr:row>
      <xdr:rowOff>0</xdr:rowOff>
    </xdr:to>
    <xdr:graphicFrame macro="">
      <xdr:nvGraphicFramePr>
        <xdr:cNvPr id="10271"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21</xdr:row>
      <xdr:rowOff>0</xdr:rowOff>
    </xdr:from>
    <xdr:to>
      <xdr:col>8</xdr:col>
      <xdr:colOff>0</xdr:colOff>
      <xdr:row>26</xdr:row>
      <xdr:rowOff>0</xdr:rowOff>
    </xdr:to>
    <xdr:sp macro="" textlink="">
      <xdr:nvSpPr>
        <xdr:cNvPr id="2" name="Text Box 6"/>
        <xdr:cNvSpPr txBox="1">
          <a:spLocks noChangeArrowheads="1"/>
        </xdr:cNvSpPr>
      </xdr:nvSpPr>
      <xdr:spPr bwMode="auto">
        <a:xfrm>
          <a:off x="0" y="2971800"/>
          <a:ext cx="6657975" cy="7048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ct val="100000"/>
            </a:lnSpc>
            <a:defRPr sz="1000"/>
          </a:pPr>
          <a:r>
            <a:rPr lang="de-CH" sz="800" b="0" i="0" u="none" strike="noStrike" baseline="0">
              <a:solidFill>
                <a:srgbClr val="000000"/>
              </a:solidFill>
              <a:latin typeface="Arial"/>
              <a:cs typeface="Arial"/>
            </a:rPr>
            <a:t>Die Einführung des neuen Sitzungsrhythmus im Stadtrat (Reduktion der Anzahl Sitzungen um einen Drittel) und die gleichzeitige Erhöhung des Sitzungsgelds auf das Jahr 2011 haben keine finanziellen Auswirkungen mehr auf die Planperiode ab 2013. Mit weiteren Einsparungen durch eine Reduktion von Kommissionssitzungen ist nicht zu rechnen. Durch die Einführung des Ratsinformationssystems (RIS) auf 2013 können aber die Druckkosten voraussichtlich weiter gesenkt werden. Allerdings müsste auf der anderen Seite geprüft werden, ob den Ratsmitgliedern zusätzliche Beiträge an die Infrastruktur ausgerichtet werden sollen.</a:t>
          </a:r>
        </a:p>
        <a:p>
          <a:pPr algn="l" rtl="0">
            <a:lnSpc>
              <a:spcPts val="800"/>
            </a:lnSpc>
            <a:defRPr sz="1000"/>
          </a:pPr>
          <a:endParaRPr lang="de-CH" sz="800" b="0" i="0" u="none" strike="noStrike" baseline="0">
            <a:solidFill>
              <a:srgbClr val="000000"/>
            </a:solidFill>
            <a:latin typeface="Arial"/>
            <a:cs typeface="Arial"/>
          </a:endParaRPr>
        </a:p>
        <a:p>
          <a:pPr algn="l" rtl="0">
            <a:lnSpc>
              <a:spcPts val="900"/>
            </a:lnSpc>
            <a:defRPr sz="1000"/>
          </a:pPr>
          <a:endParaRPr lang="de-CH" sz="800" b="0" i="0" u="none" strike="noStrike" baseline="0">
            <a:solidFill>
              <a:srgbClr val="000000"/>
            </a:solidFill>
            <a:latin typeface="Arial"/>
            <a:cs typeface="Arial"/>
          </a:endParaRPr>
        </a:p>
      </xdr:txBody>
    </xdr:sp>
    <xdr:clientData/>
  </xdr:twoCellAnchor>
  <xdr:twoCellAnchor>
    <xdr:from>
      <xdr:col>0</xdr:col>
      <xdr:colOff>1</xdr:colOff>
      <xdr:row>32</xdr:row>
      <xdr:rowOff>0</xdr:rowOff>
    </xdr:from>
    <xdr:to>
      <xdr:col>7</xdr:col>
      <xdr:colOff>752475</xdr:colOff>
      <xdr:row>37</xdr:row>
      <xdr:rowOff>9668</xdr:rowOff>
    </xdr:to>
    <xdr:sp macro="" textlink="">
      <xdr:nvSpPr>
        <xdr:cNvPr id="3" name="Text Box 7"/>
        <xdr:cNvSpPr txBox="1">
          <a:spLocks noChangeArrowheads="1"/>
        </xdr:cNvSpPr>
      </xdr:nvSpPr>
      <xdr:spPr bwMode="auto">
        <a:xfrm>
          <a:off x="1" y="3933825"/>
          <a:ext cx="6648449" cy="36209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Mit Beginn der neuen Legislatur 2013 wird die angestrebte Einführung und Weiterbildung von Stadträtinnen und Stadträten weitergeführt und intensiviert. Es ist weiterhin mit einem Aufwand von 5'000 Franken jährlich zu rechnen, der im Budget 2012 eingeplant ist. </a:t>
          </a:r>
        </a:p>
        <a:p>
          <a:pPr algn="l" rtl="0">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63</xdr:row>
      <xdr:rowOff>0</xdr:rowOff>
    </xdr:from>
    <xdr:to>
      <xdr:col>8</xdr:col>
      <xdr:colOff>0</xdr:colOff>
      <xdr:row>66</xdr:row>
      <xdr:rowOff>0</xdr:rowOff>
    </xdr:to>
    <xdr:sp macro="" textlink="">
      <xdr:nvSpPr>
        <xdr:cNvPr id="4" name="Text Box 9"/>
        <xdr:cNvSpPr txBox="1">
          <a:spLocks noChangeArrowheads="1"/>
        </xdr:cNvSpPr>
      </xdr:nvSpPr>
      <xdr:spPr bwMode="auto">
        <a:xfrm>
          <a:off x="0" y="7972425"/>
          <a:ext cx="6667500"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0</xdr:colOff>
      <xdr:row>39</xdr:row>
      <xdr:rowOff>0</xdr:rowOff>
    </xdr:from>
    <xdr:to>
      <xdr:col>7</xdr:col>
      <xdr:colOff>752475</xdr:colOff>
      <xdr:row>41</xdr:row>
      <xdr:rowOff>0</xdr:rowOff>
    </xdr:to>
    <xdr:sp macro="" textlink="">
      <xdr:nvSpPr>
        <xdr:cNvPr id="5" name="Text Box 10"/>
        <xdr:cNvSpPr txBox="1">
          <a:spLocks noChangeArrowheads="1"/>
        </xdr:cNvSpPr>
      </xdr:nvSpPr>
      <xdr:spPr bwMode="auto">
        <a:xfrm>
          <a:off x="0" y="4543425"/>
          <a:ext cx="664845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Parlament, Verwaltung, Dritte.</a:t>
          </a:r>
        </a:p>
      </xdr:txBody>
    </xdr:sp>
    <xdr:clientData/>
  </xdr:twoCellAnchor>
  <xdr:twoCellAnchor>
    <xdr:from>
      <xdr:col>0</xdr:col>
      <xdr:colOff>0</xdr:colOff>
      <xdr:row>13</xdr:row>
      <xdr:rowOff>0</xdr:rowOff>
    </xdr:from>
    <xdr:to>
      <xdr:col>8</xdr:col>
      <xdr:colOff>0</xdr:colOff>
      <xdr:row>19</xdr:row>
      <xdr:rowOff>7538</xdr:rowOff>
    </xdr:to>
    <xdr:sp macro="" textlink="">
      <xdr:nvSpPr>
        <xdr:cNvPr id="6" name="Text Box 11"/>
        <xdr:cNvSpPr txBox="1">
          <a:spLocks noChangeArrowheads="1"/>
        </xdr:cNvSpPr>
      </xdr:nvSpPr>
      <xdr:spPr bwMode="auto">
        <a:xfrm>
          <a:off x="0" y="1714500"/>
          <a:ext cx="6657975" cy="864788"/>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94</xdr:row>
      <xdr:rowOff>9525</xdr:rowOff>
    </xdr:from>
    <xdr:to>
      <xdr:col>8</xdr:col>
      <xdr:colOff>0</xdr:colOff>
      <xdr:row>99</xdr:row>
      <xdr:rowOff>135293</xdr:rowOff>
    </xdr:to>
    <xdr:sp macro="" textlink="">
      <xdr:nvSpPr>
        <xdr:cNvPr id="7" name="Text Box 6"/>
        <xdr:cNvSpPr txBox="1">
          <a:spLocks noChangeArrowheads="1"/>
        </xdr:cNvSpPr>
      </xdr:nvSpPr>
      <xdr:spPr bwMode="auto">
        <a:xfrm>
          <a:off x="0" y="11991975"/>
          <a:ext cx="6667500" cy="811568"/>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Die geplante Inbetriebnahme des neuen Geschäftsverwaltungsprogramms CMI Axioma wird die Arbeit im Ratssekretariat ab 2013 relativ stark beeinflussen und verändern. Eine Reduktion des Arbeitsaufwands und damit verbundene Einsparungen im Personalbereich sind jedoch nicht zu erwarten. Das effizientere Daten- und Dokumentenmanagement dürfte aber zu einer Verbesserung der Dienstleistungen für das Parlament, die Verwaltung und die Öffentlichkeit führen. Zusätzlich ist eine Neumöblierung der Büroräumlichkeiten geplant; diese sind mit je 10'000.00 Franken im 2013 und 2014 veranschlagt. Damit dürfte auch eine Optimierung im Bereich Workflow und Archivierung erreicht werden. </a:t>
          </a:r>
        </a:p>
        <a:p>
          <a:pPr algn="l" rtl="0">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100</xdr:row>
      <xdr:rowOff>28575</xdr:rowOff>
    </xdr:from>
    <xdr:to>
      <xdr:col>8</xdr:col>
      <xdr:colOff>0</xdr:colOff>
      <xdr:row>103</xdr:row>
      <xdr:rowOff>133350</xdr:rowOff>
    </xdr:to>
    <xdr:sp macro="" textlink="">
      <xdr:nvSpPr>
        <xdr:cNvPr id="8" name="Text Box 7"/>
        <xdr:cNvSpPr txBox="1">
          <a:spLocks noChangeArrowheads="1"/>
        </xdr:cNvSpPr>
      </xdr:nvSpPr>
      <xdr:spPr bwMode="auto">
        <a:xfrm>
          <a:off x="0" y="13106400"/>
          <a:ext cx="6667500" cy="3810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Inbetriebnahme neue elektronische Geschäftsverwaltung auf 1. Januar 2013. Annuität entfällt ab 2013.</a:t>
          </a:r>
        </a:p>
      </xdr:txBody>
    </xdr:sp>
    <xdr:clientData/>
  </xdr:twoCellAnchor>
  <xdr:twoCellAnchor>
    <xdr:from>
      <xdr:col>0</xdr:col>
      <xdr:colOff>0</xdr:colOff>
      <xdr:row>131</xdr:row>
      <xdr:rowOff>0</xdr:rowOff>
    </xdr:from>
    <xdr:to>
      <xdr:col>8</xdr:col>
      <xdr:colOff>0</xdr:colOff>
      <xdr:row>134</xdr:row>
      <xdr:rowOff>0</xdr:rowOff>
    </xdr:to>
    <xdr:sp macro="" textlink="">
      <xdr:nvSpPr>
        <xdr:cNvPr id="9" name="Text Box 9"/>
        <xdr:cNvSpPr txBox="1">
          <a:spLocks noChangeArrowheads="1"/>
        </xdr:cNvSpPr>
      </xdr:nvSpPr>
      <xdr:spPr bwMode="auto">
        <a:xfrm>
          <a:off x="0" y="17316450"/>
          <a:ext cx="6667500"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0</xdr:colOff>
      <xdr:row>107</xdr:row>
      <xdr:rowOff>0</xdr:rowOff>
    </xdr:from>
    <xdr:to>
      <xdr:col>8</xdr:col>
      <xdr:colOff>0</xdr:colOff>
      <xdr:row>109</xdr:row>
      <xdr:rowOff>0</xdr:rowOff>
    </xdr:to>
    <xdr:sp macro="" textlink="">
      <xdr:nvSpPr>
        <xdr:cNvPr id="10" name="Text Box 10"/>
        <xdr:cNvSpPr txBox="1">
          <a:spLocks noChangeArrowheads="1"/>
        </xdr:cNvSpPr>
      </xdr:nvSpPr>
      <xdr:spPr bwMode="auto">
        <a:xfrm>
          <a:off x="0" y="13887450"/>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Parlament, Verwaltung, Dritte.</a:t>
          </a:r>
        </a:p>
      </xdr:txBody>
    </xdr:sp>
    <xdr:clientData/>
  </xdr:twoCellAnchor>
  <xdr:twoCellAnchor>
    <xdr:from>
      <xdr:col>0</xdr:col>
      <xdr:colOff>0</xdr:colOff>
      <xdr:row>86</xdr:row>
      <xdr:rowOff>0</xdr:rowOff>
    </xdr:from>
    <xdr:to>
      <xdr:col>8</xdr:col>
      <xdr:colOff>0</xdr:colOff>
      <xdr:row>88</xdr:row>
      <xdr:rowOff>47625</xdr:rowOff>
    </xdr:to>
    <xdr:sp macro="" textlink="">
      <xdr:nvSpPr>
        <xdr:cNvPr id="11" name="Text Box 11"/>
        <xdr:cNvSpPr txBox="1">
          <a:spLocks noChangeArrowheads="1"/>
        </xdr:cNvSpPr>
      </xdr:nvSpPr>
      <xdr:spPr bwMode="auto">
        <a:xfrm>
          <a:off x="0" y="11115675"/>
          <a:ext cx="6667500" cy="3333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162</xdr:row>
      <xdr:rowOff>32385</xdr:rowOff>
    </xdr:from>
    <xdr:to>
      <xdr:col>8</xdr:col>
      <xdr:colOff>0</xdr:colOff>
      <xdr:row>166</xdr:row>
      <xdr:rowOff>128</xdr:rowOff>
    </xdr:to>
    <xdr:sp macro="" textlink="">
      <xdr:nvSpPr>
        <xdr:cNvPr id="12" name="Text Box 6"/>
        <xdr:cNvSpPr txBox="1">
          <a:spLocks noChangeArrowheads="1"/>
        </xdr:cNvSpPr>
      </xdr:nvSpPr>
      <xdr:spPr bwMode="auto">
        <a:xfrm>
          <a:off x="0" y="21749385"/>
          <a:ext cx="6657975" cy="53924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Der Stadtrat hat am 16. September 2010 eine Erhöhung der Nettokosten für das Produkt Datenschutz um Fr. 50'000 beschlossen. Die Steuerungsvorgaben im Produktegruppenbudget sind entsprechend angepasst worden. Die der Ressourcenerhöhung zugrunde liegende Revision des kantonalen Datenschutzgesetzes bedingt die Fortschreibung des Kostenaufwands in den Folgejahren.</a:t>
          </a:r>
        </a:p>
      </xdr:txBody>
    </xdr:sp>
    <xdr:clientData/>
  </xdr:twoCellAnchor>
  <xdr:twoCellAnchor>
    <xdr:from>
      <xdr:col>0</xdr:col>
      <xdr:colOff>0</xdr:colOff>
      <xdr:row>168</xdr:row>
      <xdr:rowOff>9525</xdr:rowOff>
    </xdr:from>
    <xdr:to>
      <xdr:col>7</xdr:col>
      <xdr:colOff>742950</xdr:colOff>
      <xdr:row>170</xdr:row>
      <xdr:rowOff>49669</xdr:rowOff>
    </xdr:to>
    <xdr:sp macro="" textlink="">
      <xdr:nvSpPr>
        <xdr:cNvPr id="13" name="Text Box 7"/>
        <xdr:cNvSpPr txBox="1">
          <a:spLocks noChangeArrowheads="1"/>
        </xdr:cNvSpPr>
      </xdr:nvSpPr>
      <xdr:spPr bwMode="auto">
        <a:xfrm>
          <a:off x="0" y="22555200"/>
          <a:ext cx="6638925" cy="32589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Es wird davon ausgegangen, dass sich die Kosten im Rahmen des Voranschlags 2012 bewegen.</a:t>
          </a:r>
          <a:endParaRPr lang="de-CH"/>
        </a:p>
      </xdr:txBody>
    </xdr:sp>
    <xdr:clientData/>
  </xdr:twoCellAnchor>
  <xdr:twoCellAnchor>
    <xdr:from>
      <xdr:col>0</xdr:col>
      <xdr:colOff>0</xdr:colOff>
      <xdr:row>199</xdr:row>
      <xdr:rowOff>0</xdr:rowOff>
    </xdr:from>
    <xdr:to>
      <xdr:col>8</xdr:col>
      <xdr:colOff>0</xdr:colOff>
      <xdr:row>202</xdr:row>
      <xdr:rowOff>0</xdr:rowOff>
    </xdr:to>
    <xdr:sp macro="" textlink="">
      <xdr:nvSpPr>
        <xdr:cNvPr id="14" name="Text Box 9"/>
        <xdr:cNvSpPr txBox="1">
          <a:spLocks noChangeArrowheads="1"/>
        </xdr:cNvSpPr>
      </xdr:nvSpPr>
      <xdr:spPr bwMode="auto">
        <a:xfrm>
          <a:off x="0" y="26946225"/>
          <a:ext cx="6667500"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175</xdr:row>
      <xdr:rowOff>0</xdr:rowOff>
    </xdr:from>
    <xdr:to>
      <xdr:col>8</xdr:col>
      <xdr:colOff>0</xdr:colOff>
      <xdr:row>177</xdr:row>
      <xdr:rowOff>0</xdr:rowOff>
    </xdr:to>
    <xdr:sp macro="" textlink="">
      <xdr:nvSpPr>
        <xdr:cNvPr id="15" name="Text Box 10"/>
        <xdr:cNvSpPr txBox="1">
          <a:spLocks noChangeArrowheads="1"/>
        </xdr:cNvSpPr>
      </xdr:nvSpPr>
      <xdr:spPr bwMode="auto">
        <a:xfrm>
          <a:off x="0" y="23517225"/>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Verwaltung, Bürgerinnen und Bürger, Dritte.</a:t>
          </a:r>
        </a:p>
      </xdr:txBody>
    </xdr:sp>
    <xdr:clientData/>
  </xdr:twoCellAnchor>
  <xdr:twoCellAnchor>
    <xdr:from>
      <xdr:col>0</xdr:col>
      <xdr:colOff>0</xdr:colOff>
      <xdr:row>154</xdr:row>
      <xdr:rowOff>0</xdr:rowOff>
    </xdr:from>
    <xdr:to>
      <xdr:col>8</xdr:col>
      <xdr:colOff>0</xdr:colOff>
      <xdr:row>160</xdr:row>
      <xdr:rowOff>0</xdr:rowOff>
    </xdr:to>
    <xdr:sp macro="" textlink="">
      <xdr:nvSpPr>
        <xdr:cNvPr id="16" name="Text Box 11"/>
        <xdr:cNvSpPr txBox="1">
          <a:spLocks noChangeArrowheads="1"/>
        </xdr:cNvSpPr>
      </xdr:nvSpPr>
      <xdr:spPr bwMode="auto">
        <a:xfrm>
          <a:off x="0" y="20459700"/>
          <a:ext cx="6667500" cy="8572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230</xdr:row>
      <xdr:rowOff>0</xdr:rowOff>
    </xdr:from>
    <xdr:to>
      <xdr:col>8</xdr:col>
      <xdr:colOff>0</xdr:colOff>
      <xdr:row>234</xdr:row>
      <xdr:rowOff>0</xdr:rowOff>
    </xdr:to>
    <xdr:sp macro="" textlink="">
      <xdr:nvSpPr>
        <xdr:cNvPr id="17" name="Text Box 6"/>
        <xdr:cNvSpPr txBox="1">
          <a:spLocks noChangeArrowheads="1"/>
        </xdr:cNvSpPr>
      </xdr:nvSpPr>
      <xdr:spPr bwMode="auto">
        <a:xfrm>
          <a:off x="0" y="31346775"/>
          <a:ext cx="6667500" cy="8001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ct val="100000"/>
            </a:lnSpc>
            <a:defRPr sz="1000"/>
          </a:pPr>
          <a:r>
            <a:rPr lang="de-CH" sz="800" b="0" i="0" u="none" strike="noStrike" baseline="0">
              <a:solidFill>
                <a:srgbClr val="000000"/>
              </a:solidFill>
              <a:latin typeface="Arial"/>
              <a:cs typeface="Arial"/>
            </a:rPr>
            <a:t>Bis 2020 soll die Bevölkerungsszahl der Stadt gemäss Strategie auf 140'000 Menschen anwachsen. Der Gemeinderat will mehr Wohnraum durch Einzonungen, Verdichtungen und Umnutzungen schaffen. Gleichwohl soll haushälterisch mit dem Boden umgegangen werden. Wirtschafts- und umweltpolitisch legt der Gemeinderat einen Schwerpunkt auf die Entwicklung der "grünen Technologie", auf die Stärkung des Forschungsplatzes und auf qualitatives Wachstum. Grosse Bedeutung misst der Gemeinerat zudem der Forderung nach sozialer Gerechtigkeit und Chancengleichheit bei. </a:t>
          </a:r>
        </a:p>
        <a:p>
          <a:pPr algn="l" rtl="0">
            <a:lnSpc>
              <a:spcPts val="1100"/>
            </a:lnSpc>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236</xdr:row>
      <xdr:rowOff>0</xdr:rowOff>
    </xdr:from>
    <xdr:to>
      <xdr:col>8</xdr:col>
      <xdr:colOff>0</xdr:colOff>
      <xdr:row>243</xdr:row>
      <xdr:rowOff>34344</xdr:rowOff>
    </xdr:to>
    <xdr:sp macro="" textlink="">
      <xdr:nvSpPr>
        <xdr:cNvPr id="18" name="Text Box 7"/>
        <xdr:cNvSpPr txBox="1">
          <a:spLocks noChangeArrowheads="1"/>
        </xdr:cNvSpPr>
      </xdr:nvSpPr>
      <xdr:spPr bwMode="auto">
        <a:xfrm>
          <a:off x="0" y="32404050"/>
          <a:ext cx="6667500" cy="119639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Am 25.11.2012 finden die Gemeindewahlen statt. Zufolge Rücktritts von Gemeinderatsmitgliedern fallen in der nächsten Legislaturperiode drei neue Ruhegehälter an. Ab 2016 entfällt ein aktuell laufendes Ruhegehalt.</a:t>
          </a:r>
        </a:p>
        <a:p>
          <a:pPr algn="l" rtl="0">
            <a:defRPr sz="1000"/>
          </a:pPr>
          <a:r>
            <a:rPr lang="de-CH" sz="800" b="0" i="0" u="none" strike="noStrike" baseline="0">
              <a:solidFill>
                <a:srgbClr val="000000"/>
              </a:solidFill>
              <a:latin typeface="Arial"/>
              <a:cs typeface="Arial"/>
            </a:rPr>
            <a:t>Bei Aufhebung der Lohnobergrenze (Abstimmung voraussichtlich am 16.06.2012) nimmt der Personalaufwand ab 2013 jährlich um Fr. 140'000 zu. </a:t>
          </a:r>
        </a:p>
        <a:p>
          <a:pPr algn="l" rtl="0">
            <a:defRPr sz="1000"/>
          </a:pPr>
          <a:r>
            <a:rPr lang="de-CH" sz="800" b="0" i="0" u="none" strike="noStrike" baseline="0">
              <a:solidFill>
                <a:srgbClr val="000000"/>
              </a:solidFill>
              <a:latin typeface="Arial"/>
              <a:cs typeface="Arial"/>
            </a:rPr>
            <a:t>Unverändert bleibt der Beitrag für den Verein Hauptstadtregion Schweiz von Fr. 70'000.00 pro Jahr. Hingegen entfällt ein Betrag aus dem Jahr 2012 für die Durchführung des Städtetags des Schweizerischen Städteverbandes von Fr. 90'000.00.</a:t>
          </a:r>
          <a:endParaRPr lang="de-CH"/>
        </a:p>
      </xdr:txBody>
    </xdr:sp>
    <xdr:clientData/>
  </xdr:twoCellAnchor>
  <xdr:twoCellAnchor>
    <xdr:from>
      <xdr:col>0</xdr:col>
      <xdr:colOff>0</xdr:colOff>
      <xdr:row>269</xdr:row>
      <xdr:rowOff>0</xdr:rowOff>
    </xdr:from>
    <xdr:to>
      <xdr:col>8</xdr:col>
      <xdr:colOff>0</xdr:colOff>
      <xdr:row>272</xdr:row>
      <xdr:rowOff>0</xdr:rowOff>
    </xdr:to>
    <xdr:sp macro="" textlink="">
      <xdr:nvSpPr>
        <xdr:cNvPr id="19" name="Text Box 9"/>
        <xdr:cNvSpPr txBox="1">
          <a:spLocks noChangeArrowheads="1"/>
        </xdr:cNvSpPr>
      </xdr:nvSpPr>
      <xdr:spPr bwMode="auto">
        <a:xfrm>
          <a:off x="0" y="37252275"/>
          <a:ext cx="6667500"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0</xdr:colOff>
      <xdr:row>245</xdr:row>
      <xdr:rowOff>0</xdr:rowOff>
    </xdr:from>
    <xdr:to>
      <xdr:col>8</xdr:col>
      <xdr:colOff>0</xdr:colOff>
      <xdr:row>247</xdr:row>
      <xdr:rowOff>0</xdr:rowOff>
    </xdr:to>
    <xdr:sp macro="" textlink="">
      <xdr:nvSpPr>
        <xdr:cNvPr id="20" name="Text Box 10"/>
        <xdr:cNvSpPr txBox="1">
          <a:spLocks noChangeArrowheads="1"/>
        </xdr:cNvSpPr>
      </xdr:nvSpPr>
      <xdr:spPr bwMode="auto">
        <a:xfrm>
          <a:off x="0" y="33823275"/>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0</xdr:colOff>
      <xdr:row>222</xdr:row>
      <xdr:rowOff>0</xdr:rowOff>
    </xdr:from>
    <xdr:to>
      <xdr:col>8</xdr:col>
      <xdr:colOff>0</xdr:colOff>
      <xdr:row>228</xdr:row>
      <xdr:rowOff>0</xdr:rowOff>
    </xdr:to>
    <xdr:sp macro="" textlink="">
      <xdr:nvSpPr>
        <xdr:cNvPr id="21" name="Text Box 11"/>
        <xdr:cNvSpPr txBox="1">
          <a:spLocks noChangeArrowheads="1"/>
        </xdr:cNvSpPr>
      </xdr:nvSpPr>
      <xdr:spPr bwMode="auto">
        <a:xfrm>
          <a:off x="0" y="30089475"/>
          <a:ext cx="6667500" cy="8572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Der Gemeinderat hat die Legislaturrichtlinien 2009 - 2012 verabschiedet und erstmals eine Strategie vorangestellt, mit der er seine Politik auf das Jahr 2020 ausrichtet. Im Zentrum der Strategie steht, Berns Stellung als attraktive und moderne  Wohn-, Verwaltungs-, Polit- und Wirtschaftsstadt auszubauen. Die Stadt will ihre solide Finanzpolitik weiterführen, über die Konjunkturzyklen hinweg für einen ausgeglichenen Haushalt sorgen.</a:t>
          </a:r>
        </a:p>
        <a:p>
          <a:pPr algn="l" rtl="0">
            <a:defRPr sz="1000"/>
          </a:pPr>
          <a:r>
            <a:rPr lang="de-CH" sz="800" b="0" i="0" u="none" strike="noStrike" baseline="0">
              <a:solidFill>
                <a:srgbClr val="000000"/>
              </a:solidFill>
              <a:latin typeface="Arial"/>
              <a:cs typeface="Arial"/>
            </a:rPr>
            <a:t>Eine Bilanz des Gemeinderats zur Zielerreichung der Legislaturrichtlinien ist für Mitte 2012 vorgesehen. </a:t>
          </a:r>
          <a:endParaRPr lang="de-CH"/>
        </a:p>
      </xdr:txBody>
    </xdr:sp>
    <xdr:clientData/>
  </xdr:twoCellAnchor>
  <xdr:twoCellAnchor>
    <xdr:from>
      <xdr:col>0</xdr:col>
      <xdr:colOff>0</xdr:colOff>
      <xdr:row>302</xdr:row>
      <xdr:rowOff>0</xdr:rowOff>
    </xdr:from>
    <xdr:to>
      <xdr:col>8</xdr:col>
      <xdr:colOff>0</xdr:colOff>
      <xdr:row>306</xdr:row>
      <xdr:rowOff>0</xdr:rowOff>
    </xdr:to>
    <xdr:sp macro="" textlink="">
      <xdr:nvSpPr>
        <xdr:cNvPr id="22" name="Text Box 6"/>
        <xdr:cNvSpPr txBox="1">
          <a:spLocks noChangeArrowheads="1"/>
        </xdr:cNvSpPr>
      </xdr:nvSpPr>
      <xdr:spPr bwMode="auto">
        <a:xfrm>
          <a:off x="0" y="41376600"/>
          <a:ext cx="6657975" cy="14668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Der Stadtrat hat mit SRB Nr. 306 vom 07. Juli 2011 die Einführung einer elektronischen Geschäftsverwaltung inklusive Ratsinformationssystem und die Erneuerung des Intranets beschlossen. Der Basisauftrag für die Geschäftsverwaltung befindet sich in der Umsetzung und sollte gemäss Masterplan Ende 2012 abgeschlossen sein. Über eine weiterführende Ausbreitung der Geschäftsverwaltung entscheidet das entsprechende Gremium nach erfolgter Evaluation Ende 2013. Die jährlich wiederkehrenden Betriebskosten gemäss Machbarkeitsstudie sind für die Geschäftsverwaltung im Budget enthalten. Die wiederkehrenden Kosten für das neue Intranet werden, wie bis anhin, pauschal pro PC verrechnet.</a:t>
          </a:r>
        </a:p>
        <a:p>
          <a:pPr algn="l" rtl="0">
            <a:defRPr sz="1000"/>
          </a:pPr>
          <a:r>
            <a:rPr lang="de-CH" sz="800" b="0" i="0" u="none" strike="noStrike" baseline="0">
              <a:solidFill>
                <a:srgbClr val="000000"/>
              </a:solidFill>
              <a:latin typeface="Arial"/>
              <a:cs typeface="Arial"/>
            </a:rPr>
            <a:t>Der Stadtrat hat in verschiedenen Vorstössen einen Ausbau von Dienstleistungen im Rahmen von E-Government gefordert. Aktuell ist eine städtische E-Government-Strategie in Ausarbeitung; deren Fertigstellung ist per Ende 2012 vorgesehen. Da ein Leistungsausbau des E-Government-Angebots mit Kostenfolgen zur Zeit nicht möglich ist, erfolgt die Implementierung nur, soweit dafür nicht benötigte Mittel aus anderen Aufgabebereichen zur Verfügung gestellt werden können. </a:t>
          </a:r>
        </a:p>
        <a:p>
          <a:pPr algn="l" rtl="0">
            <a:defRPr sz="1000"/>
          </a:pPr>
          <a:r>
            <a:rPr lang="de-CH" sz="800" b="0" i="0" u="none" strike="noStrike" baseline="0">
              <a:solidFill>
                <a:srgbClr val="000000"/>
              </a:solidFill>
              <a:latin typeface="Arial"/>
              <a:cs typeface="Arial"/>
            </a:rPr>
            <a:t>Für die Neugestaltung des Erlacherhofgartens wurden Fr. 16'000.00 an Mietfolgekosten (Stadtbauten AG) sowie Erhöhung interne Verrechnung für die Pflege (Sadtgärtnerei) eingeplant (GRB 1762 vom 14.12.2011). </a:t>
          </a:r>
        </a:p>
        <a:p>
          <a:pPr algn="l" rtl="0">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308</xdr:row>
      <xdr:rowOff>0</xdr:rowOff>
    </xdr:from>
    <xdr:to>
      <xdr:col>7</xdr:col>
      <xdr:colOff>742950</xdr:colOff>
      <xdr:row>314</xdr:row>
      <xdr:rowOff>26704</xdr:rowOff>
    </xdr:to>
    <xdr:sp macro="" textlink="">
      <xdr:nvSpPr>
        <xdr:cNvPr id="23" name="Text Box 7"/>
        <xdr:cNvSpPr txBox="1">
          <a:spLocks noChangeArrowheads="1"/>
        </xdr:cNvSpPr>
      </xdr:nvSpPr>
      <xdr:spPr bwMode="auto">
        <a:xfrm>
          <a:off x="0" y="43100625"/>
          <a:ext cx="6638925" cy="46485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340</xdr:row>
      <xdr:rowOff>0</xdr:rowOff>
    </xdr:from>
    <xdr:to>
      <xdr:col>8</xdr:col>
      <xdr:colOff>0</xdr:colOff>
      <xdr:row>343</xdr:row>
      <xdr:rowOff>0</xdr:rowOff>
    </xdr:to>
    <xdr:sp macro="" textlink="">
      <xdr:nvSpPr>
        <xdr:cNvPr id="24" name="Text Box 9"/>
        <xdr:cNvSpPr txBox="1">
          <a:spLocks noChangeArrowheads="1"/>
        </xdr:cNvSpPr>
      </xdr:nvSpPr>
      <xdr:spPr bwMode="auto">
        <a:xfrm>
          <a:off x="0" y="47224950"/>
          <a:ext cx="6667500"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0</xdr:colOff>
      <xdr:row>316</xdr:row>
      <xdr:rowOff>3810</xdr:rowOff>
    </xdr:from>
    <xdr:to>
      <xdr:col>7</xdr:col>
      <xdr:colOff>742950</xdr:colOff>
      <xdr:row>318</xdr:row>
      <xdr:rowOff>7234</xdr:rowOff>
    </xdr:to>
    <xdr:sp macro="" textlink="">
      <xdr:nvSpPr>
        <xdr:cNvPr id="25" name="Text Box 10"/>
        <xdr:cNvSpPr txBox="1">
          <a:spLocks noChangeArrowheads="1"/>
        </xdr:cNvSpPr>
      </xdr:nvSpPr>
      <xdr:spPr bwMode="auto">
        <a:xfrm>
          <a:off x="0" y="43799760"/>
          <a:ext cx="6638925" cy="28917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Bund, Kanton, Burgergemeinde, Agglormeration, Städte, Quartierpartizipationsgremien, Verbände, Organisationen, Diplomatinnen und Diplomaten, Bürgerinnen und Bürger</a:t>
          </a:r>
        </a:p>
      </xdr:txBody>
    </xdr:sp>
    <xdr:clientData/>
  </xdr:twoCellAnchor>
  <xdr:twoCellAnchor>
    <xdr:from>
      <xdr:col>0</xdr:col>
      <xdr:colOff>0</xdr:colOff>
      <xdr:row>294</xdr:row>
      <xdr:rowOff>0</xdr:rowOff>
    </xdr:from>
    <xdr:to>
      <xdr:col>8</xdr:col>
      <xdr:colOff>0</xdr:colOff>
      <xdr:row>296</xdr:row>
      <xdr:rowOff>0</xdr:rowOff>
    </xdr:to>
    <xdr:sp macro="" textlink="">
      <xdr:nvSpPr>
        <xdr:cNvPr id="26" name="Text Box 11"/>
        <xdr:cNvSpPr txBox="1">
          <a:spLocks noChangeArrowheads="1"/>
        </xdr:cNvSpPr>
      </xdr:nvSpPr>
      <xdr:spPr bwMode="auto">
        <a:xfrm>
          <a:off x="0" y="40719375"/>
          <a:ext cx="6657975" cy="2571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370</xdr:row>
      <xdr:rowOff>21979</xdr:rowOff>
    </xdr:from>
    <xdr:to>
      <xdr:col>8</xdr:col>
      <xdr:colOff>0</xdr:colOff>
      <xdr:row>373</xdr:row>
      <xdr:rowOff>502835</xdr:rowOff>
    </xdr:to>
    <xdr:sp macro="" textlink="">
      <xdr:nvSpPr>
        <xdr:cNvPr id="27" name="Text Box 6"/>
        <xdr:cNvSpPr txBox="1">
          <a:spLocks noChangeArrowheads="1"/>
        </xdr:cNvSpPr>
      </xdr:nvSpPr>
      <xdr:spPr bwMode="auto">
        <a:xfrm>
          <a:off x="0" y="51142654"/>
          <a:ext cx="6659401" cy="90948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indent="0" algn="l" rtl="0">
            <a:lnSpc>
              <a:spcPct val="100000"/>
            </a:lnSpc>
            <a:defRPr sz="1000"/>
          </a:pPr>
          <a:r>
            <a:rPr lang="de-CH" sz="800" b="0" i="0" u="none" strike="noStrike" baseline="0">
              <a:solidFill>
                <a:srgbClr val="000000"/>
              </a:solidFill>
              <a:latin typeface="Arial"/>
              <a:ea typeface="+mn-ea"/>
              <a:cs typeface="Arial"/>
            </a:rPr>
            <a:t>Die Entwicklung ist geprägt durch den Ablauf von Wahlen. 2012 Gemeindewahlen, 2013 kein Wahljahr, 2014 kantonale Wahlen, 2015 eidgenössische Wahlen. Die Kosten für Gemeindewahlen sind höher als die Kosten für eidgenössische Wahlen. Die Kosten der kantonalen Wahlen sind am höchsten, da dieser Urnengang zusätzlich zu den vier Abstimmungsterminen anfällt. E-Voting wird ab 2012 für die Auslandschweizer und Auslandschweizerinnen, ab voraussichtlich 2015 für alle Stimmberechtigten im Kanton umgesetzt. Dies ermöglicht die Einführung von E-Voting auch für städtische Abstimmungen ab 2016 (überwiesene Motion Fraktion FDP vom 3. November 2005: Abstimmen per Internet und SMS - E-Voting für Bern!). Die entsprechenden Investitionen müssen in den Jahren 2013 bis 2015 getätigt werden. </a:t>
          </a:r>
        </a:p>
      </xdr:txBody>
    </xdr:sp>
    <xdr:clientData/>
  </xdr:twoCellAnchor>
  <xdr:twoCellAnchor>
    <xdr:from>
      <xdr:col>0</xdr:col>
      <xdr:colOff>0</xdr:colOff>
      <xdr:row>376</xdr:row>
      <xdr:rowOff>7620</xdr:rowOff>
    </xdr:from>
    <xdr:to>
      <xdr:col>8</xdr:col>
      <xdr:colOff>0</xdr:colOff>
      <xdr:row>380</xdr:row>
      <xdr:rowOff>116334</xdr:rowOff>
    </xdr:to>
    <xdr:sp macro="" textlink="">
      <xdr:nvSpPr>
        <xdr:cNvPr id="28" name="Text Box 7"/>
        <xdr:cNvSpPr txBox="1">
          <a:spLocks noChangeArrowheads="1"/>
        </xdr:cNvSpPr>
      </xdr:nvSpPr>
      <xdr:spPr bwMode="auto">
        <a:xfrm>
          <a:off x="0" y="52442745"/>
          <a:ext cx="6665595" cy="68021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lnSpc>
              <a:spcPct val="100000"/>
            </a:lnSpc>
            <a:defRPr sz="1000"/>
          </a:pPr>
          <a:r>
            <a:rPr lang="de-CH" sz="800" b="0" i="0" u="none" strike="noStrike" baseline="0">
              <a:solidFill>
                <a:srgbClr val="000000"/>
              </a:solidFill>
              <a:latin typeface="Arial"/>
              <a:ea typeface="+mn-ea"/>
              <a:cs typeface="Arial"/>
            </a:rPr>
            <a:t>Betriebskosten städtisches E-Voting ab 2016 Fr. 160'000.00 pro Jahr. </a:t>
          </a:r>
        </a:p>
        <a:p>
          <a:pPr algn="l" rtl="0">
            <a:lnSpc>
              <a:spcPct val="100000"/>
            </a:lnSpc>
            <a:defRPr sz="1000"/>
          </a:pPr>
          <a:r>
            <a:rPr lang="de-CH" sz="800" b="0" i="0" u="none" strike="noStrike" baseline="0">
              <a:solidFill>
                <a:srgbClr val="000000"/>
              </a:solidFill>
              <a:latin typeface="Arial"/>
              <a:ea typeface="+mn-ea"/>
              <a:cs typeface="Arial"/>
            </a:rPr>
            <a:t>GRB 0510 vom 6. April 2011: Zentrale Erstellung der Abstimmungsbotschaften bei der Stadtkanzlei; neue interne Verrechnung ab 2013 sowie Zusatzkosten Editor-Box SBZ (Fr. 10'000.00).</a:t>
          </a:r>
        </a:p>
        <a:p>
          <a:pPr algn="l" rtl="0">
            <a:lnSpc>
              <a:spcPct val="100000"/>
            </a:lnSpc>
            <a:defRPr sz="1000"/>
          </a:pPr>
          <a:r>
            <a:rPr lang="de-CH" sz="800" b="0" i="0" u="none" strike="noStrike" baseline="0">
              <a:solidFill>
                <a:srgbClr val="000000"/>
              </a:solidFill>
              <a:latin typeface="Arial"/>
              <a:ea typeface="+mn-ea"/>
              <a:cs typeface="Arial"/>
            </a:rPr>
            <a:t>Veränderungen Sachaufwand zufolge Wahlen: 2014 kantonale Wahlen, 2015 eidgenössische Wahlen, 2016 Gemeindewahlen.</a:t>
          </a:r>
        </a:p>
        <a:p>
          <a:pPr algn="l" rtl="0">
            <a:lnSpc>
              <a:spcPts val="800"/>
            </a:lnSpc>
            <a:defRPr sz="1000"/>
          </a:pPr>
          <a:endParaRPr lang="de-CH" sz="800" b="0" i="0" u="none" strike="noStrike" baseline="0">
            <a:solidFill>
              <a:srgbClr val="000000"/>
            </a:solidFill>
            <a:latin typeface="Arial"/>
            <a:cs typeface="Arial"/>
          </a:endParaRPr>
        </a:p>
        <a:p>
          <a:pPr algn="l" rtl="0">
            <a:lnSpc>
              <a:spcPts val="700"/>
            </a:lnSpc>
            <a:defRPr sz="1000"/>
          </a:pPr>
          <a:endParaRPr lang="de-CH" sz="800" b="0" i="0" u="none" strike="noStrike" baseline="0">
            <a:solidFill>
              <a:srgbClr val="000000"/>
            </a:solidFill>
            <a:latin typeface="Arial"/>
            <a:cs typeface="Arial"/>
          </a:endParaRPr>
        </a:p>
        <a:p>
          <a:pPr algn="l" rtl="0">
            <a:lnSpc>
              <a:spcPts val="700"/>
            </a:lnSpc>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407</xdr:row>
      <xdr:rowOff>0</xdr:rowOff>
    </xdr:from>
    <xdr:to>
      <xdr:col>8</xdr:col>
      <xdr:colOff>0</xdr:colOff>
      <xdr:row>410</xdr:row>
      <xdr:rowOff>0</xdr:rowOff>
    </xdr:to>
    <xdr:sp macro="" textlink="">
      <xdr:nvSpPr>
        <xdr:cNvPr id="29" name="Text Box 9"/>
        <xdr:cNvSpPr txBox="1">
          <a:spLocks noChangeArrowheads="1"/>
        </xdr:cNvSpPr>
      </xdr:nvSpPr>
      <xdr:spPr bwMode="auto">
        <a:xfrm>
          <a:off x="0" y="56835675"/>
          <a:ext cx="6667500" cy="6000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Investitionen E-Voting:</a:t>
          </a:r>
        </a:p>
        <a:p>
          <a:pPr algn="l" rtl="0">
            <a:defRPr sz="1000"/>
          </a:pPr>
          <a:r>
            <a:rPr lang="de-CH" sz="800" b="0" i="0" u="none" strike="noStrike" baseline="0">
              <a:solidFill>
                <a:srgbClr val="000000"/>
              </a:solidFill>
              <a:latin typeface="Arial"/>
              <a:cs typeface="Arial"/>
            </a:rPr>
            <a:t>2013: Aufwand: 0, Eigenleistungen: 20000, Beiträge 0</a:t>
          </a:r>
        </a:p>
        <a:p>
          <a:pPr algn="l" rtl="0">
            <a:defRPr sz="1000"/>
          </a:pPr>
          <a:r>
            <a:rPr lang="de-CH" sz="800" b="0" i="0" u="none" strike="noStrike" baseline="0">
              <a:solidFill>
                <a:srgbClr val="000000"/>
              </a:solidFill>
              <a:latin typeface="Arial"/>
              <a:cs typeface="Arial"/>
            </a:rPr>
            <a:t>2014: Aufwand: 80000, Eigenleistungen, 30000, Beiträge 0</a:t>
          </a:r>
        </a:p>
        <a:p>
          <a:pPr algn="l" rtl="0">
            <a:defRPr sz="1000"/>
          </a:pPr>
          <a:r>
            <a:rPr lang="de-CH" sz="800" b="0" i="0" u="none" strike="noStrike" baseline="0">
              <a:solidFill>
                <a:srgbClr val="000000"/>
              </a:solidFill>
              <a:latin typeface="Arial"/>
              <a:cs typeface="Arial"/>
            </a:rPr>
            <a:t>2015: Aufwand: 80000, Eigenleistungen, 30000, Beiträge 0</a:t>
          </a:r>
        </a:p>
      </xdr:txBody>
    </xdr:sp>
    <xdr:clientData/>
  </xdr:twoCellAnchor>
  <xdr:twoCellAnchor>
    <xdr:from>
      <xdr:col>0</xdr:col>
      <xdr:colOff>0</xdr:colOff>
      <xdr:row>383</xdr:row>
      <xdr:rowOff>0</xdr:rowOff>
    </xdr:from>
    <xdr:to>
      <xdr:col>8</xdr:col>
      <xdr:colOff>0</xdr:colOff>
      <xdr:row>385</xdr:row>
      <xdr:rowOff>0</xdr:rowOff>
    </xdr:to>
    <xdr:sp macro="" textlink="">
      <xdr:nvSpPr>
        <xdr:cNvPr id="30" name="Text Box 10"/>
        <xdr:cNvSpPr txBox="1">
          <a:spLocks noChangeArrowheads="1"/>
        </xdr:cNvSpPr>
      </xdr:nvSpPr>
      <xdr:spPr bwMode="auto">
        <a:xfrm>
          <a:off x="0" y="53406675"/>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Stimmbürgerinnen und Stimmbürger, Stimmausschüsse, Parteien</a:t>
          </a:r>
        </a:p>
      </xdr:txBody>
    </xdr:sp>
    <xdr:clientData/>
  </xdr:twoCellAnchor>
  <xdr:twoCellAnchor>
    <xdr:from>
      <xdr:col>0</xdr:col>
      <xdr:colOff>0</xdr:colOff>
      <xdr:row>362</xdr:row>
      <xdr:rowOff>0</xdr:rowOff>
    </xdr:from>
    <xdr:to>
      <xdr:col>8</xdr:col>
      <xdr:colOff>0</xdr:colOff>
      <xdr:row>368</xdr:row>
      <xdr:rowOff>0</xdr:rowOff>
    </xdr:to>
    <xdr:sp macro="" textlink="">
      <xdr:nvSpPr>
        <xdr:cNvPr id="31" name="Text Box 11"/>
        <xdr:cNvSpPr txBox="1">
          <a:spLocks noChangeArrowheads="1"/>
        </xdr:cNvSpPr>
      </xdr:nvSpPr>
      <xdr:spPr bwMode="auto">
        <a:xfrm>
          <a:off x="0" y="50225325"/>
          <a:ext cx="6667500" cy="4953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21980</xdr:colOff>
      <xdr:row>439</xdr:row>
      <xdr:rowOff>43228</xdr:rowOff>
    </xdr:from>
    <xdr:to>
      <xdr:col>7</xdr:col>
      <xdr:colOff>752475</xdr:colOff>
      <xdr:row>444</xdr:row>
      <xdr:rowOff>771525</xdr:rowOff>
    </xdr:to>
    <xdr:sp macro="" textlink="">
      <xdr:nvSpPr>
        <xdr:cNvPr id="32" name="Text Box 6"/>
        <xdr:cNvSpPr txBox="1">
          <a:spLocks noChangeArrowheads="1"/>
        </xdr:cNvSpPr>
      </xdr:nvSpPr>
      <xdr:spPr bwMode="auto">
        <a:xfrm>
          <a:off x="21980" y="61136578"/>
          <a:ext cx="6626470" cy="1518872"/>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ct val="100000"/>
            </a:lnSpc>
            <a:defRPr sz="1000"/>
          </a:pPr>
          <a:r>
            <a:rPr lang="de-CH" sz="800" b="0" i="0" u="none" strike="noStrike" baseline="0">
              <a:solidFill>
                <a:srgbClr val="000000"/>
              </a:solidFill>
              <a:latin typeface="Arial"/>
              <a:cs typeface="Arial"/>
            </a:rPr>
            <a:t>Die Langzeitarchivierung elektronisch erstellter Akten erfordert konzeptionelle und technologische Entwicklungen in Ergänzung zum Projekt Geschäftsverwaltung mit Recordsmanagement-System (GEVERIS). Die Projektführung zur Erarbeitung einer Strategie und eines Konzeptes zur elektronischen Archivierung sowie zur Evaluation der notwendigen Archivierungshardware und -software (eArch) wurde mit GRB Nr. 1250 vom 14. Sept. 2011 von der Direktion FPI (Informatikdienste) an die Stadtkanzlei (Stadtarchiv) übergeben. Damit wurde auch der durch GRB Nr. 1976 vom 22. Dezember 2010 bewilligte Investitionskredit auf die Stadtkanzlei transferiert. Daneben bewilligte der Gemeinderat die Mitgliedschaft der Stadt Bern in der Koordinationsstelle für die dauerhafte Archivierung elektronischer Unterlagen (KOST) ab 1. Jan. 2012. Der Gemeinderat beauftragte die Stadtkanzlei, im zweiten Quartal 2012 einen Vorgehens- und Zeitplan für die Einführung des Records Managements und der elektronischen Archivierung vorzulegen. Dazu gehören insbesondere auch Sofortmassnahmen zur Schaffung eines Kompetenzzentrums für Records Management und elektronische Archivierung, worunter die Stellen einer Person für Records Management sowie eines Fachspezialisten/einer Fachspezialistin für elektronische Archivierung zu verstehen sind (Personalressourcen von insgesamt 200 Prozent). Sämtliche Kosten für das Kompetenzzentrum Records Management/Digitale Langzeitarchivierung können im Jahr 2012 über den Investitionskredit abgewickelt werden. Ab 2013 werden die Kosten in die laufende Rechnung überführt, weshalb sie als neue Aufgabe im IAFP ab 2013 erscheinen. </a:t>
          </a:r>
        </a:p>
      </xdr:txBody>
    </xdr:sp>
    <xdr:clientData/>
  </xdr:twoCellAnchor>
  <xdr:twoCellAnchor>
    <xdr:from>
      <xdr:col>0</xdr:col>
      <xdr:colOff>0</xdr:colOff>
      <xdr:row>445</xdr:row>
      <xdr:rowOff>47625</xdr:rowOff>
    </xdr:from>
    <xdr:to>
      <xdr:col>7</xdr:col>
      <xdr:colOff>742949</xdr:colOff>
      <xdr:row>446</xdr:row>
      <xdr:rowOff>590550</xdr:rowOff>
    </xdr:to>
    <xdr:sp macro="" textlink="">
      <xdr:nvSpPr>
        <xdr:cNvPr id="33" name="Text Box 7"/>
        <xdr:cNvSpPr txBox="1">
          <a:spLocks noChangeArrowheads="1"/>
        </xdr:cNvSpPr>
      </xdr:nvSpPr>
      <xdr:spPr bwMode="auto">
        <a:xfrm>
          <a:off x="0" y="62988825"/>
          <a:ext cx="6638924" cy="6858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ea typeface="+mn-ea"/>
              <a:cs typeface="Arial"/>
            </a:rPr>
            <a:t>Durch die Schaffung einer zusätzlichen Stelle Fachspezialist/in für elektronische Archivierung erhöht sich der ordentliche Personalaufwand um rund Fr. 140'000.00 pro Jahr. Zusätzlicher Sachaufwand in der Höhe von rund Fr. 40'000.00 entsteht dem Stadtarchiv mit Beschaffung und Betrieb der für die digitale Lanzeitarchivierung notwendigen Archivierungshardware und -software (Wartung und Aufrüstung Archivinformationssystem CMI-STAR, Betrieb Archival Storage, separates Laufwerk zur Bearbeitung von digitalen Daten im Stadtarchiv, zusätzlicher EDV-Arbeitsplatz).</a:t>
          </a:r>
        </a:p>
        <a:p>
          <a:pPr algn="l" rtl="0">
            <a:defRPr sz="1000"/>
          </a:pPr>
          <a:r>
            <a:rPr lang="de-CH" sz="800" b="0" i="0" u="none" strike="noStrike" baseline="0">
              <a:solidFill>
                <a:srgbClr val="000000"/>
              </a:solidFill>
              <a:latin typeface="Arial"/>
              <a:ea typeface="+mn-ea"/>
              <a:cs typeface="Arial"/>
            </a:rPr>
            <a:t>Ausserdem fallen neu jährliche Beitragskosten für die Mitgliedschaft bei der KOST in Höhe von Fr. 8'233.00 an.</a:t>
          </a:r>
        </a:p>
      </xdr:txBody>
    </xdr:sp>
    <xdr:clientData/>
  </xdr:twoCellAnchor>
  <xdr:twoCellAnchor>
    <xdr:from>
      <xdr:col>0</xdr:col>
      <xdr:colOff>9524</xdr:colOff>
      <xdr:row>472</xdr:row>
      <xdr:rowOff>34290</xdr:rowOff>
    </xdr:from>
    <xdr:to>
      <xdr:col>8</xdr:col>
      <xdr:colOff>0</xdr:colOff>
      <xdr:row>475</xdr:row>
      <xdr:rowOff>2275</xdr:rowOff>
    </xdr:to>
    <xdr:sp macro="" textlink="">
      <xdr:nvSpPr>
        <xdr:cNvPr id="34" name="Text Box 9"/>
        <xdr:cNvSpPr txBox="1">
          <a:spLocks noChangeArrowheads="1"/>
        </xdr:cNvSpPr>
      </xdr:nvSpPr>
      <xdr:spPr bwMode="auto">
        <a:xfrm>
          <a:off x="9524" y="67557015"/>
          <a:ext cx="6657975" cy="39661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900"/>
            </a:lnSpc>
            <a:defRPr sz="1000"/>
          </a:pPr>
          <a:r>
            <a:rPr lang="de-CH" sz="800" b="0" i="0" u="none" strike="noStrike" baseline="0">
              <a:solidFill>
                <a:srgbClr val="000000"/>
              </a:solidFill>
              <a:latin typeface="Arial"/>
              <a:cs typeface="Arial"/>
            </a:rPr>
            <a:t>Kredit I040-047 mit Restbetrag von rund Fr. 210'000.00 wird im Jahr 2012 für Investitionen und laufende Kosten im Zusammenhang mit der neuen Aufgabe Kompetenzzentrum für Records Management/Digitale Langzeitarchivierung aufgebraucht. </a:t>
          </a:r>
        </a:p>
      </xdr:txBody>
    </xdr:sp>
    <xdr:clientData/>
  </xdr:twoCellAnchor>
  <xdr:twoCellAnchor>
    <xdr:from>
      <xdr:col>0</xdr:col>
      <xdr:colOff>0</xdr:colOff>
      <xdr:row>448</xdr:row>
      <xdr:rowOff>0</xdr:rowOff>
    </xdr:from>
    <xdr:to>
      <xdr:col>7</xdr:col>
      <xdr:colOff>742950</xdr:colOff>
      <xdr:row>450</xdr:row>
      <xdr:rowOff>4486</xdr:rowOff>
    </xdr:to>
    <xdr:sp macro="" textlink="">
      <xdr:nvSpPr>
        <xdr:cNvPr id="35" name="Text Box 10"/>
        <xdr:cNvSpPr txBox="1">
          <a:spLocks noChangeArrowheads="1"/>
        </xdr:cNvSpPr>
      </xdr:nvSpPr>
      <xdr:spPr bwMode="auto">
        <a:xfrm>
          <a:off x="0" y="63979425"/>
          <a:ext cx="6638925" cy="404536"/>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Bürgerinnen und Bürger der Stadt Bern, interessierte Personen aus der Schweiz und aus dem Ausland; Archive, Bibliotheken, Museen, Forschungsstellen, Verlage; Gemeinderat, Stadtrat, Verwaltung</a:t>
          </a:r>
        </a:p>
      </xdr:txBody>
    </xdr:sp>
    <xdr:clientData/>
  </xdr:twoCellAnchor>
  <xdr:twoCellAnchor>
    <xdr:from>
      <xdr:col>0</xdr:col>
      <xdr:colOff>1</xdr:colOff>
      <xdr:row>431</xdr:row>
      <xdr:rowOff>0</xdr:rowOff>
    </xdr:from>
    <xdr:to>
      <xdr:col>8</xdr:col>
      <xdr:colOff>0</xdr:colOff>
      <xdr:row>434</xdr:row>
      <xdr:rowOff>0</xdr:rowOff>
    </xdr:to>
    <xdr:sp macro="" textlink="">
      <xdr:nvSpPr>
        <xdr:cNvPr id="36" name="Text Box 11"/>
        <xdr:cNvSpPr txBox="1">
          <a:spLocks noChangeArrowheads="1"/>
        </xdr:cNvSpPr>
      </xdr:nvSpPr>
      <xdr:spPr bwMode="auto">
        <a:xfrm>
          <a:off x="1" y="60359925"/>
          <a:ext cx="6667499" cy="3333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504</xdr:row>
      <xdr:rowOff>0</xdr:rowOff>
    </xdr:from>
    <xdr:to>
      <xdr:col>8</xdr:col>
      <xdr:colOff>0</xdr:colOff>
      <xdr:row>510</xdr:row>
      <xdr:rowOff>0</xdr:rowOff>
    </xdr:to>
    <xdr:sp macro="" textlink="">
      <xdr:nvSpPr>
        <xdr:cNvPr id="37" name="Text Box 6"/>
        <xdr:cNvSpPr txBox="1">
          <a:spLocks noChangeArrowheads="1"/>
        </xdr:cNvSpPr>
      </xdr:nvSpPr>
      <xdr:spPr bwMode="auto">
        <a:xfrm>
          <a:off x="0" y="72066150"/>
          <a:ext cx="6667500" cy="8572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Es steht nunmehr endgültig fest, dass mit der Umsetzung der Justizreform per 1. Januar 2011 die Aufgaben des Arbeitsgerichts auf den Kanton übergehen und auf verschiedene Gerichtsorgane aufgeteilt werden. Mit der Auflösung des städt. Arbeitsgerichts entfallen auch sämtliche Kosten auf dieser Dienststelle und auf der PG 040300. </a:t>
          </a:r>
        </a:p>
      </xdr:txBody>
    </xdr:sp>
    <xdr:clientData/>
  </xdr:twoCellAnchor>
  <xdr:twoCellAnchor>
    <xdr:from>
      <xdr:col>0</xdr:col>
      <xdr:colOff>0</xdr:colOff>
      <xdr:row>512</xdr:row>
      <xdr:rowOff>0</xdr:rowOff>
    </xdr:from>
    <xdr:to>
      <xdr:col>8</xdr:col>
      <xdr:colOff>0</xdr:colOff>
      <xdr:row>517</xdr:row>
      <xdr:rowOff>19050</xdr:rowOff>
    </xdr:to>
    <xdr:sp macro="" textlink="">
      <xdr:nvSpPr>
        <xdr:cNvPr id="38" name="Text Box 7"/>
        <xdr:cNvSpPr txBox="1">
          <a:spLocks noChangeArrowheads="1"/>
        </xdr:cNvSpPr>
      </xdr:nvSpPr>
      <xdr:spPr bwMode="auto">
        <a:xfrm>
          <a:off x="0" y="73180575"/>
          <a:ext cx="6667500" cy="733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Die Dienststelle wird ab 2011 auf 0 gesetzt. Aufgaben werden vom Kanton übernommen. </a:t>
          </a:r>
        </a:p>
      </xdr:txBody>
    </xdr:sp>
    <xdr:clientData/>
  </xdr:twoCellAnchor>
  <xdr:twoCellAnchor>
    <xdr:from>
      <xdr:col>0</xdr:col>
      <xdr:colOff>0</xdr:colOff>
      <xdr:row>543</xdr:row>
      <xdr:rowOff>0</xdr:rowOff>
    </xdr:from>
    <xdr:to>
      <xdr:col>8</xdr:col>
      <xdr:colOff>0</xdr:colOff>
      <xdr:row>546</xdr:row>
      <xdr:rowOff>0</xdr:rowOff>
    </xdr:to>
    <xdr:sp macro="" textlink="">
      <xdr:nvSpPr>
        <xdr:cNvPr id="39" name="Text Box 9"/>
        <xdr:cNvSpPr txBox="1">
          <a:spLocks noChangeArrowheads="1"/>
        </xdr:cNvSpPr>
      </xdr:nvSpPr>
      <xdr:spPr bwMode="auto">
        <a:xfrm>
          <a:off x="0" y="77581125"/>
          <a:ext cx="6667500"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0</xdr:colOff>
      <xdr:row>519</xdr:row>
      <xdr:rowOff>0</xdr:rowOff>
    </xdr:from>
    <xdr:to>
      <xdr:col>8</xdr:col>
      <xdr:colOff>0</xdr:colOff>
      <xdr:row>521</xdr:row>
      <xdr:rowOff>0</xdr:rowOff>
    </xdr:to>
    <xdr:sp macro="" textlink="">
      <xdr:nvSpPr>
        <xdr:cNvPr id="40" name="Text Box 10"/>
        <xdr:cNvSpPr txBox="1">
          <a:spLocks noChangeArrowheads="1"/>
        </xdr:cNvSpPr>
      </xdr:nvSpPr>
      <xdr:spPr bwMode="auto">
        <a:xfrm>
          <a:off x="0" y="74152125"/>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Ratsuchende, Verwaltung</a:t>
          </a:r>
        </a:p>
      </xdr:txBody>
    </xdr:sp>
    <xdr:clientData/>
  </xdr:twoCellAnchor>
  <xdr:twoCellAnchor>
    <xdr:from>
      <xdr:col>0</xdr:col>
      <xdr:colOff>0</xdr:colOff>
      <xdr:row>496</xdr:row>
      <xdr:rowOff>0</xdr:rowOff>
    </xdr:from>
    <xdr:to>
      <xdr:col>8</xdr:col>
      <xdr:colOff>0</xdr:colOff>
      <xdr:row>502</xdr:row>
      <xdr:rowOff>0</xdr:rowOff>
    </xdr:to>
    <xdr:sp macro="" textlink="">
      <xdr:nvSpPr>
        <xdr:cNvPr id="41" name="Text Box 11"/>
        <xdr:cNvSpPr txBox="1">
          <a:spLocks noChangeArrowheads="1"/>
        </xdr:cNvSpPr>
      </xdr:nvSpPr>
      <xdr:spPr bwMode="auto">
        <a:xfrm>
          <a:off x="0" y="70808850"/>
          <a:ext cx="6667500" cy="8572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574</xdr:row>
      <xdr:rowOff>0</xdr:rowOff>
    </xdr:from>
    <xdr:to>
      <xdr:col>8</xdr:col>
      <xdr:colOff>0</xdr:colOff>
      <xdr:row>580</xdr:row>
      <xdr:rowOff>0</xdr:rowOff>
    </xdr:to>
    <xdr:sp macro="" textlink="">
      <xdr:nvSpPr>
        <xdr:cNvPr id="42" name="Text Box 6"/>
        <xdr:cNvSpPr txBox="1">
          <a:spLocks noChangeArrowheads="1"/>
        </xdr:cNvSpPr>
      </xdr:nvSpPr>
      <xdr:spPr bwMode="auto">
        <a:xfrm>
          <a:off x="0" y="81981675"/>
          <a:ext cx="6667500" cy="8572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Es steht nunmehr endgültig fest, dass mit der Umsetzung der Justizreform per 1. Januar 2011 die Aufgaben des Mietamts auf den Kanton übergehen und auf der Ebene der zukünftigen Schlichtungsstelle bearbeitet werden. Mit der Auflösung des städt. Mietamts entfallen auch sämtliche Kosten auf dieser Dienststelle und auf der PG 040400. </a:t>
          </a:r>
        </a:p>
      </xdr:txBody>
    </xdr:sp>
    <xdr:clientData/>
  </xdr:twoCellAnchor>
  <xdr:twoCellAnchor>
    <xdr:from>
      <xdr:col>0</xdr:col>
      <xdr:colOff>0</xdr:colOff>
      <xdr:row>582</xdr:row>
      <xdr:rowOff>0</xdr:rowOff>
    </xdr:from>
    <xdr:to>
      <xdr:col>8</xdr:col>
      <xdr:colOff>0</xdr:colOff>
      <xdr:row>587</xdr:row>
      <xdr:rowOff>19050</xdr:rowOff>
    </xdr:to>
    <xdr:sp macro="" textlink="">
      <xdr:nvSpPr>
        <xdr:cNvPr id="43" name="Text Box 7"/>
        <xdr:cNvSpPr txBox="1">
          <a:spLocks noChangeArrowheads="1"/>
        </xdr:cNvSpPr>
      </xdr:nvSpPr>
      <xdr:spPr bwMode="auto">
        <a:xfrm>
          <a:off x="0" y="83096100"/>
          <a:ext cx="6667500" cy="733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Die Dienststelle wird ab 2011 auf 0 gesetzt. Die Aufgaben werden vom Kanton übernommen. </a:t>
          </a:r>
        </a:p>
      </xdr:txBody>
    </xdr:sp>
    <xdr:clientData/>
  </xdr:twoCellAnchor>
  <xdr:twoCellAnchor>
    <xdr:from>
      <xdr:col>0</xdr:col>
      <xdr:colOff>0</xdr:colOff>
      <xdr:row>613</xdr:row>
      <xdr:rowOff>0</xdr:rowOff>
    </xdr:from>
    <xdr:to>
      <xdr:col>8</xdr:col>
      <xdr:colOff>0</xdr:colOff>
      <xdr:row>616</xdr:row>
      <xdr:rowOff>0</xdr:rowOff>
    </xdr:to>
    <xdr:sp macro="" textlink="">
      <xdr:nvSpPr>
        <xdr:cNvPr id="44" name="Text Box 9"/>
        <xdr:cNvSpPr txBox="1">
          <a:spLocks noChangeArrowheads="1"/>
        </xdr:cNvSpPr>
      </xdr:nvSpPr>
      <xdr:spPr bwMode="auto">
        <a:xfrm>
          <a:off x="0" y="87496650"/>
          <a:ext cx="6667500"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0</xdr:colOff>
      <xdr:row>589</xdr:row>
      <xdr:rowOff>0</xdr:rowOff>
    </xdr:from>
    <xdr:to>
      <xdr:col>8</xdr:col>
      <xdr:colOff>0</xdr:colOff>
      <xdr:row>591</xdr:row>
      <xdr:rowOff>0</xdr:rowOff>
    </xdr:to>
    <xdr:sp macro="" textlink="">
      <xdr:nvSpPr>
        <xdr:cNvPr id="45" name="Text Box 10"/>
        <xdr:cNvSpPr txBox="1">
          <a:spLocks noChangeArrowheads="1"/>
        </xdr:cNvSpPr>
      </xdr:nvSpPr>
      <xdr:spPr bwMode="auto">
        <a:xfrm>
          <a:off x="0" y="84067650"/>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Ratsuchende, Verwaltung</a:t>
          </a:r>
        </a:p>
      </xdr:txBody>
    </xdr:sp>
    <xdr:clientData/>
  </xdr:twoCellAnchor>
  <xdr:twoCellAnchor>
    <xdr:from>
      <xdr:col>0</xdr:col>
      <xdr:colOff>0</xdr:colOff>
      <xdr:row>566</xdr:row>
      <xdr:rowOff>0</xdr:rowOff>
    </xdr:from>
    <xdr:to>
      <xdr:col>8</xdr:col>
      <xdr:colOff>0</xdr:colOff>
      <xdr:row>572</xdr:row>
      <xdr:rowOff>0</xdr:rowOff>
    </xdr:to>
    <xdr:sp macro="" textlink="">
      <xdr:nvSpPr>
        <xdr:cNvPr id="46" name="Text Box 11"/>
        <xdr:cNvSpPr txBox="1">
          <a:spLocks noChangeArrowheads="1"/>
        </xdr:cNvSpPr>
      </xdr:nvSpPr>
      <xdr:spPr bwMode="auto">
        <a:xfrm>
          <a:off x="0" y="80724375"/>
          <a:ext cx="6667500" cy="8572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641</xdr:row>
      <xdr:rowOff>0</xdr:rowOff>
    </xdr:from>
    <xdr:to>
      <xdr:col>8</xdr:col>
      <xdr:colOff>0</xdr:colOff>
      <xdr:row>644</xdr:row>
      <xdr:rowOff>0</xdr:rowOff>
    </xdr:to>
    <xdr:sp macro="" textlink="">
      <xdr:nvSpPr>
        <xdr:cNvPr id="47" name="Text Box 6"/>
        <xdr:cNvSpPr txBox="1">
          <a:spLocks noChangeArrowheads="1"/>
        </xdr:cNvSpPr>
      </xdr:nvSpPr>
      <xdr:spPr bwMode="auto">
        <a:xfrm>
          <a:off x="0" y="91468575"/>
          <a:ext cx="6667500"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0</xdr:colOff>
      <xdr:row>645</xdr:row>
      <xdr:rowOff>133030</xdr:rowOff>
    </xdr:from>
    <xdr:to>
      <xdr:col>8</xdr:col>
      <xdr:colOff>0</xdr:colOff>
      <xdr:row>653</xdr:row>
      <xdr:rowOff>63816</xdr:rowOff>
    </xdr:to>
    <xdr:sp macro="" textlink="">
      <xdr:nvSpPr>
        <xdr:cNvPr id="48" name="Text Box 7"/>
        <xdr:cNvSpPr txBox="1">
          <a:spLocks noChangeArrowheads="1"/>
        </xdr:cNvSpPr>
      </xdr:nvSpPr>
      <xdr:spPr bwMode="auto">
        <a:xfrm>
          <a:off x="0" y="92144530"/>
          <a:ext cx="6667500" cy="1073786"/>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indent="0" algn="l" rtl="0">
            <a:lnSpc>
              <a:spcPct val="100000"/>
            </a:lnSpc>
            <a:defRPr sz="1000"/>
          </a:pPr>
          <a:r>
            <a:rPr lang="de-CH" sz="800">
              <a:latin typeface="Arial" pitchFamily="34" charset="0"/>
              <a:ea typeface="+mn-ea"/>
              <a:cs typeface="Arial" pitchFamily="34" charset="0"/>
            </a:rPr>
            <a:t>Schwerpunkte bilden ab 2013:</a:t>
          </a:r>
        </a:p>
        <a:p>
          <a:pPr marL="0" indent="0" algn="l" rtl="0">
            <a:lnSpc>
              <a:spcPct val="100000"/>
            </a:lnSpc>
            <a:defRPr sz="1000"/>
          </a:pPr>
          <a:r>
            <a:rPr lang="de-CH" sz="800">
              <a:latin typeface="Arial" pitchFamily="34" charset="0"/>
              <a:ea typeface="+mn-ea"/>
              <a:cs typeface="Arial" pitchFamily="34" charset="0"/>
            </a:rPr>
            <a:t>· die Etablierung und Weiterentwicklung des erneuerten Intranets;</a:t>
          </a:r>
        </a:p>
        <a:p>
          <a:pPr marL="0" indent="0" algn="l" rtl="0">
            <a:lnSpc>
              <a:spcPct val="100000"/>
            </a:lnSpc>
            <a:defRPr sz="1000"/>
          </a:pPr>
          <a:r>
            <a:rPr lang="de-CH" sz="800">
              <a:latin typeface="Arial" pitchFamily="34" charset="0"/>
              <a:ea typeface="+mn-ea"/>
              <a:cs typeface="Arial" pitchFamily="34" charset="0"/>
            </a:rPr>
            <a:t>· der Relaunch des Internet-Auftritts, wobei u.a. die Barrierenfreiheit verbessert werden soll;</a:t>
          </a:r>
        </a:p>
        <a:p>
          <a:pPr marL="0" indent="0" algn="l" rtl="0">
            <a:lnSpc>
              <a:spcPct val="100000"/>
            </a:lnSpc>
            <a:defRPr sz="1000"/>
          </a:pPr>
          <a:r>
            <a:rPr lang="de-CH" sz="800">
              <a:latin typeface="Arial" pitchFamily="34" charset="0"/>
              <a:ea typeface="+mn-ea"/>
              <a:cs typeface="Arial" pitchFamily="34" charset="0"/>
            </a:rPr>
            <a:t>· die Etablierung und zielgruppenorientierte Nutzung von Social-Media-Plattformen als Kommunikationsmittel;</a:t>
          </a:r>
        </a:p>
        <a:p>
          <a:pPr marL="0" indent="0" algn="l" rtl="0">
            <a:lnSpc>
              <a:spcPct val="100000"/>
            </a:lnSpc>
            <a:defRPr sz="1000"/>
          </a:pPr>
          <a:r>
            <a:rPr lang="de-CH" sz="800">
              <a:latin typeface="Arial" pitchFamily="34" charset="0"/>
              <a:ea typeface="+mn-ea"/>
              <a:cs typeface="Arial" pitchFamily="34" charset="0"/>
            </a:rPr>
            <a:t>· die Professionalisierung bei Anwendung und Umsetzung des städtischen Corporate Design.</a:t>
          </a:r>
        </a:p>
        <a:p>
          <a:pPr marL="0" indent="0" algn="l" rtl="0">
            <a:lnSpc>
              <a:spcPct val="100000"/>
            </a:lnSpc>
            <a:defRPr sz="1000"/>
          </a:pPr>
          <a:r>
            <a:rPr lang="de-CH" sz="800">
              <a:latin typeface="Arial" pitchFamily="34" charset="0"/>
              <a:ea typeface="+mn-ea"/>
              <a:cs typeface="Arial" pitchFamily="34" charset="0"/>
            </a:rPr>
            <a:t>Der Informationsdienst plant, die mit diesen Schwerpunkten verbundenen Aufgaben im Rahmen des Globalbudgets und der vorhandenen Personalressourcen zu leisten. Berücksichtigt werden muss, dass schwer abschätzbar ist, welcher Aufwand durch die Aufgaben im Rahmen der Nutzung von sozialen Medien entstehen wird.</a:t>
          </a:r>
        </a:p>
        <a:p>
          <a:pPr marL="0" indent="0" algn="l" rtl="0">
            <a:lnSpc>
              <a:spcPts val="800"/>
            </a:lnSpc>
            <a:defRPr sz="1000"/>
          </a:pPr>
          <a:endParaRPr lang="de-CH" sz="800">
            <a:latin typeface="+mn-lt"/>
            <a:ea typeface="+mn-ea"/>
            <a:cs typeface="+mn-cs"/>
          </a:endParaRPr>
        </a:p>
        <a:p>
          <a:pPr marL="0" indent="0" algn="l" rtl="0">
            <a:lnSpc>
              <a:spcPts val="1100"/>
            </a:lnSpc>
            <a:defRPr sz="1000"/>
          </a:pPr>
          <a:endParaRPr lang="de-CH" sz="1100">
            <a:latin typeface="+mn-lt"/>
            <a:ea typeface="+mn-ea"/>
            <a:cs typeface="+mn-cs"/>
          </a:endParaRPr>
        </a:p>
        <a:p>
          <a:pPr marL="0" indent="0" algn="l" rtl="0">
            <a:lnSpc>
              <a:spcPts val="500"/>
            </a:lnSpc>
            <a:defRPr sz="1000"/>
          </a:pPr>
          <a:endParaRPr lang="de-CH" sz="1100">
            <a:latin typeface="+mn-lt"/>
            <a:ea typeface="+mn-ea"/>
            <a:cs typeface="+mn-cs"/>
          </a:endParaRPr>
        </a:p>
        <a:p>
          <a:pPr marL="0" indent="0" algn="l" rtl="0">
            <a:lnSpc>
              <a:spcPts val="600"/>
            </a:lnSpc>
            <a:defRPr sz="1000"/>
          </a:pPr>
          <a:endParaRPr lang="de-CH" sz="1100">
            <a:latin typeface="+mn-lt"/>
            <a:ea typeface="+mn-ea"/>
            <a:cs typeface="+mn-cs"/>
          </a:endParaRPr>
        </a:p>
      </xdr:txBody>
    </xdr:sp>
    <xdr:clientData/>
  </xdr:twoCellAnchor>
  <xdr:twoCellAnchor>
    <xdr:from>
      <xdr:col>0</xdr:col>
      <xdr:colOff>0</xdr:colOff>
      <xdr:row>680</xdr:row>
      <xdr:rowOff>0</xdr:rowOff>
    </xdr:from>
    <xdr:to>
      <xdr:col>8</xdr:col>
      <xdr:colOff>0</xdr:colOff>
      <xdr:row>683</xdr:row>
      <xdr:rowOff>0</xdr:rowOff>
    </xdr:to>
    <xdr:sp macro="" textlink="">
      <xdr:nvSpPr>
        <xdr:cNvPr id="49" name="Text Box 9"/>
        <xdr:cNvSpPr txBox="1">
          <a:spLocks noChangeArrowheads="1"/>
        </xdr:cNvSpPr>
      </xdr:nvSpPr>
      <xdr:spPr bwMode="auto">
        <a:xfrm>
          <a:off x="0" y="96983550"/>
          <a:ext cx="6667500"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0</xdr:colOff>
      <xdr:row>656</xdr:row>
      <xdr:rowOff>0</xdr:rowOff>
    </xdr:from>
    <xdr:to>
      <xdr:col>8</xdr:col>
      <xdr:colOff>0</xdr:colOff>
      <xdr:row>658</xdr:row>
      <xdr:rowOff>0</xdr:rowOff>
    </xdr:to>
    <xdr:sp macro="" textlink="">
      <xdr:nvSpPr>
        <xdr:cNvPr id="50" name="Text Box 10"/>
        <xdr:cNvSpPr txBox="1">
          <a:spLocks noChangeArrowheads="1"/>
        </xdr:cNvSpPr>
      </xdr:nvSpPr>
      <xdr:spPr bwMode="auto">
        <a:xfrm>
          <a:off x="0" y="93554550"/>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Gemeinderat, Medien, Stadtverwaltung</a:t>
          </a:r>
        </a:p>
      </xdr:txBody>
    </xdr:sp>
    <xdr:clientData/>
  </xdr:twoCellAnchor>
  <xdr:twoCellAnchor>
    <xdr:from>
      <xdr:col>0</xdr:col>
      <xdr:colOff>0</xdr:colOff>
      <xdr:row>635</xdr:row>
      <xdr:rowOff>0</xdr:rowOff>
    </xdr:from>
    <xdr:to>
      <xdr:col>8</xdr:col>
      <xdr:colOff>0</xdr:colOff>
      <xdr:row>639</xdr:row>
      <xdr:rowOff>0</xdr:rowOff>
    </xdr:to>
    <xdr:sp macro="" textlink="">
      <xdr:nvSpPr>
        <xdr:cNvPr id="51" name="Text Box 11"/>
        <xdr:cNvSpPr txBox="1">
          <a:spLocks noChangeArrowheads="1"/>
        </xdr:cNvSpPr>
      </xdr:nvSpPr>
      <xdr:spPr bwMode="auto">
        <a:xfrm>
          <a:off x="0" y="90497025"/>
          <a:ext cx="6667500" cy="5715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de-CH" sz="800"/>
            <a:t>Keine</a:t>
          </a:r>
        </a:p>
      </xdr:txBody>
    </xdr:sp>
    <xdr:clientData/>
  </xdr:twoCellAnchor>
  <xdr:twoCellAnchor>
    <xdr:from>
      <xdr:col>0</xdr:col>
      <xdr:colOff>0</xdr:colOff>
      <xdr:row>709</xdr:row>
      <xdr:rowOff>0</xdr:rowOff>
    </xdr:from>
    <xdr:to>
      <xdr:col>8</xdr:col>
      <xdr:colOff>0</xdr:colOff>
      <xdr:row>713</xdr:row>
      <xdr:rowOff>0</xdr:rowOff>
    </xdr:to>
    <xdr:sp macro="" textlink="">
      <xdr:nvSpPr>
        <xdr:cNvPr id="52" name="Text Box 6"/>
        <xdr:cNvSpPr txBox="1">
          <a:spLocks noChangeArrowheads="1"/>
        </xdr:cNvSpPr>
      </xdr:nvSpPr>
      <xdr:spPr bwMode="auto">
        <a:xfrm>
          <a:off x="0" y="101098350"/>
          <a:ext cx="6667500" cy="5715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715</xdr:row>
      <xdr:rowOff>0</xdr:rowOff>
    </xdr:from>
    <xdr:to>
      <xdr:col>8</xdr:col>
      <xdr:colOff>0</xdr:colOff>
      <xdr:row>720</xdr:row>
      <xdr:rowOff>34310</xdr:rowOff>
    </xdr:to>
    <xdr:sp macro="" textlink="">
      <xdr:nvSpPr>
        <xdr:cNvPr id="53" name="Text Box 7"/>
        <xdr:cNvSpPr txBox="1">
          <a:spLocks noChangeArrowheads="1"/>
        </xdr:cNvSpPr>
      </xdr:nvSpPr>
      <xdr:spPr bwMode="auto">
        <a:xfrm>
          <a:off x="0" y="101927025"/>
          <a:ext cx="6667500" cy="106301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Das Finanzinspektorat wird neu ab 1. Januar 2012 in der Direktion für Finanzen, Personal und Informatik integriert (Dienststelle 670).</a:t>
          </a:r>
          <a:endParaRPr lang="de-CH" sz="600" b="0" i="0" u="none" strike="noStrike" baseline="0">
            <a:solidFill>
              <a:srgbClr val="000000"/>
            </a:solidFill>
            <a:latin typeface="Arial"/>
            <a:cs typeface="Arial"/>
          </a:endParaRPr>
        </a:p>
        <a:p>
          <a:pPr algn="l" rtl="0">
            <a:defRPr sz="1000"/>
          </a:pPr>
          <a:endParaRPr lang="de-CH" sz="600" b="0" i="0" u="none" strike="noStrike" baseline="0">
            <a:solidFill>
              <a:srgbClr val="000000"/>
            </a:solidFill>
            <a:latin typeface="Arial"/>
            <a:cs typeface="Arial"/>
          </a:endParaRPr>
        </a:p>
      </xdr:txBody>
    </xdr:sp>
    <xdr:clientData/>
  </xdr:twoCellAnchor>
  <xdr:twoCellAnchor>
    <xdr:from>
      <xdr:col>0</xdr:col>
      <xdr:colOff>0</xdr:colOff>
      <xdr:row>746</xdr:row>
      <xdr:rowOff>0</xdr:rowOff>
    </xdr:from>
    <xdr:to>
      <xdr:col>8</xdr:col>
      <xdr:colOff>0</xdr:colOff>
      <xdr:row>749</xdr:row>
      <xdr:rowOff>0</xdr:rowOff>
    </xdr:to>
    <xdr:sp macro="" textlink="">
      <xdr:nvSpPr>
        <xdr:cNvPr id="54" name="Text Box 9"/>
        <xdr:cNvSpPr txBox="1">
          <a:spLocks noChangeArrowheads="1"/>
        </xdr:cNvSpPr>
      </xdr:nvSpPr>
      <xdr:spPr bwMode="auto">
        <a:xfrm>
          <a:off x="0" y="106641900"/>
          <a:ext cx="6667500"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722</xdr:row>
      <xdr:rowOff>0</xdr:rowOff>
    </xdr:from>
    <xdr:to>
      <xdr:col>8</xdr:col>
      <xdr:colOff>0</xdr:colOff>
      <xdr:row>724</xdr:row>
      <xdr:rowOff>0</xdr:rowOff>
    </xdr:to>
    <xdr:sp macro="" textlink="">
      <xdr:nvSpPr>
        <xdr:cNvPr id="55" name="Text Box 10"/>
        <xdr:cNvSpPr txBox="1">
          <a:spLocks noChangeArrowheads="1"/>
        </xdr:cNvSpPr>
      </xdr:nvSpPr>
      <xdr:spPr bwMode="auto">
        <a:xfrm>
          <a:off x="0" y="103212900"/>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Gemeinderat, Direktionen und Dienststellen der Stadtverwaltung Bern sowie subventionierte und nahestehende Institutionen.</a:t>
          </a:r>
        </a:p>
      </xdr:txBody>
    </xdr:sp>
    <xdr:clientData/>
  </xdr:twoCellAnchor>
  <xdr:twoCellAnchor>
    <xdr:from>
      <xdr:col>0</xdr:col>
      <xdr:colOff>0</xdr:colOff>
      <xdr:row>701</xdr:row>
      <xdr:rowOff>0</xdr:rowOff>
    </xdr:from>
    <xdr:to>
      <xdr:col>8</xdr:col>
      <xdr:colOff>0</xdr:colOff>
      <xdr:row>707</xdr:row>
      <xdr:rowOff>0</xdr:rowOff>
    </xdr:to>
    <xdr:sp macro="" textlink="">
      <xdr:nvSpPr>
        <xdr:cNvPr id="56" name="Text Box 11"/>
        <xdr:cNvSpPr txBox="1">
          <a:spLocks noChangeArrowheads="1"/>
        </xdr:cNvSpPr>
      </xdr:nvSpPr>
      <xdr:spPr bwMode="auto">
        <a:xfrm>
          <a:off x="0" y="99841050"/>
          <a:ext cx="6667500" cy="8572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777</xdr:row>
      <xdr:rowOff>0</xdr:rowOff>
    </xdr:from>
    <xdr:to>
      <xdr:col>8</xdr:col>
      <xdr:colOff>0</xdr:colOff>
      <xdr:row>781</xdr:row>
      <xdr:rowOff>0</xdr:rowOff>
    </xdr:to>
    <xdr:sp macro="" textlink="">
      <xdr:nvSpPr>
        <xdr:cNvPr id="57" name="Text Box 6"/>
        <xdr:cNvSpPr txBox="1">
          <a:spLocks noChangeArrowheads="1"/>
        </xdr:cNvSpPr>
      </xdr:nvSpPr>
      <xdr:spPr bwMode="auto">
        <a:xfrm>
          <a:off x="0" y="111042450"/>
          <a:ext cx="6667500" cy="5715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783</xdr:row>
      <xdr:rowOff>0</xdr:rowOff>
    </xdr:from>
    <xdr:to>
      <xdr:col>8</xdr:col>
      <xdr:colOff>0</xdr:colOff>
      <xdr:row>789</xdr:row>
      <xdr:rowOff>19050</xdr:rowOff>
    </xdr:to>
    <xdr:sp macro="" textlink="">
      <xdr:nvSpPr>
        <xdr:cNvPr id="58" name="Text Box 7"/>
        <xdr:cNvSpPr txBox="1">
          <a:spLocks noChangeArrowheads="1"/>
        </xdr:cNvSpPr>
      </xdr:nvSpPr>
      <xdr:spPr bwMode="auto">
        <a:xfrm>
          <a:off x="0" y="111871125"/>
          <a:ext cx="6667500" cy="8763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Ab 2012 Annuität minus 18 %, 2013 entfällt Annuität ganz.</a:t>
          </a:r>
        </a:p>
      </xdr:txBody>
    </xdr:sp>
    <xdr:clientData/>
  </xdr:twoCellAnchor>
  <xdr:twoCellAnchor>
    <xdr:from>
      <xdr:col>0</xdr:col>
      <xdr:colOff>0</xdr:colOff>
      <xdr:row>815</xdr:row>
      <xdr:rowOff>0</xdr:rowOff>
    </xdr:from>
    <xdr:to>
      <xdr:col>8</xdr:col>
      <xdr:colOff>0</xdr:colOff>
      <xdr:row>818</xdr:row>
      <xdr:rowOff>0</xdr:rowOff>
    </xdr:to>
    <xdr:sp macro="" textlink="">
      <xdr:nvSpPr>
        <xdr:cNvPr id="59" name="Text Box 9"/>
        <xdr:cNvSpPr txBox="1">
          <a:spLocks noChangeArrowheads="1"/>
        </xdr:cNvSpPr>
      </xdr:nvSpPr>
      <xdr:spPr bwMode="auto">
        <a:xfrm>
          <a:off x="0" y="116414550"/>
          <a:ext cx="6667500"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0</xdr:colOff>
      <xdr:row>791</xdr:row>
      <xdr:rowOff>0</xdr:rowOff>
    </xdr:from>
    <xdr:to>
      <xdr:col>8</xdr:col>
      <xdr:colOff>0</xdr:colOff>
      <xdr:row>793</xdr:row>
      <xdr:rowOff>0</xdr:rowOff>
    </xdr:to>
    <xdr:sp macro="" textlink="">
      <xdr:nvSpPr>
        <xdr:cNvPr id="60" name="Text Box 10"/>
        <xdr:cNvSpPr txBox="1">
          <a:spLocks noChangeArrowheads="1"/>
        </xdr:cNvSpPr>
      </xdr:nvSpPr>
      <xdr:spPr bwMode="auto">
        <a:xfrm>
          <a:off x="0" y="112985550"/>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Personal, Verwaltung, Bund, Kanton, Dritte.</a:t>
          </a:r>
        </a:p>
      </xdr:txBody>
    </xdr:sp>
    <xdr:clientData/>
  </xdr:twoCellAnchor>
  <xdr:twoCellAnchor>
    <xdr:from>
      <xdr:col>0</xdr:col>
      <xdr:colOff>0</xdr:colOff>
      <xdr:row>769</xdr:row>
      <xdr:rowOff>0</xdr:rowOff>
    </xdr:from>
    <xdr:to>
      <xdr:col>8</xdr:col>
      <xdr:colOff>0</xdr:colOff>
      <xdr:row>775</xdr:row>
      <xdr:rowOff>0</xdr:rowOff>
    </xdr:to>
    <xdr:sp macro="" textlink="">
      <xdr:nvSpPr>
        <xdr:cNvPr id="61" name="Text Box 11"/>
        <xdr:cNvSpPr txBox="1">
          <a:spLocks noChangeArrowheads="1"/>
        </xdr:cNvSpPr>
      </xdr:nvSpPr>
      <xdr:spPr bwMode="auto">
        <a:xfrm>
          <a:off x="0" y="109785150"/>
          <a:ext cx="6667500" cy="8572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848</xdr:row>
      <xdr:rowOff>0</xdr:rowOff>
    </xdr:from>
    <xdr:to>
      <xdr:col>8</xdr:col>
      <xdr:colOff>0</xdr:colOff>
      <xdr:row>852</xdr:row>
      <xdr:rowOff>0</xdr:rowOff>
    </xdr:to>
    <xdr:sp macro="" textlink="">
      <xdr:nvSpPr>
        <xdr:cNvPr id="62" name="Text Box 6"/>
        <xdr:cNvSpPr txBox="1">
          <a:spLocks noChangeArrowheads="1"/>
        </xdr:cNvSpPr>
      </xdr:nvSpPr>
      <xdr:spPr bwMode="auto">
        <a:xfrm>
          <a:off x="0" y="121196100"/>
          <a:ext cx="6667500" cy="5715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Personalwesen: Umsetzung Betriebliches Gesundheitsmanagement (Früherkennung und Reintegration, gesundheitsfördernde Führung, Projekte zur Förderung der Eigenverantwortung [z.B. fit@lunch], Work-Life-Balance). </a:t>
          </a:r>
        </a:p>
      </xdr:txBody>
    </xdr:sp>
    <xdr:clientData/>
  </xdr:twoCellAnchor>
  <xdr:twoCellAnchor>
    <xdr:from>
      <xdr:col>0</xdr:col>
      <xdr:colOff>0</xdr:colOff>
      <xdr:row>854</xdr:row>
      <xdr:rowOff>0</xdr:rowOff>
    </xdr:from>
    <xdr:to>
      <xdr:col>8</xdr:col>
      <xdr:colOff>0</xdr:colOff>
      <xdr:row>859</xdr:row>
      <xdr:rowOff>19050</xdr:rowOff>
    </xdr:to>
    <xdr:sp macro="" textlink="">
      <xdr:nvSpPr>
        <xdr:cNvPr id="63" name="Text Box 7"/>
        <xdr:cNvSpPr txBox="1">
          <a:spLocks noChangeArrowheads="1"/>
        </xdr:cNvSpPr>
      </xdr:nvSpPr>
      <xdr:spPr bwMode="auto">
        <a:xfrm>
          <a:off x="0" y="122024775"/>
          <a:ext cx="6667500" cy="733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Berufsbildung: Weiterentwicklung Massnahmen zur Qualitätssicherung (u.a. systematische Laufbahnberatung; Weiterbildung für Praxisbildende, Umsetzung Bildungsverordnung 2012 für Kaufleute). </a:t>
          </a:r>
        </a:p>
        <a:p>
          <a:pPr algn="l" rtl="0">
            <a:lnSpc>
              <a:spcPts val="800"/>
            </a:lnSpc>
            <a:defRPr sz="1000"/>
          </a:pPr>
          <a:r>
            <a:rPr lang="de-CH" sz="800" b="0" i="0" u="none" strike="noStrike" baseline="0">
              <a:solidFill>
                <a:srgbClr val="000000"/>
              </a:solidFill>
              <a:latin typeface="Arial"/>
              <a:cs typeface="Arial"/>
            </a:rPr>
            <a:t>Personalwesen: Implementierung Früherkennung und Reintegration als Standardprozess (Weiterführung Projekt FER des Schweizerischen Arbeitgeberverbands). Ab 2012 Annuität minus 18%, 2013 entfällt Annuität ganz. </a:t>
          </a:r>
        </a:p>
        <a:p>
          <a:pPr algn="l" rtl="0">
            <a:lnSpc>
              <a:spcPts val="800"/>
            </a:lnSpc>
            <a:defRPr sz="1000"/>
          </a:pPr>
          <a:r>
            <a:rPr lang="de-CH" sz="800" b="0" i="0" u="none" strike="noStrike" baseline="0">
              <a:solidFill>
                <a:srgbClr val="000000"/>
              </a:solidFill>
              <a:latin typeface="Arial"/>
              <a:cs typeface="Arial"/>
            </a:rPr>
            <a:t>Die Internen Verrechnungen (Erlöse) wurden um 15'000  Franken tiefer angesetzt (kein Umweg über Belastung/Entlastung von Informatikkosten).  </a:t>
          </a:r>
        </a:p>
      </xdr:txBody>
    </xdr:sp>
    <xdr:clientData/>
  </xdr:twoCellAnchor>
  <xdr:twoCellAnchor>
    <xdr:from>
      <xdr:col>0</xdr:col>
      <xdr:colOff>0</xdr:colOff>
      <xdr:row>885</xdr:row>
      <xdr:rowOff>0</xdr:rowOff>
    </xdr:from>
    <xdr:to>
      <xdr:col>8</xdr:col>
      <xdr:colOff>0</xdr:colOff>
      <xdr:row>888</xdr:row>
      <xdr:rowOff>0</xdr:rowOff>
    </xdr:to>
    <xdr:sp macro="" textlink="">
      <xdr:nvSpPr>
        <xdr:cNvPr id="64" name="Text Box 9"/>
        <xdr:cNvSpPr txBox="1">
          <a:spLocks noChangeArrowheads="1"/>
        </xdr:cNvSpPr>
      </xdr:nvSpPr>
      <xdr:spPr bwMode="auto">
        <a:xfrm>
          <a:off x="0" y="126425325"/>
          <a:ext cx="6667500"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0</xdr:colOff>
      <xdr:row>861</xdr:row>
      <xdr:rowOff>0</xdr:rowOff>
    </xdr:from>
    <xdr:to>
      <xdr:col>8</xdr:col>
      <xdr:colOff>0</xdr:colOff>
      <xdr:row>863</xdr:row>
      <xdr:rowOff>0</xdr:rowOff>
    </xdr:to>
    <xdr:sp macro="" textlink="">
      <xdr:nvSpPr>
        <xdr:cNvPr id="65" name="Text Box 10"/>
        <xdr:cNvSpPr txBox="1">
          <a:spLocks noChangeArrowheads="1"/>
        </xdr:cNvSpPr>
      </xdr:nvSpPr>
      <xdr:spPr bwMode="auto">
        <a:xfrm>
          <a:off x="0" y="122996325"/>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Verwaltung, Exekutive, Legislative, Geschäftspartnerinnen und -partner, Eltern, Verwaltung Kanton Bern, Bundesverwaltung, Berufsfachschulen.</a:t>
          </a:r>
        </a:p>
      </xdr:txBody>
    </xdr:sp>
    <xdr:clientData/>
  </xdr:twoCellAnchor>
  <xdr:twoCellAnchor>
    <xdr:from>
      <xdr:col>0</xdr:col>
      <xdr:colOff>0</xdr:colOff>
      <xdr:row>840</xdr:row>
      <xdr:rowOff>0</xdr:rowOff>
    </xdr:from>
    <xdr:to>
      <xdr:col>8</xdr:col>
      <xdr:colOff>0</xdr:colOff>
      <xdr:row>846</xdr:row>
      <xdr:rowOff>0</xdr:rowOff>
    </xdr:to>
    <xdr:sp macro="" textlink="">
      <xdr:nvSpPr>
        <xdr:cNvPr id="66" name="Text Box 11"/>
        <xdr:cNvSpPr txBox="1">
          <a:spLocks noChangeArrowheads="1"/>
        </xdr:cNvSpPr>
      </xdr:nvSpPr>
      <xdr:spPr bwMode="auto">
        <a:xfrm>
          <a:off x="0" y="119938800"/>
          <a:ext cx="6667500" cy="8572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Berufsbildung: Legislaturrichtlinien, Ziel 5.2, Massnahme 1: "Die Stadt Bern unterstützt neue Massnahmen und Angebote zur beruflichen Integration, insbesondere von Jugendlichen." Mit der Bereitstellung von qualitativ hochstehenden Ausbildungs- und Praktikumsplätzen werden verbesserte Voraussetzungen für die berufliche Grundbildung sowie den Berufseinstieg geschaffen. </a:t>
          </a:r>
        </a:p>
        <a:p>
          <a:pPr algn="l" rtl="0">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917</xdr:row>
      <xdr:rowOff>0</xdr:rowOff>
    </xdr:from>
    <xdr:to>
      <xdr:col>8</xdr:col>
      <xdr:colOff>0</xdr:colOff>
      <xdr:row>926</xdr:row>
      <xdr:rowOff>0</xdr:rowOff>
    </xdr:to>
    <xdr:sp macro="" textlink="">
      <xdr:nvSpPr>
        <xdr:cNvPr id="67" name="Text Box 6"/>
        <xdr:cNvSpPr txBox="1">
          <a:spLocks noChangeArrowheads="1"/>
        </xdr:cNvSpPr>
      </xdr:nvSpPr>
      <xdr:spPr bwMode="auto">
        <a:xfrm>
          <a:off x="0" y="130854450"/>
          <a:ext cx="6667500" cy="12858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Gleichberechtigter Zugang von Frauen und Männern zum Arbeitsmarkt, zu städtischen Dienstleistungen und Ressourcen, zu Bildung und Entlöhnung bleiben Schwerpunkte gemäss Gleichstellungsstrategie. Demografische und wirtschaftliche Entwicklungen verschärfen die Vereinbarkeitsproblematik von Erwerbs- und Familienarbeit (inkl. Pflege von Angehörigen).</a:t>
          </a:r>
        </a:p>
        <a:p>
          <a:pPr algn="l" rtl="0">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928</xdr:row>
      <xdr:rowOff>0</xdr:rowOff>
    </xdr:from>
    <xdr:to>
      <xdr:col>8</xdr:col>
      <xdr:colOff>0</xdr:colOff>
      <xdr:row>930</xdr:row>
      <xdr:rowOff>19050</xdr:rowOff>
    </xdr:to>
    <xdr:sp macro="" textlink="">
      <xdr:nvSpPr>
        <xdr:cNvPr id="68" name="Text Box 7"/>
        <xdr:cNvSpPr txBox="1">
          <a:spLocks noChangeArrowheads="1"/>
        </xdr:cNvSpPr>
      </xdr:nvSpPr>
      <xdr:spPr bwMode="auto">
        <a:xfrm>
          <a:off x="0" y="132397500"/>
          <a:ext cx="6667500" cy="3048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0</xdr:colOff>
      <xdr:row>956</xdr:row>
      <xdr:rowOff>0</xdr:rowOff>
    </xdr:from>
    <xdr:to>
      <xdr:col>8</xdr:col>
      <xdr:colOff>0</xdr:colOff>
      <xdr:row>959</xdr:row>
      <xdr:rowOff>0</xdr:rowOff>
    </xdr:to>
    <xdr:sp macro="" textlink="">
      <xdr:nvSpPr>
        <xdr:cNvPr id="69" name="Text Box 9"/>
        <xdr:cNvSpPr txBox="1">
          <a:spLocks noChangeArrowheads="1"/>
        </xdr:cNvSpPr>
      </xdr:nvSpPr>
      <xdr:spPr bwMode="auto">
        <a:xfrm>
          <a:off x="0" y="136550400"/>
          <a:ext cx="6667500"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0</xdr:colOff>
      <xdr:row>932</xdr:row>
      <xdr:rowOff>0</xdr:rowOff>
    </xdr:from>
    <xdr:to>
      <xdr:col>8</xdr:col>
      <xdr:colOff>0</xdr:colOff>
      <xdr:row>934</xdr:row>
      <xdr:rowOff>0</xdr:rowOff>
    </xdr:to>
    <xdr:sp macro="" textlink="">
      <xdr:nvSpPr>
        <xdr:cNvPr id="70" name="Text Box 10"/>
        <xdr:cNvSpPr txBox="1">
          <a:spLocks noChangeArrowheads="1"/>
        </xdr:cNvSpPr>
      </xdr:nvSpPr>
      <xdr:spPr bwMode="auto">
        <a:xfrm>
          <a:off x="0" y="132940425"/>
          <a:ext cx="6667500" cy="4667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 Mitarbeitende der Verwaltung, Dienststellen, Gemeinderat</a:t>
          </a:r>
        </a:p>
        <a:p>
          <a:pPr algn="l" rtl="0">
            <a:defRPr sz="1000"/>
          </a:pPr>
          <a:r>
            <a:rPr lang="de-CH" sz="800" b="0" i="0" u="none" strike="noStrike" baseline="0">
              <a:solidFill>
                <a:srgbClr val="000000"/>
              </a:solidFill>
              <a:latin typeface="Arial"/>
              <a:cs typeface="Arial"/>
            </a:rPr>
            <a:t>- Stadtbevölkerung, externe Partnerinnen und Partner: Institutionen, private Organisationen der Zivilgesellschaft sowie Betriebe Stadt und Region Bern</a:t>
          </a:r>
          <a:endParaRPr lang="de-CH"/>
        </a:p>
      </xdr:txBody>
    </xdr:sp>
    <xdr:clientData/>
  </xdr:twoCellAnchor>
  <xdr:twoCellAnchor>
    <xdr:from>
      <xdr:col>0</xdr:col>
      <xdr:colOff>0</xdr:colOff>
      <xdr:row>909</xdr:row>
      <xdr:rowOff>0</xdr:rowOff>
    </xdr:from>
    <xdr:to>
      <xdr:col>8</xdr:col>
      <xdr:colOff>0</xdr:colOff>
      <xdr:row>915</xdr:row>
      <xdr:rowOff>0</xdr:rowOff>
    </xdr:to>
    <xdr:sp macro="" textlink="">
      <xdr:nvSpPr>
        <xdr:cNvPr id="71" name="Text Box 11"/>
        <xdr:cNvSpPr txBox="1">
          <a:spLocks noChangeArrowheads="1"/>
        </xdr:cNvSpPr>
      </xdr:nvSpPr>
      <xdr:spPr bwMode="auto">
        <a:xfrm>
          <a:off x="0" y="129597150"/>
          <a:ext cx="6667500" cy="8572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Weiterentwicklung des Aktionsplans für 2013-2016, gestützt auf die Strategie des Gemeinderats zur Förderung der Gleichstellung von Frauen und Männern in der Stadt Bern und innerhalb der Stadtverwaltung  (2008-2015) und die Strategie 2020.</a:t>
          </a:r>
        </a:p>
        <a:p>
          <a:pPr algn="l" rtl="0">
            <a:lnSpc>
              <a:spcPts val="1100"/>
            </a:lnSpc>
            <a:defRPr sz="1000"/>
          </a:pPr>
          <a:endParaRPr lang="de-CH"/>
        </a:p>
      </xdr:txBody>
    </xdr:sp>
    <xdr:clientData/>
  </xdr:twoCellAnchor>
  <xdr:twoCellAnchor>
    <xdr:from>
      <xdr:col>0</xdr:col>
      <xdr:colOff>0</xdr:colOff>
      <xdr:row>984</xdr:row>
      <xdr:rowOff>0</xdr:rowOff>
    </xdr:from>
    <xdr:to>
      <xdr:col>8</xdr:col>
      <xdr:colOff>0</xdr:colOff>
      <xdr:row>988</xdr:row>
      <xdr:rowOff>0</xdr:rowOff>
    </xdr:to>
    <xdr:sp macro="" textlink="">
      <xdr:nvSpPr>
        <xdr:cNvPr id="72" name="Text Box 6"/>
        <xdr:cNvSpPr txBox="1">
          <a:spLocks noChangeArrowheads="1"/>
        </xdr:cNvSpPr>
      </xdr:nvSpPr>
      <xdr:spPr bwMode="auto">
        <a:xfrm>
          <a:off x="0" y="140522325"/>
          <a:ext cx="6667500" cy="5715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990</xdr:row>
      <xdr:rowOff>0</xdr:rowOff>
    </xdr:from>
    <xdr:to>
      <xdr:col>8</xdr:col>
      <xdr:colOff>0</xdr:colOff>
      <xdr:row>995</xdr:row>
      <xdr:rowOff>19050</xdr:rowOff>
    </xdr:to>
    <xdr:sp macro="" textlink="">
      <xdr:nvSpPr>
        <xdr:cNvPr id="73" name="Text Box 7"/>
        <xdr:cNvSpPr txBox="1">
          <a:spLocks noChangeArrowheads="1"/>
        </xdr:cNvSpPr>
      </xdr:nvSpPr>
      <xdr:spPr bwMode="auto">
        <a:xfrm>
          <a:off x="0" y="141351000"/>
          <a:ext cx="6667500" cy="733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1021</xdr:row>
      <xdr:rowOff>0</xdr:rowOff>
    </xdr:from>
    <xdr:to>
      <xdr:col>8</xdr:col>
      <xdr:colOff>0</xdr:colOff>
      <xdr:row>1024</xdr:row>
      <xdr:rowOff>0</xdr:rowOff>
    </xdr:to>
    <xdr:sp macro="" textlink="">
      <xdr:nvSpPr>
        <xdr:cNvPr id="74" name="Text Box 9"/>
        <xdr:cNvSpPr txBox="1">
          <a:spLocks noChangeArrowheads="1"/>
        </xdr:cNvSpPr>
      </xdr:nvSpPr>
      <xdr:spPr bwMode="auto">
        <a:xfrm>
          <a:off x="0" y="145751550"/>
          <a:ext cx="6667500"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0</xdr:colOff>
      <xdr:row>997</xdr:row>
      <xdr:rowOff>0</xdr:rowOff>
    </xdr:from>
    <xdr:to>
      <xdr:col>8</xdr:col>
      <xdr:colOff>0</xdr:colOff>
      <xdr:row>999</xdr:row>
      <xdr:rowOff>0</xdr:rowOff>
    </xdr:to>
    <xdr:sp macro="" textlink="">
      <xdr:nvSpPr>
        <xdr:cNvPr id="75" name="Text Box 10"/>
        <xdr:cNvSpPr txBox="1">
          <a:spLocks noChangeArrowheads="1"/>
        </xdr:cNvSpPr>
      </xdr:nvSpPr>
      <xdr:spPr bwMode="auto">
        <a:xfrm>
          <a:off x="0" y="142322550"/>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Interne Produktegruppe (Passivzinsen und Abschreibungen von Investitionskosten, falls Enteignungszahlungen).</a:t>
          </a:r>
        </a:p>
      </xdr:txBody>
    </xdr:sp>
    <xdr:clientData/>
  </xdr:twoCellAnchor>
  <xdr:twoCellAnchor>
    <xdr:from>
      <xdr:col>0</xdr:col>
      <xdr:colOff>0</xdr:colOff>
      <xdr:row>976</xdr:row>
      <xdr:rowOff>0</xdr:rowOff>
    </xdr:from>
    <xdr:to>
      <xdr:col>8</xdr:col>
      <xdr:colOff>0</xdr:colOff>
      <xdr:row>982</xdr:row>
      <xdr:rowOff>0</xdr:rowOff>
    </xdr:to>
    <xdr:sp macro="" textlink="">
      <xdr:nvSpPr>
        <xdr:cNvPr id="76" name="Text Box 11"/>
        <xdr:cNvSpPr txBox="1">
          <a:spLocks noChangeArrowheads="1"/>
        </xdr:cNvSpPr>
      </xdr:nvSpPr>
      <xdr:spPr bwMode="auto">
        <a:xfrm>
          <a:off x="0" y="139265025"/>
          <a:ext cx="6667500" cy="8572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1050</xdr:row>
      <xdr:rowOff>0</xdr:rowOff>
    </xdr:from>
    <xdr:to>
      <xdr:col>8</xdr:col>
      <xdr:colOff>0</xdr:colOff>
      <xdr:row>1055</xdr:row>
      <xdr:rowOff>0</xdr:rowOff>
    </xdr:to>
    <xdr:sp macro="" textlink="">
      <xdr:nvSpPr>
        <xdr:cNvPr id="77" name="Text Box 6"/>
        <xdr:cNvSpPr txBox="1">
          <a:spLocks noChangeArrowheads="1"/>
        </xdr:cNvSpPr>
      </xdr:nvSpPr>
      <xdr:spPr bwMode="auto">
        <a:xfrm>
          <a:off x="0" y="150228300"/>
          <a:ext cx="6667500" cy="9810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ct val="100000"/>
            </a:lnSpc>
            <a:defRPr sz="1000"/>
          </a:pPr>
          <a:r>
            <a:rPr lang="de-CH" sz="800" b="0" i="0" u="none" strike="noStrike" baseline="0">
              <a:solidFill>
                <a:srgbClr val="000000"/>
              </a:solidFill>
              <a:latin typeface="Arial"/>
              <a:cs typeface="Arial"/>
            </a:rPr>
            <a:t>- Mit dem neuen kantonalen Kulturförderungsgesetz, das voraussichtlich 2014 in Kraft treten wird, sollen das Kunstmuseum und das Zentrum Paul Klee ausschliesslich vom Kanton subventioniert werden, was für die Stadt eine Entlastung von rund 4,6 Mio. bedeutet (s. unten). Die gesamthafte Neuorganisation der Finanzierung der städtischen Kulturinstitutionen - die wiederum zu einer Belastung der Stadt führen wird, erfolgt erst ab 2016 (bzw. für KTB Mitte 2015). </a:t>
          </a:r>
        </a:p>
        <a:p>
          <a:pPr algn="l" rtl="0">
            <a:lnSpc>
              <a:spcPct val="100000"/>
            </a:lnSpc>
            <a:defRPr sz="1000"/>
          </a:pPr>
          <a:r>
            <a:rPr lang="de-CH" sz="800" b="0" i="0" u="none" strike="noStrike" baseline="0">
              <a:solidFill>
                <a:srgbClr val="000000"/>
              </a:solidFill>
              <a:latin typeface="Arial"/>
              <a:cs typeface="Arial"/>
            </a:rPr>
            <a:t>- Die mit dem städtischen Investitionsbeitrag für die Renovation des Stadttheater-Gebäudes einhergehenden Abschreibungen und Zinsen sind im IAFP eingestellt.</a:t>
          </a:r>
        </a:p>
        <a:p>
          <a:pPr algn="l" rtl="0">
            <a:lnSpc>
              <a:spcPts val="800"/>
            </a:lnSpc>
            <a:defRPr sz="1000"/>
          </a:pPr>
          <a:endParaRPr lang="de-CH" sz="800" b="0" i="0" u="none" strike="noStrike" baseline="0">
            <a:solidFill>
              <a:srgbClr val="000000"/>
            </a:solidFill>
            <a:latin typeface="Arial"/>
            <a:cs typeface="Arial"/>
          </a:endParaRPr>
        </a:p>
      </xdr:txBody>
    </xdr:sp>
    <xdr:clientData/>
  </xdr:twoCellAnchor>
  <xdr:twoCellAnchor>
    <xdr:from>
      <xdr:col>0</xdr:col>
      <xdr:colOff>19050</xdr:colOff>
      <xdr:row>1057</xdr:row>
      <xdr:rowOff>38098</xdr:rowOff>
    </xdr:from>
    <xdr:to>
      <xdr:col>7</xdr:col>
      <xdr:colOff>752475</xdr:colOff>
      <xdr:row>1073</xdr:row>
      <xdr:rowOff>95250</xdr:rowOff>
    </xdr:to>
    <xdr:sp macro="" textlink="">
      <xdr:nvSpPr>
        <xdr:cNvPr id="78" name="Text Box 7"/>
        <xdr:cNvSpPr txBox="1">
          <a:spLocks noChangeArrowheads="1"/>
        </xdr:cNvSpPr>
      </xdr:nvSpPr>
      <xdr:spPr bwMode="auto">
        <a:xfrm>
          <a:off x="19050" y="151495123"/>
          <a:ext cx="6629400" cy="2705102"/>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0" bIns="0" anchor="t" upright="1"/>
        <a:lstStyle/>
        <a:p>
          <a:pPr>
            <a:lnSpc>
              <a:spcPct val="100000"/>
            </a:lnSpc>
          </a:pPr>
          <a:r>
            <a:rPr lang="de-CH" sz="800" b="0" i="0" u="none" strike="noStrike" baseline="0">
              <a:solidFill>
                <a:srgbClr val="000000"/>
              </a:solidFill>
              <a:latin typeface="Arial"/>
              <a:ea typeface="+mn-ea"/>
              <a:cs typeface="Arial"/>
            </a:rPr>
            <a:t>- Der Investitionsbeitrag für Instandsetzungsarbeiten beim Zentrum Paul Klee wurde auf Fr. 300'000.00 reduziert und fällt im Jahr 2012 an. </a:t>
          </a:r>
        </a:p>
        <a:p>
          <a:pPr>
            <a:lnSpc>
              <a:spcPct val="100000"/>
            </a:lnSpc>
          </a:pPr>
          <a:endParaRPr lang="de-CH" sz="800" b="0" i="0" u="none" strike="noStrike" baseline="0">
            <a:solidFill>
              <a:srgbClr val="000000"/>
            </a:solidFill>
            <a:latin typeface="Arial"/>
            <a:ea typeface="+mn-ea"/>
            <a:cs typeface="Arial"/>
          </a:endParaRPr>
        </a:p>
        <a:p>
          <a:pPr>
            <a:lnSpc>
              <a:spcPct val="100000"/>
            </a:lnSpc>
          </a:pPr>
          <a:r>
            <a:rPr lang="de-CH" sz="800" b="0" i="0" u="none" strike="noStrike" baseline="0">
              <a:solidFill>
                <a:srgbClr val="000000"/>
              </a:solidFill>
              <a:latin typeface="Arial"/>
              <a:ea typeface="+mn-ea"/>
              <a:cs typeface="Arial"/>
            </a:rPr>
            <a:t>Kostenart 36:</a:t>
          </a:r>
        </a:p>
        <a:p>
          <a:pPr>
            <a:lnSpc>
              <a:spcPct val="100000"/>
            </a:lnSpc>
          </a:pPr>
          <a:r>
            <a:rPr lang="de-CH" sz="800" b="0" i="0" u="none" strike="noStrike" baseline="0">
              <a:solidFill>
                <a:srgbClr val="000000"/>
              </a:solidFill>
              <a:latin typeface="Arial"/>
              <a:ea typeface="+mn-ea"/>
              <a:cs typeface="Arial"/>
            </a:rPr>
            <a:t>- Nach den Sparjahren 2012 - 2014 ist im Jahr 2015 die Teuerung von 2.5% (Fr. 75'425.00) auf den Beiträgen der direkten Förderung (rund 3 Mio Franken) eingestellt.</a:t>
          </a:r>
        </a:p>
        <a:p>
          <a:pPr>
            <a:lnSpc>
              <a:spcPct val="100000"/>
            </a:lnSpc>
          </a:pPr>
          <a:r>
            <a:rPr lang="de-CH" sz="800" b="0" i="0" u="none" strike="noStrike" baseline="0">
              <a:solidFill>
                <a:srgbClr val="000000"/>
              </a:solidFill>
              <a:latin typeface="Arial"/>
              <a:ea typeface="+mn-ea"/>
              <a:cs typeface="Arial"/>
            </a:rPr>
            <a:t>- Im Juli 2015 beginnt für das KTB die neue Subventionsperiode. Aus diesem Grund wird auf der Hälfte der Subvention KTB für das Jahr 2015 </a:t>
          </a:r>
        </a:p>
        <a:p>
          <a:pPr>
            <a:lnSpc>
              <a:spcPct val="100000"/>
            </a:lnSpc>
          </a:pPr>
          <a:r>
            <a:rPr lang="de-CH" sz="800" b="0" i="0" u="none" strike="noStrike" baseline="0">
              <a:solidFill>
                <a:srgbClr val="000000"/>
              </a:solidFill>
              <a:latin typeface="Arial"/>
              <a:ea typeface="+mn-ea"/>
              <a:cs typeface="Arial"/>
            </a:rPr>
            <a:t>(Fr. 7'273'506.00) bereits die Teuerung von 2,5 % (Fr. 181'838.00) eingestellt.</a:t>
          </a:r>
        </a:p>
        <a:p>
          <a:pPr>
            <a:lnSpc>
              <a:spcPct val="100000"/>
            </a:lnSpc>
          </a:pPr>
          <a:r>
            <a:rPr lang="de-CH" sz="800" b="0" i="0" u="none" strike="noStrike" baseline="0">
              <a:solidFill>
                <a:srgbClr val="000000"/>
              </a:solidFill>
              <a:latin typeface="Arial"/>
              <a:ea typeface="+mn-ea"/>
              <a:cs typeface="Arial"/>
            </a:rPr>
            <a:t>- Im Jahr 2016 beginnt die Subventionsperiode auch für alle anderen Institutionen mit Vierjahresvertrag. Die Teuerung von 2.5% wird mit Fr. 524'949.00 im Jahr 2016 für die zweite Hälfte der Subvention an das KTB sowie für die gesamte Subventionssumme aller anderen Institutionen (Fr.  20'997'978.00) eingestellt.</a:t>
          </a:r>
        </a:p>
        <a:p>
          <a:pPr>
            <a:lnSpc>
              <a:spcPct val="100000"/>
            </a:lnSpc>
          </a:pPr>
          <a:r>
            <a:rPr lang="de-CH" sz="800" b="0" i="0" u="none" strike="noStrike" baseline="0">
              <a:solidFill>
                <a:srgbClr val="000000"/>
              </a:solidFill>
              <a:latin typeface="Arial"/>
              <a:ea typeface="+mn-ea"/>
              <a:cs typeface="Arial"/>
            </a:rPr>
            <a:t>- Mit dem Inkrafttreten des Kantonalen Kulturförderungsgesetzes KKFG und dem damit verbundenen Wegfall der Subventionsbeiträge an das Kunstmuseum und an das Zentrum Paul Klee, wird das Budget der Abteilung Kulturelles in den Jahren 2014 und 2015 voraussichtlich um je Fr. 4'601'232.00 entlastet. Ab 2016 wird mit einem Saldo Kulturentlastung von Fr. 2'550'000.00 gemäss FILAG (Stand Jan. 2011) gerechnet. Sobald genauere Zahlen bekannt sind, ist gemäss Bruttoprinzip die Entlastung beim Budget der Abteilung Kulturelles und die Zusatzbelastung bei der Finanzverwaltung einzustellen. Da die Details dazu noch nicht bekannt sind, werden im IAFP 2013 - 2016 noch keine Veränderungen eingestellt. Der Bericht ist darum lediglich als Vorinformation zu verstehen. </a:t>
          </a:r>
        </a:p>
        <a:p>
          <a:pPr>
            <a:lnSpc>
              <a:spcPct val="100000"/>
            </a:lnSpc>
          </a:pPr>
          <a:r>
            <a:rPr lang="de-CH" sz="800" b="0" i="0" u="none" strike="noStrike" baseline="0">
              <a:solidFill>
                <a:srgbClr val="000000"/>
              </a:solidFill>
              <a:latin typeface="Arial"/>
              <a:cs typeface="Arial"/>
            </a:rPr>
            <a:t>Portfoliomassnahmen 2012 - 2014 bei der Kostenart 36 (Eigene Beiträge): Ausgehend vom im Jahr 2009 für das Jahr 2014 im IAFP eingestellten Betrags von Fr. 31'045'327 muss 1 Mio Fr. eingespart werden. Anstehende Anpassungen an die Teuerung können im Jahr 2015 vorgenommen werden. Mit SRB 174 vom 28.4.2011; Strategische Aufgabenprüfung zur Haushaltsstabilisierung 2012-2014 wurden diese Massnahmen um Fr. 100'000.00 mit der folgenden Planungserklärung zum Teil korrigiert: „Die Kürzungen in den Jahren 2012-2014 dürfen nicht zulasten der Förderbeiträge für die freie Kunstszene und für das zeitgenössische Kulturschaffen erfolgen.“ (Erhhöhung Beiträge um Fr. 100'000.00.)</a:t>
          </a:r>
        </a:p>
        <a:p>
          <a:pPr algn="l" rtl="0">
            <a:lnSpc>
              <a:spcPct val="100000"/>
            </a:lnSpc>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1108</xdr:row>
      <xdr:rowOff>0</xdr:rowOff>
    </xdr:from>
    <xdr:to>
      <xdr:col>8</xdr:col>
      <xdr:colOff>0</xdr:colOff>
      <xdr:row>1112</xdr:row>
      <xdr:rowOff>0</xdr:rowOff>
    </xdr:to>
    <xdr:sp macro="" textlink="">
      <xdr:nvSpPr>
        <xdr:cNvPr id="79" name="Text Box 9"/>
        <xdr:cNvSpPr txBox="1">
          <a:spLocks noChangeArrowheads="1"/>
        </xdr:cNvSpPr>
      </xdr:nvSpPr>
      <xdr:spPr bwMode="auto">
        <a:xfrm>
          <a:off x="0" y="158838900"/>
          <a:ext cx="6667500" cy="5715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0" bIns="0" anchor="t" upright="1"/>
        <a:lstStyle/>
        <a:p>
          <a:pPr algn="l" rtl="0">
            <a:defRPr sz="1000"/>
          </a:pPr>
          <a:r>
            <a:rPr lang="de-CH" sz="800" b="0" i="0" u="none" strike="noStrike" baseline="0">
              <a:solidFill>
                <a:srgbClr val="000000"/>
              </a:solidFill>
              <a:latin typeface="Arial"/>
              <a:cs typeface="Arial"/>
            </a:rPr>
            <a:t>Sanierung Stadttheater</a:t>
          </a:r>
        </a:p>
      </xdr:txBody>
    </xdr:sp>
    <xdr:clientData/>
  </xdr:twoCellAnchor>
  <xdr:twoCellAnchor>
    <xdr:from>
      <xdr:col>0</xdr:col>
      <xdr:colOff>0</xdr:colOff>
      <xdr:row>1083</xdr:row>
      <xdr:rowOff>1905</xdr:rowOff>
    </xdr:from>
    <xdr:to>
      <xdr:col>8</xdr:col>
      <xdr:colOff>0</xdr:colOff>
      <xdr:row>1085</xdr:row>
      <xdr:rowOff>134835</xdr:rowOff>
    </xdr:to>
    <xdr:sp macro="" textlink="">
      <xdr:nvSpPr>
        <xdr:cNvPr id="80" name="Text Box 10"/>
        <xdr:cNvSpPr txBox="1">
          <a:spLocks noChangeArrowheads="1"/>
        </xdr:cNvSpPr>
      </xdr:nvSpPr>
      <xdr:spPr bwMode="auto">
        <a:xfrm>
          <a:off x="0" y="154535505"/>
          <a:ext cx="6667500" cy="41868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0" bIns="0" anchor="t" upright="1"/>
        <a:lstStyle/>
        <a:p>
          <a:pPr algn="l" rtl="0">
            <a:defRPr sz="1000"/>
          </a:pPr>
          <a:r>
            <a:rPr lang="de-CH" sz="800" b="0" i="0" u="none" strike="noStrike" baseline="0">
              <a:solidFill>
                <a:srgbClr val="000000"/>
              </a:solidFill>
              <a:latin typeface="Arial"/>
              <a:cs typeface="Arial"/>
            </a:rPr>
            <a:t>Nutzniesserin ist die ganze Bevölkerung von Stadt und Region. Direkter beteiligt und betroffen sind die Kulturschaffenden, die kulturellen Institutionen und Organisationen, die Partnerinen und Partner, Burgergemeinde, Kanton und Bund.</a:t>
          </a:r>
        </a:p>
      </xdr:txBody>
    </xdr:sp>
    <xdr:clientData/>
  </xdr:twoCellAnchor>
  <xdr:twoCellAnchor>
    <xdr:from>
      <xdr:col>0</xdr:col>
      <xdr:colOff>0</xdr:colOff>
      <xdr:row>1045</xdr:row>
      <xdr:rowOff>0</xdr:rowOff>
    </xdr:from>
    <xdr:to>
      <xdr:col>8</xdr:col>
      <xdr:colOff>0</xdr:colOff>
      <xdr:row>1048</xdr:row>
      <xdr:rowOff>0</xdr:rowOff>
    </xdr:to>
    <xdr:sp macro="" textlink="">
      <xdr:nvSpPr>
        <xdr:cNvPr id="81" name="Text Box 11"/>
        <xdr:cNvSpPr txBox="1">
          <a:spLocks noChangeArrowheads="1"/>
        </xdr:cNvSpPr>
      </xdr:nvSpPr>
      <xdr:spPr bwMode="auto">
        <a:xfrm>
          <a:off x="0" y="149037675"/>
          <a:ext cx="6667500" cy="7524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0" bIns="0" anchor="t" upright="1"/>
        <a:lstStyle/>
        <a:p>
          <a:pPr algn="l" rtl="0">
            <a:lnSpc>
              <a:spcPct val="100000"/>
            </a:lnSpc>
            <a:defRPr sz="1000"/>
          </a:pPr>
          <a:r>
            <a:rPr lang="de-CH" sz="800" b="0" i="0" u="none" strike="noStrike" baseline="0">
              <a:solidFill>
                <a:srgbClr val="000000"/>
              </a:solidFill>
              <a:latin typeface="Arial"/>
              <a:cs typeface="Arial"/>
            </a:rPr>
            <a:t>- Seit dem 1.7.2011 bilden das Stadttheater und das Berner Symphonieorchester zusammen die neue  Kulturinstitution KonzertTheaterBern (KTB).</a:t>
          </a:r>
        </a:p>
        <a:p>
          <a:pPr algn="l" rtl="0">
            <a:lnSpc>
              <a:spcPct val="100000"/>
            </a:lnSpc>
            <a:defRPr sz="1000"/>
          </a:pPr>
          <a:r>
            <a:rPr lang="de-CH" sz="800" b="0" i="0" u="none" strike="noStrike" baseline="0">
              <a:solidFill>
                <a:srgbClr val="000000"/>
              </a:solidFill>
              <a:latin typeface="Arial"/>
              <a:cs typeface="Arial"/>
            </a:rPr>
            <a:t>- Für die Sanierung des Stadttheaters, die bei einem Kostendach von 45 Mio. Franken realisiert werden soll, ist im Dezember 2011 ein Projektierungskredit eingeholt worden. </a:t>
          </a:r>
        </a:p>
        <a:p>
          <a:pPr algn="l" rtl="0">
            <a:lnSpc>
              <a:spcPct val="100000"/>
            </a:lnSpc>
            <a:defRPr sz="1000"/>
          </a:pPr>
          <a:r>
            <a:rPr lang="de-CH" sz="800" b="0" i="0" u="none" strike="noStrike" baseline="0">
              <a:solidFill>
                <a:srgbClr val="000000"/>
              </a:solidFill>
              <a:latin typeface="Arial"/>
              <a:cs typeface="Arial"/>
            </a:rPr>
            <a:t>- Gemäss der soeben publizierten Bevölkerungsbefragung ist für 2/3 der Befragten das kulturelle Angebot vollständig. Das verbleibende Drittel verteilt sich auf 20 verschiedene Nennungen.</a:t>
          </a:r>
          <a:endParaRPr lang="de-CH" sz="800" b="0" i="0" u="none" strike="noStrike" baseline="0">
            <a:solidFill>
              <a:srgbClr val="FF0000"/>
            </a:solidFill>
            <a:latin typeface="Arial"/>
            <a:cs typeface="Arial"/>
          </a:endParaRPr>
        </a:p>
        <a:p>
          <a:pPr algn="l" rtl="0">
            <a:lnSpc>
              <a:spcPts val="700"/>
            </a:lnSpc>
            <a:defRPr sz="1000"/>
          </a:pPr>
          <a:endParaRPr lang="de-CH" sz="800" b="0" i="0" u="none" strike="noStrike" baseline="0">
            <a:solidFill>
              <a:srgbClr val="FF0000"/>
            </a:solidFill>
            <a:latin typeface="Arial"/>
            <a:cs typeface="Arial"/>
          </a:endParaRPr>
        </a:p>
      </xdr:txBody>
    </xdr:sp>
    <xdr:clientData/>
  </xdr:twoCellAnchor>
  <xdr:twoCellAnchor>
    <xdr:from>
      <xdr:col>0</xdr:col>
      <xdr:colOff>0</xdr:colOff>
      <xdr:row>1138</xdr:row>
      <xdr:rowOff>39688</xdr:rowOff>
    </xdr:from>
    <xdr:to>
      <xdr:col>7</xdr:col>
      <xdr:colOff>752475</xdr:colOff>
      <xdr:row>1142</xdr:row>
      <xdr:rowOff>581026</xdr:rowOff>
    </xdr:to>
    <xdr:sp macro="" textlink="">
      <xdr:nvSpPr>
        <xdr:cNvPr id="82" name="Text Box 6"/>
        <xdr:cNvSpPr txBox="1">
          <a:spLocks noChangeArrowheads="1"/>
        </xdr:cNvSpPr>
      </xdr:nvSpPr>
      <xdr:spPr bwMode="auto">
        <a:xfrm>
          <a:off x="0" y="163145788"/>
          <a:ext cx="6648450" cy="1112838"/>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Die Denkmalpflege vertritt das öffentliche Interesse an Erhalt und Entwicklung der wertvollen Bausubstanz im Rahmen ihrer gesetzlichen Kompetenzen. Auch wenn der Auftrag derselbe geblieben ist, so ist doch eine Veränderung des Umfelds festzustellen. Wo das Partikularinteresse gegenüber öffentlichen Anliegen in den Vordergrund rückt, werden Erklärungen und Diensteifer verlangt. Denkmalpflege muss aufklären, überzeugen und präsent sein. Neue Herausforderungen (Energiesanierung, Behindertengleichstellung, Lärmschutz, Sicherheit, Brandschutz) binden Energie und werden in den Medien gerne pointiert dargestellt. Dabei geht vergessen, dass die Zusammenarbeit der Denkmalpflege mit Externen in aller Regel konstruktiv verläuft und immer wieder zu positiven Rückmeldungen von Kundinnen und Kunden führt. Allgemein ist sogar ein zunehmendes Interesse an denkmalpflegerischen Themen festzustellen, das sich in unzähligen Anfragen niederschlägt. Im Sinne einer Erweiterung ihrer Dienstleistungen hat die Denkmalpflege im 2011 das gesamte Inventar auf Internet zugänglich gemacht (http://bauinventar.bern.ch/). </a:t>
          </a:r>
        </a:p>
      </xdr:txBody>
    </xdr:sp>
    <xdr:clientData/>
  </xdr:twoCellAnchor>
  <xdr:twoCellAnchor>
    <xdr:from>
      <xdr:col>0</xdr:col>
      <xdr:colOff>7939</xdr:colOff>
      <xdr:row>1145</xdr:row>
      <xdr:rowOff>57784</xdr:rowOff>
    </xdr:from>
    <xdr:to>
      <xdr:col>8</xdr:col>
      <xdr:colOff>0</xdr:colOff>
      <xdr:row>1153</xdr:row>
      <xdr:rowOff>105409</xdr:rowOff>
    </xdr:to>
    <xdr:sp macro="" textlink="">
      <xdr:nvSpPr>
        <xdr:cNvPr id="83" name="Text Box 7"/>
        <xdr:cNvSpPr txBox="1">
          <a:spLocks noChangeArrowheads="1"/>
        </xdr:cNvSpPr>
      </xdr:nvSpPr>
      <xdr:spPr bwMode="auto">
        <a:xfrm>
          <a:off x="7939" y="164602159"/>
          <a:ext cx="6655431" cy="1085216"/>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ct val="100000"/>
            </a:lnSpc>
            <a:defRPr sz="1000"/>
          </a:pPr>
          <a:r>
            <a:rPr lang="de-CH" sz="800" b="0" i="0" u="none" strike="noStrike" baseline="0">
              <a:solidFill>
                <a:srgbClr val="000000"/>
              </a:solidFill>
              <a:latin typeface="Arial"/>
              <a:ea typeface="+mn-ea"/>
              <a:cs typeface="Arial"/>
            </a:rPr>
            <a:t>Die grösste Herausforderung besteht in der Überarbeitung der Bauinventare in den Jahren 2013 - 2016. Diese Arbeiten sind gemäss approbierter </a:t>
          </a:r>
        </a:p>
        <a:p>
          <a:pPr algn="l" rtl="0">
            <a:lnSpc>
              <a:spcPct val="100000"/>
            </a:lnSpc>
            <a:defRPr sz="1000"/>
          </a:pPr>
          <a:r>
            <a:rPr lang="de-CH" sz="800" b="0" i="0" u="none" strike="noStrike" baseline="0">
              <a:solidFill>
                <a:srgbClr val="000000"/>
              </a:solidFill>
              <a:latin typeface="Arial"/>
              <a:ea typeface="+mn-ea"/>
              <a:cs typeface="Arial"/>
            </a:rPr>
            <a:t>fachlicher Einschätzung von jeder Generation (resp. rund alle 30 Jahre) an die Hand zu nehmen. Geplant sind eine Aktualisierung und die </a:t>
          </a:r>
        </a:p>
        <a:p>
          <a:pPr algn="l" rtl="0">
            <a:lnSpc>
              <a:spcPct val="100000"/>
            </a:lnSpc>
            <a:defRPr sz="1000"/>
          </a:pPr>
          <a:r>
            <a:rPr lang="de-CH" sz="800" b="0" i="0" u="none" strike="noStrike" baseline="0">
              <a:solidFill>
                <a:srgbClr val="000000"/>
              </a:solidFill>
              <a:latin typeface="Arial"/>
              <a:ea typeface="+mn-ea"/>
              <a:cs typeface="Arial"/>
            </a:rPr>
            <a:t>Einführung einheitlicher Kriterien über alle Quartiere. Im 2013 erscheint überdies der neue Vierjahresbericht (Periode 2008 – 2012), der im Budget mit rund Fr. 30‘000.00 veranschlagt wird. Nachdem dieser bereits für die Vorperiode vollkommen neu gestaltet wurde, soll die neue Ausgabe mit einem grösseren Bildanteil noch attraktiver werden. Zusammen mit der Vergabe des Dr. Jost Hartmann-Preises und einer neu geplanten Jahrespressekonferenz soll die denkmalpflegerische Arbeit besser in der Öffentlichkeit verankert werden. Als neue Aufgabe hat die Denkmalpflege die Ausbildung von Lernenden übernommen. Mit Ausnahme der Inventarüberarbeitung wird die Denkmalpflege diese Arbeiten mit den bestehenden Ressourcen bewältigen müssen, was zunehmend grössere Herausforderungen an die Mitarbeitenden stellt. </a:t>
          </a:r>
        </a:p>
        <a:p>
          <a:pPr algn="l" rtl="0">
            <a:lnSpc>
              <a:spcPts val="500"/>
            </a:lnSpc>
            <a:defRPr sz="1000"/>
          </a:pPr>
          <a:endParaRPr lang="de-CH" sz="800" b="0" i="0" u="none" strike="noStrike" baseline="0">
            <a:solidFill>
              <a:srgbClr val="000000"/>
            </a:solidFill>
            <a:latin typeface="Arial"/>
            <a:ea typeface="+mn-ea"/>
            <a:cs typeface="Arial"/>
          </a:endParaRPr>
        </a:p>
        <a:p>
          <a:pPr algn="l" rtl="0">
            <a:lnSpc>
              <a:spcPts val="600"/>
            </a:lnSpc>
            <a:defRPr sz="1000"/>
          </a:pPr>
          <a:r>
            <a:rPr lang="de-CH" sz="800" b="0" i="0" u="none" strike="noStrike" baseline="0">
              <a:solidFill>
                <a:srgbClr val="000000"/>
              </a:solidFill>
              <a:latin typeface="Arial"/>
              <a:cs typeface="Arial"/>
            </a:rPr>
            <a:t> </a:t>
          </a:r>
        </a:p>
        <a:p>
          <a:pPr algn="l" rtl="0">
            <a:lnSpc>
              <a:spcPts val="600"/>
            </a:lnSpc>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1180</xdr:row>
      <xdr:rowOff>0</xdr:rowOff>
    </xdr:from>
    <xdr:to>
      <xdr:col>8</xdr:col>
      <xdr:colOff>0</xdr:colOff>
      <xdr:row>1183</xdr:row>
      <xdr:rowOff>0</xdr:rowOff>
    </xdr:to>
    <xdr:sp macro="" textlink="">
      <xdr:nvSpPr>
        <xdr:cNvPr id="84" name="Text Box 9"/>
        <xdr:cNvSpPr txBox="1">
          <a:spLocks noChangeArrowheads="1"/>
        </xdr:cNvSpPr>
      </xdr:nvSpPr>
      <xdr:spPr bwMode="auto">
        <a:xfrm>
          <a:off x="0" y="169373550"/>
          <a:ext cx="6667500"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Nachführen und digitalisieren Bauinventare sowie erstellen eines Bauinventars für die obere Altstadt. </a:t>
          </a:r>
        </a:p>
      </xdr:txBody>
    </xdr:sp>
    <xdr:clientData/>
  </xdr:twoCellAnchor>
  <xdr:twoCellAnchor>
    <xdr:from>
      <xdr:col>0</xdr:col>
      <xdr:colOff>0</xdr:colOff>
      <xdr:row>1156</xdr:row>
      <xdr:rowOff>48578</xdr:rowOff>
    </xdr:from>
    <xdr:to>
      <xdr:col>8</xdr:col>
      <xdr:colOff>0</xdr:colOff>
      <xdr:row>1158</xdr:row>
      <xdr:rowOff>75533</xdr:rowOff>
    </xdr:to>
    <xdr:sp macro="" textlink="">
      <xdr:nvSpPr>
        <xdr:cNvPr id="85" name="Text Box 10"/>
        <xdr:cNvSpPr txBox="1">
          <a:spLocks noChangeArrowheads="1"/>
        </xdr:cNvSpPr>
      </xdr:nvSpPr>
      <xdr:spPr bwMode="auto">
        <a:xfrm>
          <a:off x="0" y="165993128"/>
          <a:ext cx="6661464" cy="31270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Bauherrschaft; Architektinnen und Architekten, Planerinnen und Planer, Verwaltung, Politik, Parlament.</a:t>
          </a:r>
        </a:p>
      </xdr:txBody>
    </xdr:sp>
    <xdr:clientData/>
  </xdr:twoCellAnchor>
  <xdr:twoCellAnchor>
    <xdr:from>
      <xdr:col>0</xdr:col>
      <xdr:colOff>0</xdr:colOff>
      <xdr:row>1132</xdr:row>
      <xdr:rowOff>0</xdr:rowOff>
    </xdr:from>
    <xdr:to>
      <xdr:col>8</xdr:col>
      <xdr:colOff>0</xdr:colOff>
      <xdr:row>1136</xdr:row>
      <xdr:rowOff>0</xdr:rowOff>
    </xdr:to>
    <xdr:sp macro="" textlink="">
      <xdr:nvSpPr>
        <xdr:cNvPr id="86" name="Text Box 11"/>
        <xdr:cNvSpPr txBox="1">
          <a:spLocks noChangeArrowheads="1"/>
        </xdr:cNvSpPr>
      </xdr:nvSpPr>
      <xdr:spPr bwMode="auto">
        <a:xfrm>
          <a:off x="0" y="162125025"/>
          <a:ext cx="6657975" cy="5810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ct val="100000"/>
            </a:lnSpc>
            <a:defRPr sz="1000"/>
          </a:pPr>
          <a:r>
            <a:rPr lang="de-CH" sz="800" b="0" i="0" u="none" strike="noStrike" baseline="0">
              <a:solidFill>
                <a:srgbClr val="000000"/>
              </a:solidFill>
              <a:latin typeface="Arial"/>
              <a:cs typeface="Arial"/>
            </a:rPr>
            <a:t>Die „Weiterentwicklung der Lebensqualität als Standortfaktor der Stadt Bern“ stellt ein zentrales Legislaturziel dar. Auch wenn „Berns Lebensqualität“ schon heute „Spitzenwerte erreicht“ will der Gemeinderat diese weiter stärken und entwickeln. Die Denkmalpflege trägt mit ihrer Arbeit zur sorgfältigen Entwicklung von Altstadt und Quartieren bei, sie erhält und fördert die Baukultur und stärkt die Identifikation der Bevölkerung mit Ihrer Stadt. Mit der fachgerechten Pflege der Altstadt sichert sie darüber hinaus diese „unique selling proposition“ langfristig für den Tourismus. </a:t>
          </a:r>
        </a:p>
        <a:p>
          <a:pPr algn="l" rtl="0">
            <a:lnSpc>
              <a:spcPts val="1100"/>
            </a:lnSpc>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1212</xdr:row>
      <xdr:rowOff>1</xdr:rowOff>
    </xdr:from>
    <xdr:to>
      <xdr:col>8</xdr:col>
      <xdr:colOff>0</xdr:colOff>
      <xdr:row>1220</xdr:row>
      <xdr:rowOff>1208689</xdr:rowOff>
    </xdr:to>
    <xdr:sp macro="" textlink="">
      <xdr:nvSpPr>
        <xdr:cNvPr id="87" name="Text Box 6"/>
        <xdr:cNvSpPr txBox="1">
          <a:spLocks noChangeArrowheads="1"/>
        </xdr:cNvSpPr>
      </xdr:nvSpPr>
      <xdr:spPr bwMode="auto">
        <a:xfrm>
          <a:off x="0" y="173993176"/>
          <a:ext cx="6667500" cy="2294538"/>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ct val="100000"/>
            </a:lnSpc>
            <a:defRPr sz="1000"/>
          </a:pPr>
          <a:r>
            <a:rPr lang="de-CH" sz="800" b="0" i="0" u="none" strike="noStrike" baseline="0">
              <a:solidFill>
                <a:srgbClr val="000000"/>
              </a:solidFill>
              <a:latin typeface="Arial"/>
              <a:cs typeface="Arial"/>
            </a:rPr>
            <a:t>Die Hauptstadtregion Schweiz hat sich konstituiert und erste Projekte (Wertschöpfungsanalyse, Stärken- und Schwächenprofil) sind lanciert worden. Damit die Stadt Bern in Zukunft in der Haupstadtregion die ihr zustehende Führungsrolle übernehmen und insbesondere zur raschen Lancierung von neuen Projekten massgeblich beitragen kann, benötigt die Abteilung Stadtentwicklung entsprechende Mittel. Damit sollen Projekte initiiert werden, von denen die Stadt Bern direkt profitieren kann. Im Voranschlag 2012 konnten für diesen Zweck in Folge der Portfoliomassnahmen 2011-2014 nur Fr. 10'000.00 eingestellt werden. Um sinnvoll agieren zu können, sind mindestens Fr. 50'000.00 pro Jahr nötig. Es werden deshalb für diese neue Aufgabe Fr. 40'000.- eingestellt. </a:t>
          </a:r>
        </a:p>
        <a:p>
          <a:pPr algn="l" rtl="0">
            <a:lnSpc>
              <a:spcPct val="100000"/>
            </a:lnSpc>
            <a:defRPr sz="1000"/>
          </a:pPr>
          <a:r>
            <a:rPr lang="de-CH" sz="800" b="0" i="0" u="none" strike="noStrike" baseline="0">
              <a:solidFill>
                <a:srgbClr val="000000"/>
              </a:solidFill>
              <a:latin typeface="Arial"/>
              <a:cs typeface="Arial"/>
            </a:rPr>
            <a:t>Es ist immer noch ein parlamentarischer Vorstoss hängig, der fordert, dass die Stadt Bern eine Städtepartnerschaft eingeht. In der aktuellen Legislatur war die Gründung einer solchen Partnerschaft ein Ziel, das als Folge der Portfoliomassnahmen 2011-2014 nicht umgesetzt werden konnte. Die Abteilung Stadtentwicklung rechnet damit, dass die internationale Vernetzung auch in der Legislatur 2013-2016 ein Ziel des Gemeinderates und damit das Thema Städtepartnerschaft wieder aktuell sein werden. In den Jahren 2013 und 2014 können die entsprechenden Vorabklärungen über das ordentliche Budget abgewickelt werden. Das "Leben" einer konkreten Städtepartnerschaft wird aber zusätzliche Kosten generieren. Deshalb werden im Rahmen einer neuen Aufgabe ab 2015 Fr. 50'000.- eingeplant. </a:t>
          </a:r>
        </a:p>
        <a:p>
          <a:pPr algn="l" rtl="0">
            <a:lnSpc>
              <a:spcPct val="100000"/>
            </a:lnSpc>
            <a:defRPr sz="1000"/>
          </a:pPr>
          <a:r>
            <a:rPr lang="de-CH" sz="800" b="0" i="0" u="none" strike="noStrike" baseline="0">
              <a:solidFill>
                <a:srgbClr val="000000"/>
              </a:solidFill>
              <a:latin typeface="Arial"/>
              <a:cs typeface="Arial"/>
            </a:rPr>
            <a:t>Für die Massnahmen aus dem vom Gemeinderat gutgeheissenen Bericht Wohnstadt Bern 2012 besteht für 2013 und 2014 zusätzlich Bedarf an Mitteln. Diese werden für Stabilisierungsmassnahmen hinsichtlich Wohnungsbelegung/Wohnflächenbedarf, für detailierte Abklärungen über Umnutzungen/Rückführungen und eine Erhebung der Zweitwohnungen eingesetzt.</a:t>
          </a:r>
        </a:p>
        <a:p>
          <a:pPr algn="l" rtl="0">
            <a:lnSpc>
              <a:spcPct val="100000"/>
            </a:lnSpc>
            <a:defRPr sz="1000"/>
          </a:pPr>
          <a:endParaRPr lang="de-CH" sz="800" b="0" i="0" u="none" strike="noStrike" baseline="0">
            <a:solidFill>
              <a:srgbClr val="000000"/>
            </a:solidFill>
            <a:latin typeface="Arial"/>
            <a:cs typeface="Arial"/>
          </a:endParaRPr>
        </a:p>
        <a:p>
          <a:pPr algn="l" rtl="0">
            <a:lnSpc>
              <a:spcPct val="100000"/>
            </a:lnSpc>
            <a:defRPr sz="1000"/>
          </a:pPr>
          <a:r>
            <a:rPr lang="de-CH" sz="800" b="0" i="0" u="none" strike="noStrike" baseline="0">
              <a:solidFill>
                <a:srgbClr val="000000"/>
              </a:solidFill>
              <a:latin typeface="Arial"/>
              <a:cs typeface="Arial"/>
            </a:rPr>
            <a:t>Die Portfoliomassnahmen aus dem Jahre 2011 von Fr. 40'000.00 werden eingehalten und weitergeführt, ebenso die Portfoliomassnahme "Mehrerlöse bei den Statistikdiensten" von Fr. 20'000.00.</a:t>
          </a:r>
        </a:p>
      </xdr:txBody>
    </xdr:sp>
    <xdr:clientData/>
  </xdr:twoCellAnchor>
  <xdr:twoCellAnchor>
    <xdr:from>
      <xdr:col>0</xdr:col>
      <xdr:colOff>0</xdr:colOff>
      <xdr:row>1257</xdr:row>
      <xdr:rowOff>0</xdr:rowOff>
    </xdr:from>
    <xdr:to>
      <xdr:col>8</xdr:col>
      <xdr:colOff>0</xdr:colOff>
      <xdr:row>1260</xdr:row>
      <xdr:rowOff>0</xdr:rowOff>
    </xdr:to>
    <xdr:sp macro="" textlink="">
      <xdr:nvSpPr>
        <xdr:cNvPr id="88" name="Text Box 9"/>
        <xdr:cNvSpPr txBox="1">
          <a:spLocks noChangeArrowheads="1"/>
        </xdr:cNvSpPr>
      </xdr:nvSpPr>
      <xdr:spPr bwMode="auto">
        <a:xfrm>
          <a:off x="0" y="181641750"/>
          <a:ext cx="6667500"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0</xdr:colOff>
      <xdr:row>1231</xdr:row>
      <xdr:rowOff>0</xdr:rowOff>
    </xdr:from>
    <xdr:to>
      <xdr:col>8</xdr:col>
      <xdr:colOff>0</xdr:colOff>
      <xdr:row>1235</xdr:row>
      <xdr:rowOff>40400</xdr:rowOff>
    </xdr:to>
    <xdr:sp macro="" textlink="">
      <xdr:nvSpPr>
        <xdr:cNvPr id="89" name="Text Box 10"/>
        <xdr:cNvSpPr txBox="1">
          <a:spLocks noChangeArrowheads="1"/>
        </xdr:cNvSpPr>
      </xdr:nvSpPr>
      <xdr:spPr bwMode="auto">
        <a:xfrm>
          <a:off x="0" y="177850800"/>
          <a:ext cx="6667500" cy="6119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1" u="none" strike="noStrike" baseline="0">
              <a:solidFill>
                <a:srgbClr val="000000"/>
              </a:solidFill>
              <a:latin typeface="Arial"/>
              <a:cs typeface="Arial"/>
            </a:rPr>
            <a:t>Stadtentwicklung allgemein: </a:t>
          </a:r>
          <a:r>
            <a:rPr lang="de-CH" sz="800" b="0" i="0" u="none" strike="noStrike" baseline="0">
              <a:solidFill>
                <a:srgbClr val="000000"/>
              </a:solidFill>
              <a:latin typeface="Arial"/>
              <a:cs typeface="Arial"/>
            </a:rPr>
            <a:t>Behörden und Dienststellen Stadt- und Kantonsverwaltung, Regionsgemeinden, Wirtschaft, Verbände, Quartierorganisationen. </a:t>
          </a:r>
          <a:r>
            <a:rPr lang="de-CH" sz="800" b="0" i="1" u="none" strike="noStrike" baseline="0">
              <a:solidFill>
                <a:srgbClr val="000000"/>
              </a:solidFill>
              <a:latin typeface="Arial"/>
              <a:cs typeface="Arial"/>
            </a:rPr>
            <a:t>Wohnen: </a:t>
          </a:r>
          <a:r>
            <a:rPr lang="de-CH" sz="800" b="0" i="0" u="none" strike="noStrike" baseline="0">
              <a:solidFill>
                <a:srgbClr val="000000"/>
              </a:solidFill>
              <a:latin typeface="Arial"/>
              <a:cs typeface="Arial"/>
            </a:rPr>
            <a:t>u.a. (potenzielle) Investorinnen und Investoren, Bauwillige, Dienststellen Stadtverwaltung und anderer öffentlicher Verwaltungen, Fachkommissionen, Öffentlichkeit.</a:t>
          </a:r>
          <a:r>
            <a:rPr lang="de-CH" sz="800" b="0" i="1" u="none" strike="noStrike" baseline="0">
              <a:solidFill>
                <a:srgbClr val="000000"/>
              </a:solidFill>
              <a:latin typeface="Arial"/>
              <a:cs typeface="Arial"/>
            </a:rPr>
            <a:t> Aussenbeziehungen: </a:t>
          </a:r>
          <a:r>
            <a:rPr lang="de-CH" sz="800" b="0" i="0" u="none" strike="noStrike" baseline="0">
              <a:solidFill>
                <a:srgbClr val="000000"/>
              </a:solidFill>
              <a:latin typeface="Arial"/>
              <a:cs typeface="Arial"/>
            </a:rPr>
            <a:t>Städtische, regionale und nationale Politik und Verwaltung, Verbände und Organisationen sowie internationale Institutionen. </a:t>
          </a:r>
          <a:r>
            <a:rPr lang="de-CH" sz="800" b="0" i="1" u="none" strike="noStrike" baseline="0">
              <a:solidFill>
                <a:srgbClr val="000000"/>
              </a:solidFill>
              <a:latin typeface="Arial"/>
              <a:cs typeface="Arial"/>
            </a:rPr>
            <a:t>Statistik:</a:t>
          </a:r>
          <a:r>
            <a:rPr lang="de-CH" sz="800" b="0" i="0" u="none" strike="noStrike" baseline="0">
              <a:solidFill>
                <a:srgbClr val="000000"/>
              </a:solidFill>
              <a:latin typeface="Arial"/>
              <a:cs typeface="Arial"/>
            </a:rPr>
            <a:t> u.a. Statistikämter anderer Verwaltungen, Dienststellen Stadtverwaltung, Öffentlichkeit.</a:t>
          </a:r>
        </a:p>
      </xdr:txBody>
    </xdr:sp>
    <xdr:clientData/>
  </xdr:twoCellAnchor>
  <xdr:twoCellAnchor>
    <xdr:from>
      <xdr:col>0</xdr:col>
      <xdr:colOff>0</xdr:colOff>
      <xdr:row>1205</xdr:row>
      <xdr:rowOff>0</xdr:rowOff>
    </xdr:from>
    <xdr:to>
      <xdr:col>8</xdr:col>
      <xdr:colOff>0</xdr:colOff>
      <xdr:row>1210</xdr:row>
      <xdr:rowOff>7629</xdr:rowOff>
    </xdr:to>
    <xdr:sp macro="" textlink="">
      <xdr:nvSpPr>
        <xdr:cNvPr id="90" name="Text Box 11"/>
        <xdr:cNvSpPr txBox="1">
          <a:spLocks noChangeArrowheads="1"/>
        </xdr:cNvSpPr>
      </xdr:nvSpPr>
      <xdr:spPr bwMode="auto">
        <a:xfrm>
          <a:off x="0" y="172878750"/>
          <a:ext cx="6667500" cy="72200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Die Abteilung Stadtentwicklung erarbeitet Grundlagen und Konzepte und setzt Massnahmen um, die der ganzheitlichen Stadtentwicklung dienen. Ihr obliegen die Erarbeitung, die Umsetzung und das Controlling der Legislaturrichtlinien. Sie unterstützt den Gemeinderat bei der Erreichung der wohnbaupolitischen Ziele und sie trägt dazu bei, dass die Position von Bern als Politzentrum schweizweit und international gestärkt wird. Sie organisiert und analysiert die Bevölkerungsbefragung, die Hinweise auf die Erreichung einzelner Legislaturziele gibt.</a:t>
          </a:r>
        </a:p>
        <a:p>
          <a:pPr algn="l" rtl="0">
            <a:defRPr sz="1000"/>
          </a:pPr>
          <a:endParaRPr lang="de-CH" sz="800" b="0" i="0" u="none" strike="noStrike" baseline="0">
            <a:solidFill>
              <a:srgbClr val="000000"/>
            </a:solidFill>
            <a:latin typeface="Arial"/>
            <a:cs typeface="Arial"/>
          </a:endParaRPr>
        </a:p>
        <a:p>
          <a:pPr algn="l" rtl="0">
            <a:defRPr sz="1000"/>
          </a:pPr>
          <a:endParaRPr lang="de-CH" sz="800" b="0" i="0" u="none" strike="noStrike" baseline="0">
            <a:solidFill>
              <a:srgbClr val="000000"/>
            </a:solidFill>
            <a:latin typeface="Arial"/>
            <a:cs typeface="Arial"/>
          </a:endParaRPr>
        </a:p>
      </xdr:txBody>
    </xdr:sp>
    <xdr:clientData/>
  </xdr:twoCellAnchor>
  <xdr:twoCellAnchor>
    <xdr:from>
      <xdr:col>0</xdr:col>
      <xdr:colOff>15875</xdr:colOff>
      <xdr:row>1222</xdr:row>
      <xdr:rowOff>55244</xdr:rowOff>
    </xdr:from>
    <xdr:to>
      <xdr:col>8</xdr:col>
      <xdr:colOff>0</xdr:colOff>
      <xdr:row>1229</xdr:row>
      <xdr:rowOff>0</xdr:rowOff>
    </xdr:to>
    <xdr:sp macro="" textlink="">
      <xdr:nvSpPr>
        <xdr:cNvPr id="91" name="Textbox 6"/>
        <xdr:cNvSpPr txBox="1"/>
      </xdr:nvSpPr>
      <xdr:spPr>
        <a:xfrm>
          <a:off x="15875" y="176572544"/>
          <a:ext cx="6642100" cy="1021081"/>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rtl="0">
            <a:defRPr sz="1000"/>
          </a:pPr>
          <a:r>
            <a:rPr lang="de-CH" sz="800" b="0" i="0" u="none" strike="noStrike" baseline="0">
              <a:solidFill>
                <a:srgbClr val="000000"/>
              </a:solidFill>
              <a:latin typeface="Arial"/>
              <a:ea typeface="+mn-ea"/>
              <a:cs typeface="Arial"/>
            </a:rPr>
            <a:t>Der Sachaufwand beläuft sich im Voranschlag 2012 auf rund 430'000 Franken. Darin enthalten sind Fr. 20'000 Franken für den  Schlussbericht zu den Legislaturrichtlinien 2009-2012. 2013 wird derselbe Betrag für die Erarbeitung der Legislaturrichtlinien 2013-2016 eingesetzt. 2016 wird der Betrag für den Schlussbericht zu den Legislaturrichtlinien 2013-2016 benötigt. </a:t>
          </a:r>
        </a:p>
        <a:p>
          <a:pPr marL="0" indent="0" algn="l" rtl="0">
            <a:defRPr sz="1000"/>
          </a:pPr>
          <a:endParaRPr lang="de-CH" sz="800" b="0" i="0" u="none" strike="noStrike" baseline="0">
            <a:solidFill>
              <a:srgbClr val="000000"/>
            </a:solidFill>
            <a:latin typeface="Arial"/>
            <a:ea typeface="+mn-ea"/>
            <a:cs typeface="Arial"/>
          </a:endParaRPr>
        </a:p>
        <a:p>
          <a:pPr marL="0" indent="0" algn="l" rtl="0">
            <a:defRPr sz="1000"/>
          </a:pPr>
          <a:r>
            <a:rPr lang="de-CH" sz="800" b="0" i="0" u="none" strike="noStrike" baseline="0">
              <a:solidFill>
                <a:srgbClr val="000000"/>
              </a:solidFill>
              <a:latin typeface="Arial"/>
              <a:ea typeface="+mn-ea"/>
              <a:cs typeface="Arial"/>
            </a:rPr>
            <a:t>Folgende Veränderungen fallen an:  </a:t>
          </a:r>
        </a:p>
        <a:p>
          <a:pPr marL="0" indent="0" algn="l" rtl="0">
            <a:defRPr sz="1000"/>
          </a:pPr>
          <a:r>
            <a:rPr lang="de-CH" sz="800" b="0" i="0" u="none" strike="noStrike" baseline="0">
              <a:solidFill>
                <a:srgbClr val="000000"/>
              </a:solidFill>
              <a:latin typeface="Arial"/>
              <a:ea typeface="+mn-ea"/>
              <a:cs typeface="Arial"/>
            </a:rPr>
            <a:t>- 2013  Bevölkerungsbefragung +100'000.00 Franken </a:t>
          </a:r>
        </a:p>
        <a:p>
          <a:pPr marL="0" indent="0" algn="l" rtl="0">
            <a:defRPr sz="1000"/>
          </a:pPr>
          <a:r>
            <a:rPr lang="de-CH" sz="800" b="0" i="0" u="none" strike="noStrike" baseline="0">
              <a:solidFill>
                <a:srgbClr val="000000"/>
              </a:solidFill>
              <a:latin typeface="Arial"/>
              <a:ea typeface="+mn-ea"/>
              <a:cs typeface="Arial"/>
            </a:rPr>
            <a:t>- 2015  Bevölkerungsbefragung +100'000.00 Franken </a:t>
          </a:r>
        </a:p>
        <a:p>
          <a:pPr marL="0" indent="0" algn="l" rtl="0">
            <a:defRPr sz="1000"/>
          </a:pPr>
          <a:r>
            <a:rPr lang="de-CH" sz="800" b="0" i="0" u="none" strike="noStrike" baseline="0">
              <a:solidFill>
                <a:srgbClr val="000000"/>
              </a:solidFill>
              <a:latin typeface="Arial"/>
              <a:ea typeface="+mn-ea"/>
              <a:cs typeface="Arial"/>
            </a:rPr>
            <a:t>- Ab 2013 höhere Miete an Stadtbauten +8'000.00 Franken </a:t>
          </a:r>
        </a:p>
      </xdr:txBody>
    </xdr:sp>
    <xdr:clientData/>
  </xdr:twoCellAnchor>
  <xdr:twoCellAnchor>
    <xdr:from>
      <xdr:col>0</xdr:col>
      <xdr:colOff>0</xdr:colOff>
      <xdr:row>1289</xdr:row>
      <xdr:rowOff>0</xdr:rowOff>
    </xdr:from>
    <xdr:to>
      <xdr:col>8</xdr:col>
      <xdr:colOff>0</xdr:colOff>
      <xdr:row>1300</xdr:row>
      <xdr:rowOff>22</xdr:rowOff>
    </xdr:to>
    <xdr:sp macro="" textlink="">
      <xdr:nvSpPr>
        <xdr:cNvPr id="92" name="Text Box 6"/>
        <xdr:cNvSpPr txBox="1">
          <a:spLocks noChangeArrowheads="1"/>
        </xdr:cNvSpPr>
      </xdr:nvSpPr>
      <xdr:spPr bwMode="auto">
        <a:xfrm>
          <a:off x="0" y="186185175"/>
          <a:ext cx="6667500" cy="1428772"/>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Die Anzahl Baugesuche ist seit Jahren auf einem sehr hohen Niveau. Die Baugesuche mit hohen Bausummen und dementspechend hohen Gebühreneinnahmen werden voraussichtlich aufgrund der Wirtschaftlage und der Tatsache, dass die Stadt Bern immer weniger Raum für grosse neue Überbauungen hat, eher abnehmen.</a:t>
          </a:r>
        </a:p>
        <a:p>
          <a:pPr algn="l" rtl="0">
            <a:defRPr sz="1000"/>
          </a:pPr>
          <a:endParaRPr lang="de-CH" sz="800" b="0" i="0" u="none" strike="noStrike" baseline="0">
            <a:solidFill>
              <a:srgbClr val="000000"/>
            </a:solidFill>
            <a:latin typeface="Arial"/>
            <a:cs typeface="Arial"/>
          </a:endParaRPr>
        </a:p>
        <a:p>
          <a:pPr algn="l" rtl="0">
            <a:defRPr sz="1000"/>
          </a:pPr>
          <a:r>
            <a:rPr lang="de-CH" sz="800" b="0" i="0" u="none" strike="noStrike" baseline="0">
              <a:solidFill>
                <a:srgbClr val="000000"/>
              </a:solidFill>
              <a:latin typeface="Arial"/>
              <a:cs typeface="Arial"/>
            </a:rPr>
            <a:t>Porfoliomassnahmen: 150'000.00 Fr. Mehreinnahmen berücksichtigt und fortgeführt, Baugesuchs- und Reklamegesuchsverfahren sowie Anpassung der Teuerung bei den Gebühren. </a:t>
          </a:r>
        </a:p>
      </xdr:txBody>
    </xdr:sp>
    <xdr:clientData/>
  </xdr:twoCellAnchor>
  <xdr:twoCellAnchor>
    <xdr:from>
      <xdr:col>0</xdr:col>
      <xdr:colOff>9525</xdr:colOff>
      <xdr:row>1301</xdr:row>
      <xdr:rowOff>104775</xdr:rowOff>
    </xdr:from>
    <xdr:to>
      <xdr:col>8</xdr:col>
      <xdr:colOff>0</xdr:colOff>
      <xdr:row>1304</xdr:row>
      <xdr:rowOff>79375</xdr:rowOff>
    </xdr:to>
    <xdr:sp macro="" textlink="">
      <xdr:nvSpPr>
        <xdr:cNvPr id="93" name="Text Box 7"/>
        <xdr:cNvSpPr txBox="1">
          <a:spLocks noChangeArrowheads="1"/>
        </xdr:cNvSpPr>
      </xdr:nvSpPr>
      <xdr:spPr bwMode="auto">
        <a:xfrm>
          <a:off x="9525" y="187861575"/>
          <a:ext cx="6661779" cy="3746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1330</xdr:row>
      <xdr:rowOff>0</xdr:rowOff>
    </xdr:from>
    <xdr:to>
      <xdr:col>8</xdr:col>
      <xdr:colOff>0</xdr:colOff>
      <xdr:row>1333</xdr:row>
      <xdr:rowOff>0</xdr:rowOff>
    </xdr:to>
    <xdr:sp macro="" textlink="">
      <xdr:nvSpPr>
        <xdr:cNvPr id="94" name="Text Box 9"/>
        <xdr:cNvSpPr txBox="1">
          <a:spLocks noChangeArrowheads="1"/>
        </xdr:cNvSpPr>
      </xdr:nvSpPr>
      <xdr:spPr bwMode="auto">
        <a:xfrm>
          <a:off x="0" y="192100200"/>
          <a:ext cx="6667500"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Anpassung Bauinspektorats-Software</a:t>
          </a:r>
        </a:p>
      </xdr:txBody>
    </xdr:sp>
    <xdr:clientData/>
  </xdr:twoCellAnchor>
  <xdr:twoCellAnchor>
    <xdr:from>
      <xdr:col>0</xdr:col>
      <xdr:colOff>0</xdr:colOff>
      <xdr:row>1306</xdr:row>
      <xdr:rowOff>0</xdr:rowOff>
    </xdr:from>
    <xdr:to>
      <xdr:col>8</xdr:col>
      <xdr:colOff>0</xdr:colOff>
      <xdr:row>1308</xdr:row>
      <xdr:rowOff>0</xdr:rowOff>
    </xdr:to>
    <xdr:sp macro="" textlink="">
      <xdr:nvSpPr>
        <xdr:cNvPr id="95" name="Text Box 10"/>
        <xdr:cNvSpPr txBox="1">
          <a:spLocks noChangeArrowheads="1"/>
        </xdr:cNvSpPr>
      </xdr:nvSpPr>
      <xdr:spPr bwMode="auto">
        <a:xfrm>
          <a:off x="0" y="188566425"/>
          <a:ext cx="6667500" cy="3905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Externe: Baugesuchsstellende, Architektinnen und Architekten, Grundeigentümerinnen und -eigentümer sowie Bauherrschaften. Interne: Dienststellen aus der Stadtverwaltung (GS, SPA, VP, DPF, AfU, TAB)</a:t>
          </a:r>
        </a:p>
      </xdr:txBody>
    </xdr:sp>
    <xdr:clientData/>
  </xdr:twoCellAnchor>
  <xdr:twoCellAnchor>
    <xdr:from>
      <xdr:col>0</xdr:col>
      <xdr:colOff>0</xdr:colOff>
      <xdr:row>1283</xdr:row>
      <xdr:rowOff>0</xdr:rowOff>
    </xdr:from>
    <xdr:to>
      <xdr:col>8</xdr:col>
      <xdr:colOff>0</xdr:colOff>
      <xdr:row>1287</xdr:row>
      <xdr:rowOff>0</xdr:rowOff>
    </xdr:to>
    <xdr:sp macro="" textlink="">
      <xdr:nvSpPr>
        <xdr:cNvPr id="96" name="Text Box 11"/>
        <xdr:cNvSpPr txBox="1">
          <a:spLocks noChangeArrowheads="1"/>
        </xdr:cNvSpPr>
      </xdr:nvSpPr>
      <xdr:spPr bwMode="auto">
        <a:xfrm>
          <a:off x="0" y="185213625"/>
          <a:ext cx="6667500" cy="5715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Aufgrund der Massnahmen zur strategischen Aufgabenüberprüfung zur Haushaltsstabilisierung sind ab 2013 Fr. 135'000.00 mehr an Baubewilligungsgebühren einzunehmen. Die Einnahmen sind abhängig von der Anzahl und der Grösse der eingegangenen Baugesuche und können durch das Bauinspektorat nicht beeinflusst werden. </a:t>
          </a:r>
        </a:p>
      </xdr:txBody>
    </xdr:sp>
    <xdr:clientData/>
  </xdr:twoCellAnchor>
  <xdr:twoCellAnchor>
    <xdr:from>
      <xdr:col>0</xdr:col>
      <xdr:colOff>0</xdr:colOff>
      <xdr:row>1361</xdr:row>
      <xdr:rowOff>0</xdr:rowOff>
    </xdr:from>
    <xdr:to>
      <xdr:col>8</xdr:col>
      <xdr:colOff>0</xdr:colOff>
      <xdr:row>1365</xdr:row>
      <xdr:rowOff>0</xdr:rowOff>
    </xdr:to>
    <xdr:sp macro="" textlink="">
      <xdr:nvSpPr>
        <xdr:cNvPr id="97" name="Text Box 6"/>
        <xdr:cNvSpPr txBox="1">
          <a:spLocks noChangeArrowheads="1"/>
        </xdr:cNvSpPr>
      </xdr:nvSpPr>
      <xdr:spPr bwMode="auto">
        <a:xfrm>
          <a:off x="0" y="196500750"/>
          <a:ext cx="6667500" cy="6381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Die systematischen Nutzungskontrollen, insbesondere Umnutzungen von Wohnungen in Büros können mit den bestehenden Mittel nicht durchgeführt werden. In 17'000 Liegenschaften in der Stadt Bern gibt es Wohnungen. Wird jede Kontrolle einer Liegenschaft auch nur mit einer Stunde veranschlagt, müsste ein Mitarbeitende rund 9 Jahre nichts anderes machen als Nutzungskontrolle. Mit der Einstellung eines neuen Sachbearbeiters könnte die Nutzungskontrolle jeder Liegenschaft mit Wohnungen alle 10 Jahre gewährleistet werden.</a:t>
          </a:r>
        </a:p>
      </xdr:txBody>
    </xdr:sp>
    <xdr:clientData/>
  </xdr:twoCellAnchor>
  <xdr:twoCellAnchor>
    <xdr:from>
      <xdr:col>0</xdr:col>
      <xdr:colOff>0</xdr:colOff>
      <xdr:row>1366</xdr:row>
      <xdr:rowOff>142874</xdr:rowOff>
    </xdr:from>
    <xdr:to>
      <xdr:col>8</xdr:col>
      <xdr:colOff>0</xdr:colOff>
      <xdr:row>1371</xdr:row>
      <xdr:rowOff>352424</xdr:rowOff>
    </xdr:to>
    <xdr:sp macro="" textlink="">
      <xdr:nvSpPr>
        <xdr:cNvPr id="98" name="Text Box 7"/>
        <xdr:cNvSpPr txBox="1">
          <a:spLocks noChangeArrowheads="1"/>
        </xdr:cNvSpPr>
      </xdr:nvSpPr>
      <xdr:spPr bwMode="auto">
        <a:xfrm>
          <a:off x="0" y="197396099"/>
          <a:ext cx="6667500" cy="9239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a:lnSpc>
              <a:spcPct val="100000"/>
            </a:lnSpc>
            <a:spcAft>
              <a:spcPts val="0"/>
            </a:spcAft>
          </a:pPr>
          <a:r>
            <a:rPr lang="de-CH" sz="800" b="0" i="0" u="none" strike="noStrike" baseline="0">
              <a:solidFill>
                <a:srgbClr val="000000"/>
              </a:solidFill>
              <a:latin typeface="Arial"/>
              <a:ea typeface="+mn-ea"/>
              <a:cs typeface="Arial"/>
            </a:rPr>
            <a:t>Für die Nutzungkontrolle (illegale Umnutzung von Wohnraum in Geschäftsräume) fehlen die Personalressourcen. Es handelt sich nicht nur um eine gesetzliche Aufgabe der Baukontrolle, sondern auch um eine vom Stadtrat ausdrücklich geforderte  Massnahme (Interfraktionelle Motion GFL/EVP, SP/JUSO: Bestehenden Wohnraum sichern; Am 16. Februar 2006 hat der Stadtrat die Motion erheblich erklärt). Der Gemeinderat im Bericht Wohnstadt Bern 2012 als Handlungsmassnahme (5.5.1) beschlossen, dass die illegalen Umnutzungen von Wohnungen zu erheben sind. Dafür ist der Personalaufwand um 125'000.00 Franken sowie  Fr. 8'000.00 für den Arbeitsplatz (Informatik) zu erhöhen. Diese Kontrolltätigkeit wird keine zusätzlichen Einnahmen generieren.</a:t>
          </a:r>
        </a:p>
        <a:p>
          <a:pPr algn="l" rtl="0">
            <a:lnSpc>
              <a:spcPts val="800"/>
            </a:lnSpc>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1398</xdr:row>
      <xdr:rowOff>0</xdr:rowOff>
    </xdr:from>
    <xdr:to>
      <xdr:col>8</xdr:col>
      <xdr:colOff>0</xdr:colOff>
      <xdr:row>1400</xdr:row>
      <xdr:rowOff>19050</xdr:rowOff>
    </xdr:to>
    <xdr:sp macro="" textlink="">
      <xdr:nvSpPr>
        <xdr:cNvPr id="99" name="Text Box 9"/>
        <xdr:cNvSpPr txBox="1">
          <a:spLocks noChangeArrowheads="1"/>
        </xdr:cNvSpPr>
      </xdr:nvSpPr>
      <xdr:spPr bwMode="auto">
        <a:xfrm>
          <a:off x="0" y="202587225"/>
          <a:ext cx="6667500" cy="3048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0</xdr:colOff>
      <xdr:row>1374</xdr:row>
      <xdr:rowOff>0</xdr:rowOff>
    </xdr:from>
    <xdr:to>
      <xdr:col>8</xdr:col>
      <xdr:colOff>0</xdr:colOff>
      <xdr:row>1376</xdr:row>
      <xdr:rowOff>0</xdr:rowOff>
    </xdr:to>
    <xdr:sp macro="" textlink="">
      <xdr:nvSpPr>
        <xdr:cNvPr id="100" name="Text Box 10"/>
        <xdr:cNvSpPr txBox="1">
          <a:spLocks noChangeArrowheads="1"/>
        </xdr:cNvSpPr>
      </xdr:nvSpPr>
      <xdr:spPr bwMode="auto">
        <a:xfrm>
          <a:off x="0" y="198577200"/>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Baugesuchsstellende, Grundeigentümerinnen und Grundeigentümer, Bauherrschaften. </a:t>
          </a:r>
        </a:p>
      </xdr:txBody>
    </xdr:sp>
    <xdr:clientData/>
  </xdr:twoCellAnchor>
  <xdr:twoCellAnchor>
    <xdr:from>
      <xdr:col>0</xdr:col>
      <xdr:colOff>0</xdr:colOff>
      <xdr:row>1353</xdr:row>
      <xdr:rowOff>0</xdr:rowOff>
    </xdr:from>
    <xdr:to>
      <xdr:col>8</xdr:col>
      <xdr:colOff>0</xdr:colOff>
      <xdr:row>1357</xdr:row>
      <xdr:rowOff>87740</xdr:rowOff>
    </xdr:to>
    <xdr:sp macro="" textlink="">
      <xdr:nvSpPr>
        <xdr:cNvPr id="101" name="Text Box 11"/>
        <xdr:cNvSpPr txBox="1">
          <a:spLocks noChangeArrowheads="1"/>
        </xdr:cNvSpPr>
      </xdr:nvSpPr>
      <xdr:spPr bwMode="auto">
        <a:xfrm>
          <a:off x="0" y="195243450"/>
          <a:ext cx="6667500" cy="65924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Unverändert</a:t>
          </a:r>
        </a:p>
      </xdr:txBody>
    </xdr:sp>
    <xdr:clientData/>
  </xdr:twoCellAnchor>
  <xdr:twoCellAnchor>
    <xdr:from>
      <xdr:col>0</xdr:col>
      <xdr:colOff>0</xdr:colOff>
      <xdr:row>1430</xdr:row>
      <xdr:rowOff>0</xdr:rowOff>
    </xdr:from>
    <xdr:to>
      <xdr:col>8</xdr:col>
      <xdr:colOff>0</xdr:colOff>
      <xdr:row>1434</xdr:row>
      <xdr:rowOff>0</xdr:rowOff>
    </xdr:to>
    <xdr:sp macro="" textlink="">
      <xdr:nvSpPr>
        <xdr:cNvPr id="102" name="Text Box 6"/>
        <xdr:cNvSpPr txBox="1">
          <a:spLocks noChangeArrowheads="1"/>
        </xdr:cNvSpPr>
      </xdr:nvSpPr>
      <xdr:spPr bwMode="auto">
        <a:xfrm>
          <a:off x="0" y="207130650"/>
          <a:ext cx="6667500" cy="5715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Die Einnahmen aus den Verkäufen im Archiv des Bauinspektorats gehen aufgrund der angebotenen Dienstleistungen auf der Homepage der Stadt Bern (Nutzungszonenplan, Bauordnung etc.) laufend zurück.</a:t>
          </a:r>
        </a:p>
      </xdr:txBody>
    </xdr:sp>
    <xdr:clientData/>
  </xdr:twoCellAnchor>
  <xdr:twoCellAnchor>
    <xdr:from>
      <xdr:col>0</xdr:col>
      <xdr:colOff>0</xdr:colOff>
      <xdr:row>1436</xdr:row>
      <xdr:rowOff>0</xdr:rowOff>
    </xdr:from>
    <xdr:to>
      <xdr:col>8</xdr:col>
      <xdr:colOff>0</xdr:colOff>
      <xdr:row>1441</xdr:row>
      <xdr:rowOff>19050</xdr:rowOff>
    </xdr:to>
    <xdr:sp macro="" textlink="">
      <xdr:nvSpPr>
        <xdr:cNvPr id="103" name="Text Box 7"/>
        <xdr:cNvSpPr txBox="1">
          <a:spLocks noChangeArrowheads="1"/>
        </xdr:cNvSpPr>
      </xdr:nvSpPr>
      <xdr:spPr bwMode="auto">
        <a:xfrm>
          <a:off x="0" y="207959325"/>
          <a:ext cx="6667500" cy="733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1467</xdr:row>
      <xdr:rowOff>0</xdr:rowOff>
    </xdr:from>
    <xdr:to>
      <xdr:col>8</xdr:col>
      <xdr:colOff>0</xdr:colOff>
      <xdr:row>1470</xdr:row>
      <xdr:rowOff>0</xdr:rowOff>
    </xdr:to>
    <xdr:sp macro="" textlink="">
      <xdr:nvSpPr>
        <xdr:cNvPr id="104" name="Text Box 9"/>
        <xdr:cNvSpPr txBox="1">
          <a:spLocks noChangeArrowheads="1"/>
        </xdr:cNvSpPr>
      </xdr:nvSpPr>
      <xdr:spPr bwMode="auto">
        <a:xfrm>
          <a:off x="0" y="212359875"/>
          <a:ext cx="6667500"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0</xdr:colOff>
      <xdr:row>1443</xdr:row>
      <xdr:rowOff>0</xdr:rowOff>
    </xdr:from>
    <xdr:to>
      <xdr:col>8</xdr:col>
      <xdr:colOff>0</xdr:colOff>
      <xdr:row>1445</xdr:row>
      <xdr:rowOff>0</xdr:rowOff>
    </xdr:to>
    <xdr:sp macro="" textlink="">
      <xdr:nvSpPr>
        <xdr:cNvPr id="105" name="Text Box 10"/>
        <xdr:cNvSpPr txBox="1">
          <a:spLocks noChangeArrowheads="1"/>
        </xdr:cNvSpPr>
      </xdr:nvSpPr>
      <xdr:spPr bwMode="auto">
        <a:xfrm>
          <a:off x="0" y="208930875"/>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Baugesuchsstellende, Architektinnen und Architekten, Grundeigentümerinnen und Grundeigentümer, Bauherrschaften. </a:t>
          </a:r>
        </a:p>
      </xdr:txBody>
    </xdr:sp>
    <xdr:clientData/>
  </xdr:twoCellAnchor>
  <xdr:twoCellAnchor>
    <xdr:from>
      <xdr:col>0</xdr:col>
      <xdr:colOff>0</xdr:colOff>
      <xdr:row>1422</xdr:row>
      <xdr:rowOff>0</xdr:rowOff>
    </xdr:from>
    <xdr:to>
      <xdr:col>8</xdr:col>
      <xdr:colOff>0</xdr:colOff>
      <xdr:row>1428</xdr:row>
      <xdr:rowOff>0</xdr:rowOff>
    </xdr:to>
    <xdr:sp macro="" textlink="">
      <xdr:nvSpPr>
        <xdr:cNvPr id="106" name="Text Box 11"/>
        <xdr:cNvSpPr txBox="1">
          <a:spLocks noChangeArrowheads="1"/>
        </xdr:cNvSpPr>
      </xdr:nvSpPr>
      <xdr:spPr bwMode="auto">
        <a:xfrm>
          <a:off x="0" y="205873350"/>
          <a:ext cx="6667500" cy="8572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0</xdr:colOff>
      <xdr:row>1505</xdr:row>
      <xdr:rowOff>0</xdr:rowOff>
    </xdr:from>
    <xdr:to>
      <xdr:col>8</xdr:col>
      <xdr:colOff>0</xdr:colOff>
      <xdr:row>1512</xdr:row>
      <xdr:rowOff>119588</xdr:rowOff>
    </xdr:to>
    <xdr:sp macro="" textlink="">
      <xdr:nvSpPr>
        <xdr:cNvPr id="107" name="Text Box 6"/>
        <xdr:cNvSpPr txBox="1">
          <a:spLocks noChangeArrowheads="1"/>
        </xdr:cNvSpPr>
      </xdr:nvSpPr>
      <xdr:spPr bwMode="auto">
        <a:xfrm>
          <a:off x="0" y="217836750"/>
          <a:ext cx="6667500" cy="111971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Die übergeordneten und langfristigen Zielsetzungen sind unverändert. Das Gesamtkonzept Bahnhof Bern mit erheblicher Kapazitätssteigerung ist im Juli 2011 beschlossen worden. Die Projekte für die Engpassbeseitigung im Nationalstrassennetz sind in der Konzeptphase und zeigen grosse Potenziale zur Stadtreparatur. Die Mitwirkung des Regionalen Gesamtverkehrs- und Siedlungskonzepts ist abgeschlossen. Entsprechende Wachstumserwartungen sind publik. Der Anspruchsdruck der Bevölkerung an den öffentlichen Raum nimmt zu. Generell hält der Wachstumsdruck Siedlung und Verkehr unvermindert an. Das Stadtplanungsamt müsste sich dringend der langfristigen Planung (Revision STEK, Stadterweiterung, insbesondere langfristige Entwicklung der Wohnstadt Bern sowie Schlüsselprojekten im Infrastrukturbereich) annehmen. </a:t>
          </a:r>
        </a:p>
        <a:p>
          <a:pPr algn="l" rtl="0">
            <a:defRPr sz="1000"/>
          </a:pPr>
          <a:r>
            <a:rPr lang="de-CH" sz="800" b="0" i="0" u="none" strike="noStrike" baseline="0">
              <a:solidFill>
                <a:srgbClr val="000000"/>
              </a:solidFill>
              <a:latin typeface="Arial"/>
              <a:cs typeface="Arial"/>
            </a:rPr>
            <a:t>Die Portfolio-Massnahmen im Umfang von Fr. 60'000.00 werden weitergeführt und sind eingerechnet. </a:t>
          </a:r>
        </a:p>
      </xdr:txBody>
    </xdr:sp>
    <xdr:clientData/>
  </xdr:twoCellAnchor>
  <xdr:twoCellAnchor>
    <xdr:from>
      <xdr:col>0</xdr:col>
      <xdr:colOff>19050</xdr:colOff>
      <xdr:row>1521</xdr:row>
      <xdr:rowOff>34290</xdr:rowOff>
    </xdr:from>
    <xdr:to>
      <xdr:col>8</xdr:col>
      <xdr:colOff>0</xdr:colOff>
      <xdr:row>1524</xdr:row>
      <xdr:rowOff>85804</xdr:rowOff>
    </xdr:to>
    <xdr:sp macro="" textlink="">
      <xdr:nvSpPr>
        <xdr:cNvPr id="108" name="Text Box 7"/>
        <xdr:cNvSpPr txBox="1">
          <a:spLocks noChangeArrowheads="1"/>
        </xdr:cNvSpPr>
      </xdr:nvSpPr>
      <xdr:spPr bwMode="auto">
        <a:xfrm>
          <a:off x="19050" y="219947490"/>
          <a:ext cx="6638925" cy="880189"/>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Das Stadtplanungsamt beabsichtigt, künftig vermehrt Dritte für Dienstleistungen zu beauftragen und die Finanzierung wenn möglich über Investitionskredite sicherzustellen. Damit sollen bestimmte Projekte vorangetrieben werden. Da die entsprechenden Mittel in der Investitionsplanung noch nicht angemeldet sind, werden im Sinne einer Überbrückung Mittel in der laufenden Rechnung 2014 und 2015 eingestellt. </a:t>
          </a:r>
        </a:p>
        <a:p>
          <a:pPr algn="l" rtl="0">
            <a:defRPr sz="1000"/>
          </a:pPr>
          <a:r>
            <a:rPr lang="de-CH" sz="800" b="0" i="0" u="none" strike="noStrike" baseline="0">
              <a:solidFill>
                <a:srgbClr val="000000"/>
              </a:solidFill>
              <a:latin typeface="Arial"/>
              <a:cs typeface="Arial"/>
            </a:rPr>
            <a:t>Für den Neudruck verschiedener Grundordnungsprodukte (Nutzungszonenplan, Lärmempfindlichkeitsstufenplan, Bauklassenplan und Baurodnung) wurde ab 2014 für drei Jahre ein zusätzlicher Betrag (von 10 000.00 Franken) eingeplant.</a:t>
          </a:r>
        </a:p>
      </xdr:txBody>
    </xdr:sp>
    <xdr:clientData/>
  </xdr:twoCellAnchor>
  <xdr:twoCellAnchor>
    <xdr:from>
      <xdr:col>0</xdr:col>
      <xdr:colOff>0</xdr:colOff>
      <xdr:row>1554</xdr:row>
      <xdr:rowOff>34290</xdr:rowOff>
    </xdr:from>
    <xdr:to>
      <xdr:col>8</xdr:col>
      <xdr:colOff>0</xdr:colOff>
      <xdr:row>1566</xdr:row>
      <xdr:rowOff>9525</xdr:rowOff>
    </xdr:to>
    <xdr:sp macro="" textlink="">
      <xdr:nvSpPr>
        <xdr:cNvPr id="109" name="Text Box 9"/>
        <xdr:cNvSpPr txBox="1">
          <a:spLocks noChangeArrowheads="1"/>
        </xdr:cNvSpPr>
      </xdr:nvSpPr>
      <xdr:spPr bwMode="auto">
        <a:xfrm>
          <a:off x="0" y="224910015"/>
          <a:ext cx="6667500" cy="172783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Investitionskredit Nr. I170Z010, Quartierpläne</a:t>
          </a:r>
        </a:p>
        <a:p>
          <a:pPr algn="l" rtl="0">
            <a:defRPr sz="1000"/>
          </a:pPr>
          <a:r>
            <a:rPr lang="de-CH" sz="800" b="0" i="0" u="none" strike="noStrike" baseline="0">
              <a:solidFill>
                <a:srgbClr val="000000"/>
              </a:solidFill>
              <a:latin typeface="Arial"/>
              <a:cs typeface="Arial"/>
            </a:rPr>
            <a:t>Investitionskredit Nr. I170Z009, Überbauungsordnungen</a:t>
          </a:r>
        </a:p>
        <a:p>
          <a:pPr algn="l" rtl="0">
            <a:defRPr sz="1000"/>
          </a:pPr>
          <a:r>
            <a:rPr lang="de-CH" sz="800" b="0" i="0" u="none" strike="noStrike" baseline="0">
              <a:solidFill>
                <a:srgbClr val="000000"/>
              </a:solidFill>
              <a:latin typeface="Arial"/>
              <a:cs typeface="Arial"/>
            </a:rPr>
            <a:t>Investitionskredit Nr. I170-037, Folgearbeiten STEK</a:t>
          </a:r>
        </a:p>
        <a:p>
          <a:pPr algn="l" rtl="0">
            <a:defRPr sz="1000"/>
          </a:pPr>
          <a:r>
            <a:rPr lang="de-CH" sz="800" b="0" i="0" u="none" strike="noStrike" baseline="0">
              <a:solidFill>
                <a:srgbClr val="000000"/>
              </a:solidFill>
              <a:latin typeface="Arial"/>
              <a:cs typeface="Arial"/>
            </a:rPr>
            <a:t>Investitionskredit Nr. I170-044, Planung Gaswerkareal, Neugestaltung</a:t>
          </a:r>
        </a:p>
        <a:p>
          <a:pPr algn="l" rtl="0">
            <a:defRPr sz="1000"/>
          </a:pPr>
          <a:r>
            <a:rPr lang="de-CH" sz="800" b="0" i="0" u="none" strike="noStrike" baseline="0">
              <a:solidFill>
                <a:srgbClr val="000000"/>
              </a:solidFill>
              <a:latin typeface="Arial"/>
              <a:cs typeface="Arial"/>
            </a:rPr>
            <a:t>Investitionskredit Nr. I170-052, Synergiemassnahmen Gestaltung im öffentlichen Raum</a:t>
          </a:r>
        </a:p>
        <a:p>
          <a:pPr algn="l" rtl="0">
            <a:defRPr sz="1000"/>
          </a:pPr>
          <a:r>
            <a:rPr lang="de-CH" sz="800" b="0" i="0" u="none" strike="noStrike" baseline="0">
              <a:solidFill>
                <a:srgbClr val="000000"/>
              </a:solidFill>
              <a:latin typeface="Arial"/>
              <a:cs typeface="Arial"/>
            </a:rPr>
            <a:t>Investitionskredit Nr. I1700010, Rahmenkredit Freiraumplanung</a:t>
          </a:r>
        </a:p>
        <a:p>
          <a:pPr algn="l" rtl="0">
            <a:defRPr sz="1000"/>
          </a:pPr>
          <a:r>
            <a:rPr lang="de-CH" sz="800" b="0" i="0" u="none" strike="noStrike" baseline="0">
              <a:solidFill>
                <a:srgbClr val="000000"/>
              </a:solidFill>
              <a:latin typeface="Arial"/>
              <a:cs typeface="Arial"/>
            </a:rPr>
            <a:t>Investitionskredti Nr. I170Z008, Stadtentwicklung/Arealplanung, Studien</a:t>
          </a:r>
        </a:p>
        <a:p>
          <a:pPr algn="l" rtl="0">
            <a:defRPr sz="1000"/>
          </a:pPr>
          <a:r>
            <a:rPr lang="de-CH" sz="800" b="0" i="0" u="none" strike="noStrike" baseline="0">
              <a:solidFill>
                <a:srgbClr val="000000"/>
              </a:solidFill>
              <a:latin typeface="Arial"/>
              <a:cs typeface="Arial"/>
            </a:rPr>
            <a:t>Investitionskredit Nr. I1700012, Revision Stadtentwicklungskonzept</a:t>
          </a:r>
        </a:p>
        <a:p>
          <a:pPr algn="l" rtl="0">
            <a:defRPr sz="1000"/>
          </a:pPr>
          <a:r>
            <a:rPr lang="de-CH" sz="800" b="0" i="0" u="none" strike="noStrike" baseline="0">
              <a:solidFill>
                <a:srgbClr val="000000"/>
              </a:solidFill>
              <a:latin typeface="Arial"/>
              <a:cs typeface="Arial"/>
            </a:rPr>
            <a:t>Investitionskredit Nr. I1700020, Erneuerung Hochhaus-Siedlung Quartierplanung VI</a:t>
          </a:r>
        </a:p>
        <a:p>
          <a:pPr algn="l" rtl="0">
            <a:defRPr sz="1000"/>
          </a:pPr>
          <a:r>
            <a:rPr lang="de-CH" sz="800" b="0" i="0" u="none" strike="noStrike" baseline="0">
              <a:solidFill>
                <a:srgbClr val="000000"/>
              </a:solidFill>
              <a:latin typeface="Arial"/>
              <a:cs typeface="Arial"/>
            </a:rPr>
            <a:t>Investitionskredit Nr. I1700021, Umnutzung Meinen-Areal</a:t>
          </a:r>
        </a:p>
        <a:p>
          <a:pPr algn="l" rtl="0">
            <a:defRPr sz="1000"/>
          </a:pPr>
          <a:r>
            <a:rPr lang="de-CH" sz="800" b="0" i="0" u="none" strike="noStrike" baseline="0">
              <a:solidFill>
                <a:srgbClr val="000000"/>
              </a:solidFill>
              <a:latin typeface="Arial"/>
              <a:cs typeface="Arial"/>
            </a:rPr>
            <a:t>Investitionskredit Nr. I1700024, Aufwertung / Entwicklung Zentraler Orte Stadtteil III</a:t>
          </a:r>
        </a:p>
        <a:p>
          <a:pPr algn="l" rtl="0">
            <a:defRPr sz="1000"/>
          </a:pPr>
          <a:r>
            <a:rPr lang="de-CH" sz="800" b="0" i="0" u="none" strike="noStrike" baseline="0">
              <a:solidFill>
                <a:srgbClr val="000000"/>
              </a:solidFill>
              <a:latin typeface="Arial"/>
              <a:cs typeface="Arial"/>
            </a:rPr>
            <a:t>Investitiosnkredit Nr. I1700025, Umnutzung Güterstrasse</a:t>
          </a:r>
        </a:p>
        <a:p>
          <a:pPr algn="l" rtl="0">
            <a:defRPr sz="1000"/>
          </a:pPr>
          <a:r>
            <a:rPr lang="de-CH" sz="800" b="0" i="0" u="none" strike="noStrike" baseline="0">
              <a:solidFill>
                <a:srgbClr val="000000"/>
              </a:solidFill>
              <a:latin typeface="Arial"/>
              <a:cs typeface="Arial"/>
            </a:rPr>
            <a:t>Investitionskredit Nr. I1700026, Aareraum Parklandschaft, Teilgebiet Marzili / Sandrain</a:t>
          </a:r>
        </a:p>
        <a:p>
          <a:pPr algn="l" rtl="0">
            <a:defRPr sz="1000"/>
          </a:pPr>
          <a:r>
            <a:rPr lang="de-CH" sz="800" b="0" i="0" u="none" strike="noStrike" baseline="0">
              <a:solidFill>
                <a:srgbClr val="000000"/>
              </a:solidFill>
              <a:latin typeface="Arial"/>
              <a:cs typeface="Arial"/>
            </a:rPr>
            <a:t>Investitionskredt Nr.  I1700031, Schützenmatte-Bollwerk, Planung</a:t>
          </a:r>
        </a:p>
      </xdr:txBody>
    </xdr:sp>
    <xdr:clientData/>
  </xdr:twoCellAnchor>
  <xdr:twoCellAnchor>
    <xdr:from>
      <xdr:col>0</xdr:col>
      <xdr:colOff>0</xdr:colOff>
      <xdr:row>1530</xdr:row>
      <xdr:rowOff>6667</xdr:rowOff>
    </xdr:from>
    <xdr:to>
      <xdr:col>8</xdr:col>
      <xdr:colOff>0</xdr:colOff>
      <xdr:row>1532</xdr:row>
      <xdr:rowOff>7893</xdr:rowOff>
    </xdr:to>
    <xdr:sp macro="" textlink="">
      <xdr:nvSpPr>
        <xdr:cNvPr id="110" name="Text Box 10"/>
        <xdr:cNvSpPr txBox="1">
          <a:spLocks noChangeArrowheads="1"/>
        </xdr:cNvSpPr>
      </xdr:nvSpPr>
      <xdr:spPr bwMode="auto">
        <a:xfrm>
          <a:off x="0" y="221491492"/>
          <a:ext cx="6667500" cy="248876"/>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Bürgerinnen und Bürger, Parlamentarierinnen und Parlamentarier, Bauherrschaften, Investorinnen und Investoren, Interessenvertretungen</a:t>
          </a:r>
        </a:p>
      </xdr:txBody>
    </xdr:sp>
    <xdr:clientData/>
  </xdr:twoCellAnchor>
  <xdr:twoCellAnchor>
    <xdr:from>
      <xdr:col>0</xdr:col>
      <xdr:colOff>0</xdr:colOff>
      <xdr:row>1492</xdr:row>
      <xdr:rowOff>0</xdr:rowOff>
    </xdr:from>
    <xdr:to>
      <xdr:col>8</xdr:col>
      <xdr:colOff>0</xdr:colOff>
      <xdr:row>1498</xdr:row>
      <xdr:rowOff>114313</xdr:rowOff>
    </xdr:to>
    <xdr:sp macro="" textlink="">
      <xdr:nvSpPr>
        <xdr:cNvPr id="111" name="Text Box 11"/>
        <xdr:cNvSpPr txBox="1">
          <a:spLocks noChangeArrowheads="1"/>
        </xdr:cNvSpPr>
      </xdr:nvSpPr>
      <xdr:spPr bwMode="auto">
        <a:xfrm>
          <a:off x="0" y="215846025"/>
          <a:ext cx="6667500" cy="97156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Die stadtplanerischen Entwicklungsziele können im Rahmen der verfügbaren Ressourcen nur teilweise und verzögert erarbeitet werden. Fokussiert wird auf die laufenden und nicht beeinflussbaren Grundaufgaben sowie die Dienstleistungen zur Entwicklung anstehender Arealentwicklungen und Bauvorhaben. Diese beanspruchen den grössten Teil der  vorhandenen Kapazitäten. Der Schwerpunkt der steuerbaren Leistungen liegt beim Wohnungsbau. Kreditanträge und Start Überprüfung STEK 95, Stadterweiterung ausserhalb des Stadtkörpers und Konzept Aufwertung Bollwerk/Schützenmatt sind für 2012 geplant. Die Prüfung Standort 50m-Schwimmhalle und Event-Halle läuft. Die Begleitung Vorprojekt Kapazitätsausbau 1. Etappe Bahnhof und Tram Region Bern ist gewährleistet. </a:t>
          </a:r>
        </a:p>
        <a:p>
          <a:pPr algn="l" rtl="0">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1595</xdr:row>
      <xdr:rowOff>0</xdr:rowOff>
    </xdr:from>
    <xdr:to>
      <xdr:col>8</xdr:col>
      <xdr:colOff>0</xdr:colOff>
      <xdr:row>1599</xdr:row>
      <xdr:rowOff>0</xdr:rowOff>
    </xdr:to>
    <xdr:sp macro="" textlink="">
      <xdr:nvSpPr>
        <xdr:cNvPr id="112" name="Text Box 6"/>
        <xdr:cNvSpPr txBox="1">
          <a:spLocks noChangeArrowheads="1"/>
        </xdr:cNvSpPr>
      </xdr:nvSpPr>
      <xdr:spPr bwMode="auto">
        <a:xfrm>
          <a:off x="0" y="230752650"/>
          <a:ext cx="6667500" cy="5715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a:p>
          <a:pPr algn="l" rtl="0">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1601</xdr:row>
      <xdr:rowOff>0</xdr:rowOff>
    </xdr:from>
    <xdr:to>
      <xdr:col>8</xdr:col>
      <xdr:colOff>0</xdr:colOff>
      <xdr:row>1604</xdr:row>
      <xdr:rowOff>19050</xdr:rowOff>
    </xdr:to>
    <xdr:sp macro="" textlink="">
      <xdr:nvSpPr>
        <xdr:cNvPr id="113" name="Text Box 7"/>
        <xdr:cNvSpPr txBox="1">
          <a:spLocks noChangeArrowheads="1"/>
        </xdr:cNvSpPr>
      </xdr:nvSpPr>
      <xdr:spPr bwMode="auto">
        <a:xfrm>
          <a:off x="0" y="231581325"/>
          <a:ext cx="6667500" cy="4476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1630</xdr:row>
      <xdr:rowOff>0</xdr:rowOff>
    </xdr:from>
    <xdr:to>
      <xdr:col>8</xdr:col>
      <xdr:colOff>0</xdr:colOff>
      <xdr:row>1633</xdr:row>
      <xdr:rowOff>0</xdr:rowOff>
    </xdr:to>
    <xdr:sp macro="" textlink="">
      <xdr:nvSpPr>
        <xdr:cNvPr id="114" name="Text Box 9"/>
        <xdr:cNvSpPr txBox="1">
          <a:spLocks noChangeArrowheads="1"/>
        </xdr:cNvSpPr>
      </xdr:nvSpPr>
      <xdr:spPr bwMode="auto">
        <a:xfrm>
          <a:off x="0" y="235696125"/>
          <a:ext cx="6667500"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1606</xdr:row>
      <xdr:rowOff>0</xdr:rowOff>
    </xdr:from>
    <xdr:to>
      <xdr:col>8</xdr:col>
      <xdr:colOff>0</xdr:colOff>
      <xdr:row>1608</xdr:row>
      <xdr:rowOff>0</xdr:rowOff>
    </xdr:to>
    <xdr:sp macro="" textlink="">
      <xdr:nvSpPr>
        <xdr:cNvPr id="115" name="Text Box 10"/>
        <xdr:cNvSpPr txBox="1">
          <a:spLocks noChangeArrowheads="1"/>
        </xdr:cNvSpPr>
      </xdr:nvSpPr>
      <xdr:spPr bwMode="auto">
        <a:xfrm>
          <a:off x="0" y="232267125"/>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Abteilungen SUE, alle Direktionen Stadtverwaltung, POM, GEF, SR, StaBe, ewb sowie Einwohnerinnen, Einwohner und Besuchende.</a:t>
          </a:r>
        </a:p>
      </xdr:txBody>
    </xdr:sp>
    <xdr:clientData/>
  </xdr:twoCellAnchor>
  <xdr:twoCellAnchor>
    <xdr:from>
      <xdr:col>0</xdr:col>
      <xdr:colOff>0</xdr:colOff>
      <xdr:row>1589</xdr:row>
      <xdr:rowOff>0</xdr:rowOff>
    </xdr:from>
    <xdr:to>
      <xdr:col>8</xdr:col>
      <xdr:colOff>0</xdr:colOff>
      <xdr:row>1592</xdr:row>
      <xdr:rowOff>0</xdr:rowOff>
    </xdr:to>
    <xdr:sp macro="" textlink="">
      <xdr:nvSpPr>
        <xdr:cNvPr id="116" name="Text Box 11"/>
        <xdr:cNvSpPr txBox="1">
          <a:spLocks noChangeArrowheads="1"/>
        </xdr:cNvSpPr>
      </xdr:nvSpPr>
      <xdr:spPr bwMode="auto">
        <a:xfrm>
          <a:off x="0" y="229781100"/>
          <a:ext cx="6667500"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1663</xdr:row>
      <xdr:rowOff>0</xdr:rowOff>
    </xdr:from>
    <xdr:to>
      <xdr:col>8</xdr:col>
      <xdr:colOff>0</xdr:colOff>
      <xdr:row>1666</xdr:row>
      <xdr:rowOff>0</xdr:rowOff>
    </xdr:to>
    <xdr:sp macro="" textlink="">
      <xdr:nvSpPr>
        <xdr:cNvPr id="117" name="Text Box 6"/>
        <xdr:cNvSpPr txBox="1">
          <a:spLocks noChangeArrowheads="1"/>
        </xdr:cNvSpPr>
      </xdr:nvSpPr>
      <xdr:spPr bwMode="auto">
        <a:xfrm>
          <a:off x="0" y="240382425"/>
          <a:ext cx="6667500"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1668</xdr:row>
      <xdr:rowOff>0</xdr:rowOff>
    </xdr:from>
    <xdr:to>
      <xdr:col>8</xdr:col>
      <xdr:colOff>0</xdr:colOff>
      <xdr:row>1671</xdr:row>
      <xdr:rowOff>19050</xdr:rowOff>
    </xdr:to>
    <xdr:sp macro="" textlink="">
      <xdr:nvSpPr>
        <xdr:cNvPr id="118" name="Text Box 7"/>
        <xdr:cNvSpPr txBox="1">
          <a:spLocks noChangeArrowheads="1"/>
        </xdr:cNvSpPr>
      </xdr:nvSpPr>
      <xdr:spPr bwMode="auto">
        <a:xfrm>
          <a:off x="0" y="241068225"/>
          <a:ext cx="6667500" cy="4476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a:p>
          <a:pPr algn="l" rtl="0">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1697</xdr:row>
      <xdr:rowOff>0</xdr:rowOff>
    </xdr:from>
    <xdr:to>
      <xdr:col>8</xdr:col>
      <xdr:colOff>0</xdr:colOff>
      <xdr:row>1700</xdr:row>
      <xdr:rowOff>0</xdr:rowOff>
    </xdr:to>
    <xdr:sp macro="" textlink="">
      <xdr:nvSpPr>
        <xdr:cNvPr id="119" name="Text Box 9"/>
        <xdr:cNvSpPr txBox="1">
          <a:spLocks noChangeArrowheads="1"/>
        </xdr:cNvSpPr>
      </xdr:nvSpPr>
      <xdr:spPr bwMode="auto">
        <a:xfrm>
          <a:off x="0" y="245183025"/>
          <a:ext cx="6667500"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a:p>
          <a:pPr algn="l" rtl="0">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1673</xdr:row>
      <xdr:rowOff>0</xdr:rowOff>
    </xdr:from>
    <xdr:to>
      <xdr:col>8</xdr:col>
      <xdr:colOff>0</xdr:colOff>
      <xdr:row>1675</xdr:row>
      <xdr:rowOff>0</xdr:rowOff>
    </xdr:to>
    <xdr:sp macro="" textlink="">
      <xdr:nvSpPr>
        <xdr:cNvPr id="120" name="Text Box 10"/>
        <xdr:cNvSpPr txBox="1">
          <a:spLocks noChangeArrowheads="1"/>
        </xdr:cNvSpPr>
      </xdr:nvSpPr>
      <xdr:spPr bwMode="auto">
        <a:xfrm>
          <a:off x="0" y="241754025"/>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Abteilungen SUE, FI und FV, PA, StaBe, Tierheim, Einwohnerinnen/Einwohner und Besuchende.</a:t>
          </a:r>
        </a:p>
      </xdr:txBody>
    </xdr:sp>
    <xdr:clientData/>
  </xdr:twoCellAnchor>
  <xdr:twoCellAnchor>
    <xdr:from>
      <xdr:col>0</xdr:col>
      <xdr:colOff>0</xdr:colOff>
      <xdr:row>1658</xdr:row>
      <xdr:rowOff>0</xdr:rowOff>
    </xdr:from>
    <xdr:to>
      <xdr:col>8</xdr:col>
      <xdr:colOff>0</xdr:colOff>
      <xdr:row>1661</xdr:row>
      <xdr:rowOff>0</xdr:rowOff>
    </xdr:to>
    <xdr:sp macro="" textlink="">
      <xdr:nvSpPr>
        <xdr:cNvPr id="121" name="Text Box 11"/>
        <xdr:cNvSpPr txBox="1">
          <a:spLocks noChangeArrowheads="1"/>
        </xdr:cNvSpPr>
      </xdr:nvSpPr>
      <xdr:spPr bwMode="auto">
        <a:xfrm>
          <a:off x="0" y="239553750"/>
          <a:ext cx="6667500"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1727</xdr:row>
      <xdr:rowOff>78105</xdr:rowOff>
    </xdr:from>
    <xdr:to>
      <xdr:col>8</xdr:col>
      <xdr:colOff>0</xdr:colOff>
      <xdr:row>1731</xdr:row>
      <xdr:rowOff>47687</xdr:rowOff>
    </xdr:to>
    <xdr:sp macro="" textlink="">
      <xdr:nvSpPr>
        <xdr:cNvPr id="122" name="Text Box 6"/>
        <xdr:cNvSpPr txBox="1">
          <a:spLocks noChangeArrowheads="1"/>
        </xdr:cNvSpPr>
      </xdr:nvSpPr>
      <xdr:spPr bwMode="auto">
        <a:xfrm>
          <a:off x="0" y="249518805"/>
          <a:ext cx="6667500" cy="541082"/>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Seit dem 1. Januar 2008 verfügt die Stadt über keine eigenen uniformierten Polizistinnen und Polizisten mehr. Sie ist im Bereich der Sicherheits- und Verkehrspolizei nur noch auf strategischer Ebene zuständig und verantwortlich.</a:t>
          </a:r>
        </a:p>
        <a:p>
          <a:pPr algn="l" rtl="0">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1734</xdr:row>
      <xdr:rowOff>0</xdr:rowOff>
    </xdr:from>
    <xdr:to>
      <xdr:col>8</xdr:col>
      <xdr:colOff>0</xdr:colOff>
      <xdr:row>1739</xdr:row>
      <xdr:rowOff>78128</xdr:rowOff>
    </xdr:to>
    <xdr:sp macro="" textlink="">
      <xdr:nvSpPr>
        <xdr:cNvPr id="123" name="Text Box 7"/>
        <xdr:cNvSpPr txBox="1">
          <a:spLocks noChangeArrowheads="1"/>
        </xdr:cNvSpPr>
      </xdr:nvSpPr>
      <xdr:spPr bwMode="auto">
        <a:xfrm>
          <a:off x="0" y="250412250"/>
          <a:ext cx="6667500" cy="79250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Basis für die Pauschalabgeltung an den Kanton bildet der Ressourcenvertrag 2007 mit Fr. 28,3 Mio. Franken. Hinzu kommen die jährlichen Teuerungen gemäss Polizeigesetz Art. 12b). Ab 2012 wird die uniformierte präventive Polizeipräsenz von 72 000 Stunden um 10 000 Stunden erhöht. Ab PJ 2013 erfolgt nochmals eine Erhöhung um weitere 10 000 Stunden. Die Erhöhung der Fusspatrouillenpräsenz der Kantonspolizei ist in einer zusätzlichen Vereinbarung geregelt.</a:t>
          </a:r>
        </a:p>
      </xdr:txBody>
    </xdr:sp>
    <xdr:clientData/>
  </xdr:twoCellAnchor>
  <xdr:twoCellAnchor>
    <xdr:from>
      <xdr:col>0</xdr:col>
      <xdr:colOff>0</xdr:colOff>
      <xdr:row>1766</xdr:row>
      <xdr:rowOff>0</xdr:rowOff>
    </xdr:from>
    <xdr:to>
      <xdr:col>8</xdr:col>
      <xdr:colOff>0</xdr:colOff>
      <xdr:row>1768</xdr:row>
      <xdr:rowOff>0</xdr:rowOff>
    </xdr:to>
    <xdr:sp macro="" textlink="">
      <xdr:nvSpPr>
        <xdr:cNvPr id="124" name="Text Box 9"/>
        <xdr:cNvSpPr txBox="1">
          <a:spLocks noChangeArrowheads="1"/>
        </xdr:cNvSpPr>
      </xdr:nvSpPr>
      <xdr:spPr bwMode="auto">
        <a:xfrm>
          <a:off x="0" y="254955675"/>
          <a:ext cx="6667500" cy="1714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a:p>
          <a:pPr algn="l" rtl="0">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1742</xdr:row>
      <xdr:rowOff>0</xdr:rowOff>
    </xdr:from>
    <xdr:to>
      <xdr:col>8</xdr:col>
      <xdr:colOff>0</xdr:colOff>
      <xdr:row>1744</xdr:row>
      <xdr:rowOff>0</xdr:rowOff>
    </xdr:to>
    <xdr:sp macro="" textlink="">
      <xdr:nvSpPr>
        <xdr:cNvPr id="125" name="Text Box 10"/>
        <xdr:cNvSpPr txBox="1">
          <a:spLocks noChangeArrowheads="1"/>
        </xdr:cNvSpPr>
      </xdr:nvSpPr>
      <xdr:spPr bwMode="auto">
        <a:xfrm>
          <a:off x="0" y="251526675"/>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Einwohnerinnen, Einwohner, Besuchende, Unternehmen und Gewerbe, Behörden</a:t>
          </a:r>
        </a:p>
        <a:p>
          <a:pPr algn="l" rtl="0">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1722</xdr:row>
      <xdr:rowOff>0</xdr:rowOff>
    </xdr:from>
    <xdr:to>
      <xdr:col>8</xdr:col>
      <xdr:colOff>0</xdr:colOff>
      <xdr:row>1725</xdr:row>
      <xdr:rowOff>0</xdr:rowOff>
    </xdr:to>
    <xdr:sp macro="" textlink="">
      <xdr:nvSpPr>
        <xdr:cNvPr id="126" name="Text Box 11"/>
        <xdr:cNvSpPr txBox="1">
          <a:spLocks noChangeArrowheads="1"/>
        </xdr:cNvSpPr>
      </xdr:nvSpPr>
      <xdr:spPr bwMode="auto">
        <a:xfrm>
          <a:off x="0" y="248612025"/>
          <a:ext cx="6667500"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1.2.2.1 Die präventive sichtbare Präsenz von Sicherheitskräften wird ab 2012 und 2013 um je 10 000 Stunden erhöht.</a:t>
          </a:r>
        </a:p>
        <a:p>
          <a:pPr algn="l" rtl="0">
            <a:defRPr sz="1000"/>
          </a:pPr>
          <a:endParaRPr lang="de-CH" sz="800" b="0" i="0" u="none" strike="noStrike" baseline="0">
            <a:solidFill>
              <a:srgbClr val="000000"/>
            </a:solidFill>
            <a:latin typeface="Arial"/>
            <a:cs typeface="Arial"/>
          </a:endParaRPr>
        </a:p>
        <a:p>
          <a:pPr algn="l" rtl="0">
            <a:defRPr sz="1000"/>
          </a:pPr>
          <a:endParaRPr lang="de-CH" sz="800" b="0" i="0" u="none" strike="noStrike" baseline="0">
            <a:solidFill>
              <a:srgbClr val="000000"/>
            </a:solidFill>
            <a:latin typeface="Arial"/>
            <a:cs typeface="Arial"/>
          </a:endParaRPr>
        </a:p>
        <a:p>
          <a:pPr algn="l" rtl="0">
            <a:defRPr sz="1000"/>
          </a:pPr>
          <a:endParaRPr lang="de-CH" sz="800" b="0" i="0" u="none" strike="noStrike" baseline="0">
            <a:solidFill>
              <a:srgbClr val="000000"/>
            </a:solidFill>
            <a:latin typeface="Arial"/>
            <a:cs typeface="Arial"/>
          </a:endParaRPr>
        </a:p>
        <a:p>
          <a:pPr algn="l" rtl="0">
            <a:defRPr sz="1000"/>
          </a:pPr>
          <a:endParaRPr lang="de-CH" sz="800" b="0" i="0" u="none" strike="noStrike" baseline="0">
            <a:solidFill>
              <a:srgbClr val="000000"/>
            </a:solidFill>
            <a:latin typeface="Arial"/>
            <a:cs typeface="Arial"/>
          </a:endParaRPr>
        </a:p>
        <a:p>
          <a:pPr algn="l" rtl="0">
            <a:defRPr sz="1000"/>
          </a:pPr>
          <a:endParaRPr lang="de-CH" sz="800" b="0" i="0" u="none" strike="noStrike" baseline="0">
            <a:solidFill>
              <a:srgbClr val="000000"/>
            </a:solidFill>
            <a:latin typeface="Arial"/>
            <a:cs typeface="Arial"/>
          </a:endParaRPr>
        </a:p>
      </xdr:txBody>
    </xdr:sp>
    <xdr:clientData/>
  </xdr:twoCellAnchor>
  <xdr:twoCellAnchor>
    <xdr:from>
      <xdr:col>0</xdr:col>
      <xdr:colOff>9522</xdr:colOff>
      <xdr:row>1799</xdr:row>
      <xdr:rowOff>70485</xdr:rowOff>
    </xdr:from>
    <xdr:to>
      <xdr:col>8</xdr:col>
      <xdr:colOff>0</xdr:colOff>
      <xdr:row>1802</xdr:row>
      <xdr:rowOff>523919</xdr:rowOff>
    </xdr:to>
    <xdr:sp macro="" textlink="">
      <xdr:nvSpPr>
        <xdr:cNvPr id="127" name="Text Box 6"/>
        <xdr:cNvSpPr txBox="1">
          <a:spLocks noChangeArrowheads="1"/>
        </xdr:cNvSpPr>
      </xdr:nvSpPr>
      <xdr:spPr bwMode="auto">
        <a:xfrm>
          <a:off x="9522" y="259931535"/>
          <a:ext cx="6657977" cy="882059"/>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Die Erneuerung des Labels Energiestadt Gold und die Umsetzung des Energierichtplans müssen konsequent verfolgt werden.</a:t>
          </a:r>
        </a:p>
        <a:p>
          <a:pPr algn="l" rtl="0">
            <a:defRPr sz="1000"/>
          </a:pPr>
          <a:r>
            <a:rPr lang="de-CH" sz="800" b="0" i="0" u="none" strike="noStrike" baseline="0">
              <a:solidFill>
                <a:srgbClr val="000000"/>
              </a:solidFill>
              <a:latin typeface="Arial"/>
              <a:cs typeface="Arial"/>
            </a:rPr>
            <a:t>Um die Umweltbelastungen zu minimieren sind die Anstrengungen des Vollzugs (USG, LRV) und der LA21 unerlässlich. Das Umweltmonitoring zeigt weiterhin die „Ist“ Situation in der Stadt Bern auf. Die Lärmschutzprojekte werden bis 2018 abgeschlossen sein und müssen weiterhin vorangetrieben werden. </a:t>
          </a:r>
        </a:p>
        <a:p>
          <a:pPr algn="l" rtl="0">
            <a:defRPr sz="1000"/>
          </a:pPr>
          <a:endParaRPr lang="de-CH" sz="800" b="0" i="0" u="none" strike="noStrike" baseline="0">
            <a:solidFill>
              <a:srgbClr val="000000"/>
            </a:solidFill>
            <a:latin typeface="Arial"/>
            <a:cs typeface="Arial"/>
          </a:endParaRPr>
        </a:p>
        <a:p>
          <a:pPr algn="l" rtl="0">
            <a:defRPr sz="1000"/>
          </a:pPr>
          <a:r>
            <a:rPr lang="de-CH" sz="800" b="0" i="0" u="none" strike="noStrike" baseline="0">
              <a:solidFill>
                <a:srgbClr val="000000"/>
              </a:solidFill>
              <a:latin typeface="Arial"/>
              <a:cs typeface="Arial"/>
            </a:rPr>
            <a:t>Sparmassnahmen 2012-16: Lokale Agenda 21 Fr. 20'000.00; Einsparungen Mehrjahrespläne Lärmschutz 2012: Fr. 381'645.00, 2013: Fr. 329'458.00, 2014: Fr. 310'505.00, 2015: Fr. 292'356.00; 2016: Fr. 351'885.00</a:t>
          </a:r>
        </a:p>
      </xdr:txBody>
    </xdr:sp>
    <xdr:clientData/>
  </xdr:twoCellAnchor>
  <xdr:twoCellAnchor>
    <xdr:from>
      <xdr:col>0</xdr:col>
      <xdr:colOff>1</xdr:colOff>
      <xdr:row>1805</xdr:row>
      <xdr:rowOff>38100</xdr:rowOff>
    </xdr:from>
    <xdr:to>
      <xdr:col>8</xdr:col>
      <xdr:colOff>0</xdr:colOff>
      <xdr:row>1809</xdr:row>
      <xdr:rowOff>0</xdr:rowOff>
    </xdr:to>
    <xdr:sp macro="" textlink="">
      <xdr:nvSpPr>
        <xdr:cNvPr id="128" name="Text Box 7"/>
        <xdr:cNvSpPr txBox="1">
          <a:spLocks noChangeArrowheads="1"/>
        </xdr:cNvSpPr>
      </xdr:nvSpPr>
      <xdr:spPr bwMode="auto">
        <a:xfrm>
          <a:off x="1" y="261175500"/>
          <a:ext cx="6667500" cy="5143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indent="0" algn="l" rtl="0">
            <a:defRPr sz="1000"/>
          </a:pPr>
          <a:r>
            <a:rPr lang="de-CH" sz="800" b="0" i="0" u="none" strike="noStrike" baseline="0">
              <a:solidFill>
                <a:srgbClr val="000000"/>
              </a:solidFill>
              <a:latin typeface="Arial"/>
              <a:ea typeface="+mn-ea"/>
              <a:cs typeface="Arial"/>
            </a:rPr>
            <a:t>Ab Budget 2012 ist für die Durchführung zweier autofreier Sonntage Fr. 150'000.00 vorgesehen. Die Anzahl der Lärmschutzmassnahmen sinkt ab 2014, Grund ist die fortgeschrittene Lärmsanierung am Basisnetz. 2014 ist der Umzug des Amtes von der Brunngasse 30 (Zumiete) in die städtische Liegenschaft Nägeligasse 2 geplant. Die GIS-Kosten erhöhen sich ab 2013 um ca. Fr. 15'000.00. Die Erlöse werden voraussichtlich aufgrund der wirtschaftlichen Entwicklung leicht abnehmen.</a:t>
          </a:r>
        </a:p>
        <a:p>
          <a:pPr algn="l" rtl="0">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1835</xdr:row>
      <xdr:rowOff>0</xdr:rowOff>
    </xdr:from>
    <xdr:to>
      <xdr:col>8</xdr:col>
      <xdr:colOff>0</xdr:colOff>
      <xdr:row>1838</xdr:row>
      <xdr:rowOff>0</xdr:rowOff>
    </xdr:to>
    <xdr:sp macro="" textlink="">
      <xdr:nvSpPr>
        <xdr:cNvPr id="129" name="Text Box 9"/>
        <xdr:cNvSpPr txBox="1">
          <a:spLocks noChangeArrowheads="1"/>
        </xdr:cNvSpPr>
      </xdr:nvSpPr>
      <xdr:spPr bwMode="auto">
        <a:xfrm>
          <a:off x="0" y="265547475"/>
          <a:ext cx="6657975" cy="4667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I2200003 Lärmschutz an Stadtstrassen, MJP 2010: Fr.  2.38  Mio.  (2012 - 14)</a:t>
          </a:r>
        </a:p>
        <a:p>
          <a:pPr algn="l" rtl="0">
            <a:defRPr sz="1000"/>
          </a:pPr>
          <a:r>
            <a:rPr lang="de-CH" sz="800" b="0" i="0" u="none" strike="noStrike" baseline="0">
              <a:solidFill>
                <a:srgbClr val="000000"/>
              </a:solidFill>
              <a:latin typeface="Arial"/>
              <a:cs typeface="Arial"/>
            </a:rPr>
            <a:t>I2200013 Lärmschutz an Stadtstrassen, MJP 2012: Fr.  3.60  Mio.  (2012 - 15)</a:t>
          </a:r>
        </a:p>
        <a:p>
          <a:pPr algn="l" rtl="0">
            <a:defRPr sz="1000"/>
          </a:pPr>
          <a:r>
            <a:rPr lang="de-CH" sz="800" b="0" i="0" u="none" strike="noStrike" baseline="0">
              <a:solidFill>
                <a:srgbClr val="000000"/>
              </a:solidFill>
              <a:latin typeface="Arial"/>
              <a:cs typeface="Arial"/>
            </a:rPr>
            <a:t>I2200014 Lärmschutz an Stadtstrassen, MJP 2014: Fr.  0.40  Mio.  (2014 - 15)</a:t>
          </a:r>
        </a:p>
      </xdr:txBody>
    </xdr:sp>
    <xdr:clientData/>
  </xdr:twoCellAnchor>
  <xdr:twoCellAnchor>
    <xdr:from>
      <xdr:col>0</xdr:col>
      <xdr:colOff>1</xdr:colOff>
      <xdr:row>1811</xdr:row>
      <xdr:rowOff>40004</xdr:rowOff>
    </xdr:from>
    <xdr:to>
      <xdr:col>8</xdr:col>
      <xdr:colOff>0</xdr:colOff>
      <xdr:row>1812</xdr:row>
      <xdr:rowOff>297180</xdr:rowOff>
    </xdr:to>
    <xdr:sp macro="" textlink="">
      <xdr:nvSpPr>
        <xdr:cNvPr id="130" name="Text Box 10"/>
        <xdr:cNvSpPr txBox="1">
          <a:spLocks noChangeArrowheads="1"/>
        </xdr:cNvSpPr>
      </xdr:nvSpPr>
      <xdr:spPr bwMode="auto">
        <a:xfrm>
          <a:off x="1" y="261996554"/>
          <a:ext cx="6667500" cy="40005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Bevölkerung allgemein und insbesondere durch Lärm oder andere Umwelteinflüsse beeinträchtige Personen, Industrie und Gewerbe (Kontrollen), Ingenieurbüros (Daten, Informationen), Bauinspektorat (Baugesuche), Flurpolizei, ewb, Bernmobil, Wasserverbund Region Bern, KVA, ARA Region Bern, Klimaplattform der Wirtschaft. </a:t>
          </a:r>
        </a:p>
      </xdr:txBody>
    </xdr:sp>
    <xdr:clientData/>
  </xdr:twoCellAnchor>
  <xdr:twoCellAnchor>
    <xdr:from>
      <xdr:col>0</xdr:col>
      <xdr:colOff>1</xdr:colOff>
      <xdr:row>1790</xdr:row>
      <xdr:rowOff>38103</xdr:rowOff>
    </xdr:from>
    <xdr:to>
      <xdr:col>8</xdr:col>
      <xdr:colOff>0</xdr:colOff>
      <xdr:row>1797</xdr:row>
      <xdr:rowOff>28576</xdr:rowOff>
    </xdr:to>
    <xdr:sp macro="" textlink="">
      <xdr:nvSpPr>
        <xdr:cNvPr id="131" name="Text Box 11"/>
        <xdr:cNvSpPr txBox="1">
          <a:spLocks noChangeArrowheads="1"/>
        </xdr:cNvSpPr>
      </xdr:nvSpPr>
      <xdr:spPr bwMode="auto">
        <a:xfrm>
          <a:off x="1" y="258184653"/>
          <a:ext cx="6667500" cy="1238248"/>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ct val="100000"/>
            </a:lnSpc>
            <a:defRPr sz="1000"/>
          </a:pPr>
          <a:r>
            <a:rPr lang="de-CH" sz="800" b="0" i="1" u="none" strike="noStrike" baseline="0">
              <a:solidFill>
                <a:srgbClr val="000000"/>
              </a:solidFill>
              <a:latin typeface="Arial"/>
              <a:cs typeface="Arial"/>
            </a:rPr>
            <a:t>Lokale Agenda 21 (LA21)</a:t>
          </a:r>
          <a:endParaRPr lang="de-CH" sz="800" b="0" i="0" u="none" strike="noStrike" baseline="0">
            <a:solidFill>
              <a:srgbClr val="000000"/>
            </a:solidFill>
            <a:latin typeface="Arial"/>
            <a:cs typeface="Arial"/>
          </a:endParaRPr>
        </a:p>
        <a:p>
          <a:pPr algn="l" rtl="0">
            <a:lnSpc>
              <a:spcPct val="100000"/>
            </a:lnSpc>
            <a:defRPr sz="1000"/>
          </a:pPr>
          <a:r>
            <a:rPr lang="de-CH" sz="800" b="0" i="0" u="none" strike="noStrike" baseline="0">
              <a:solidFill>
                <a:srgbClr val="000000"/>
              </a:solidFill>
              <a:latin typeface="Arial"/>
              <a:cs typeface="Arial"/>
            </a:rPr>
            <a:t>3.1.3.1 Die Klimaplattform der Wirtschaft wird weiterentwickelt. Im Vordergrund steht der Transfer von neusten Forschungsergebnissen zu den Unternehmen.</a:t>
          </a:r>
        </a:p>
        <a:p>
          <a:pPr algn="l" rtl="0">
            <a:lnSpc>
              <a:spcPct val="100000"/>
            </a:lnSpc>
            <a:defRPr sz="1000"/>
          </a:pPr>
          <a:r>
            <a:rPr lang="de-CH" sz="800" b="0" i="0" u="none" strike="noStrike" baseline="0">
              <a:solidFill>
                <a:srgbClr val="000000"/>
              </a:solidFill>
              <a:latin typeface="Arial"/>
              <a:cs typeface="Arial"/>
            </a:rPr>
            <a:t>3.1.3.2 Die Stadt fördert den Nachwuchs im Bereich Umwelttechnologien, indem sie einen Förderpreis vergibt.</a:t>
          </a:r>
        </a:p>
        <a:p>
          <a:pPr algn="l" rtl="0">
            <a:lnSpc>
              <a:spcPct val="100000"/>
            </a:lnSpc>
            <a:defRPr sz="1000"/>
          </a:pPr>
          <a:r>
            <a:rPr lang="de-CH" sz="800" b="0" i="0" u="none" strike="noStrike" baseline="0">
              <a:solidFill>
                <a:srgbClr val="000000"/>
              </a:solidFill>
              <a:latin typeface="Arial"/>
              <a:cs typeface="Arial"/>
            </a:rPr>
            <a:t>3.1.3.3 Im Beer-Haus wird günstiger Raum für Kleinunternehmen oder Start-ups im Bereich Klimatologie und Greentech zur Verfügung gestellt.</a:t>
          </a:r>
        </a:p>
        <a:p>
          <a:pPr algn="l" rtl="0">
            <a:lnSpc>
              <a:spcPct val="100000"/>
            </a:lnSpc>
            <a:defRPr sz="1000"/>
          </a:pPr>
          <a:r>
            <a:rPr lang="de-CH" sz="800" b="0" i="1" u="none" strike="noStrike" baseline="0">
              <a:solidFill>
                <a:srgbClr val="000000"/>
              </a:solidFill>
              <a:latin typeface="Arial"/>
              <a:cs typeface="Arial"/>
            </a:rPr>
            <a:t>Energiestadt</a:t>
          </a:r>
          <a:endParaRPr lang="de-CH" sz="800" b="0" i="0" u="none" strike="noStrike" baseline="0">
            <a:solidFill>
              <a:srgbClr val="000000"/>
            </a:solidFill>
            <a:latin typeface="Arial"/>
            <a:cs typeface="Arial"/>
          </a:endParaRPr>
        </a:p>
        <a:p>
          <a:pPr algn="l" rtl="0">
            <a:lnSpc>
              <a:spcPct val="100000"/>
            </a:lnSpc>
            <a:defRPr sz="1000"/>
          </a:pPr>
          <a:r>
            <a:rPr lang="de-CH" sz="800" b="0" i="0" u="none" strike="noStrike" baseline="0">
              <a:solidFill>
                <a:srgbClr val="000000"/>
              </a:solidFill>
              <a:latin typeface="Arial"/>
              <a:cs typeface="Arial"/>
            </a:rPr>
            <a:t>3.1.1.1 Die Stadt Bern erstellt einen Energierichtplan. Darin enthalten sind Zielsetzungen und Potenzial sowie notwendige Massnahmen zur Realisierung dieser Ziele.</a:t>
          </a:r>
        </a:p>
        <a:p>
          <a:pPr algn="l" rtl="0">
            <a:lnSpc>
              <a:spcPct val="100000"/>
            </a:lnSpc>
            <a:defRPr sz="1000"/>
          </a:pPr>
          <a:r>
            <a:rPr lang="de-CH" sz="800" b="0" i="0" u="none" strike="noStrike" baseline="0">
              <a:solidFill>
                <a:srgbClr val="000000"/>
              </a:solidFill>
              <a:latin typeface="Arial"/>
              <a:cs typeface="Arial"/>
            </a:rPr>
            <a:t>3.1.1.2 Die Stadt erhält das Label Energiestadt Gold (Ziel bereits erfüllt, Re-Audit erfolgt 2014).</a:t>
          </a:r>
        </a:p>
        <a:p>
          <a:pPr algn="l" rtl="0">
            <a:lnSpc>
              <a:spcPct val="100000"/>
            </a:lnSpc>
            <a:defRPr sz="1000"/>
          </a:pPr>
          <a:r>
            <a:rPr lang="de-CH" sz="800" b="0" i="0" u="none" strike="noStrike" baseline="0">
              <a:solidFill>
                <a:srgbClr val="000000"/>
              </a:solidFill>
              <a:latin typeface="Arial"/>
              <a:cs typeface="Arial"/>
            </a:rPr>
            <a:t>3.2.2.1 Gebäudesanierungen entsprechen stets dem Standard Minergie-P-Eco.</a:t>
          </a:r>
        </a:p>
        <a:p>
          <a:pPr algn="l" rtl="0">
            <a:lnSpc>
              <a:spcPts val="600"/>
            </a:lnSpc>
            <a:defRPr sz="1000"/>
          </a:pPr>
          <a:endParaRPr lang="de-CH" sz="800" b="0" i="0" u="none" strike="noStrike" baseline="0">
            <a:solidFill>
              <a:srgbClr val="000000"/>
            </a:solidFill>
            <a:latin typeface="Arial"/>
            <a:cs typeface="Arial"/>
          </a:endParaRPr>
        </a:p>
        <a:p>
          <a:pPr algn="l" rtl="0">
            <a:lnSpc>
              <a:spcPts val="600"/>
            </a:lnSpc>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1863</xdr:row>
      <xdr:rowOff>9525</xdr:rowOff>
    </xdr:from>
    <xdr:to>
      <xdr:col>7</xdr:col>
      <xdr:colOff>752475</xdr:colOff>
      <xdr:row>1865</xdr:row>
      <xdr:rowOff>80169</xdr:rowOff>
    </xdr:to>
    <xdr:sp macro="" textlink="">
      <xdr:nvSpPr>
        <xdr:cNvPr id="132" name="Text Box 6"/>
        <xdr:cNvSpPr txBox="1">
          <a:spLocks noChangeArrowheads="1"/>
        </xdr:cNvSpPr>
      </xdr:nvSpPr>
      <xdr:spPr bwMode="auto">
        <a:xfrm>
          <a:off x="0" y="269547975"/>
          <a:ext cx="6648450" cy="35639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rtl="0"/>
          <a:r>
            <a:rPr lang="de-CH" sz="800" b="0" i="0" baseline="0">
              <a:effectLst/>
              <a:latin typeface="Arial" pitchFamily="34" charset="0"/>
              <a:ea typeface="+mn-ea"/>
              <a:cs typeface="Arial" pitchFamily="34" charset="0"/>
            </a:rPr>
            <a:t>Das Call Center verzeichnet  eine hohe Anzahl Anrufe und eine, durch die Überlastung der Linien bedingte, Zunahme von unbeantworteten Anrufen (Lost Calls). Weiter ist festzustellen, das die E-Mail-Anfragen überproportional zunehmen. </a:t>
          </a:r>
        </a:p>
        <a:p>
          <a:pPr rtl="0"/>
          <a:endParaRPr lang="de-CH" sz="800">
            <a:solidFill>
              <a:srgbClr val="FF0000"/>
            </a:solidFill>
            <a:effectLst/>
            <a:latin typeface="Arial" pitchFamily="34" charset="0"/>
            <a:cs typeface="Arial" pitchFamily="34" charset="0"/>
          </a:endParaRPr>
        </a:p>
      </xdr:txBody>
    </xdr:sp>
    <xdr:clientData/>
  </xdr:twoCellAnchor>
  <xdr:twoCellAnchor>
    <xdr:from>
      <xdr:col>0</xdr:col>
      <xdr:colOff>0</xdr:colOff>
      <xdr:row>1868</xdr:row>
      <xdr:rowOff>1</xdr:rowOff>
    </xdr:from>
    <xdr:to>
      <xdr:col>8</xdr:col>
      <xdr:colOff>0</xdr:colOff>
      <xdr:row>1869</xdr:row>
      <xdr:rowOff>133225</xdr:rowOff>
    </xdr:to>
    <xdr:sp macro="" textlink="">
      <xdr:nvSpPr>
        <xdr:cNvPr id="133" name="Text Box 7"/>
        <xdr:cNvSpPr txBox="1">
          <a:spLocks noChangeArrowheads="1"/>
        </xdr:cNvSpPr>
      </xdr:nvSpPr>
      <xdr:spPr bwMode="auto">
        <a:xfrm>
          <a:off x="0" y="270214726"/>
          <a:ext cx="6667500" cy="276099"/>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de-CH" sz="800" b="0" i="0" baseline="0">
              <a:effectLst/>
              <a:latin typeface="Arial" pitchFamily="34" charset="0"/>
              <a:ea typeface="+mn-ea"/>
              <a:cs typeface="Arial" pitchFamily="34" charset="0"/>
            </a:rPr>
            <a:t>Keine.</a:t>
          </a:r>
        </a:p>
      </xdr:txBody>
    </xdr:sp>
    <xdr:clientData/>
  </xdr:twoCellAnchor>
  <xdr:twoCellAnchor>
    <xdr:from>
      <xdr:col>0</xdr:col>
      <xdr:colOff>0</xdr:colOff>
      <xdr:row>1896</xdr:row>
      <xdr:rowOff>0</xdr:rowOff>
    </xdr:from>
    <xdr:to>
      <xdr:col>8</xdr:col>
      <xdr:colOff>0</xdr:colOff>
      <xdr:row>1898</xdr:row>
      <xdr:rowOff>0</xdr:rowOff>
    </xdr:to>
    <xdr:sp macro="" textlink="">
      <xdr:nvSpPr>
        <xdr:cNvPr id="134" name="Text Box 9"/>
        <xdr:cNvSpPr txBox="1">
          <a:spLocks noChangeArrowheads="1"/>
        </xdr:cNvSpPr>
      </xdr:nvSpPr>
      <xdr:spPr bwMode="auto">
        <a:xfrm>
          <a:off x="0" y="274186650"/>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a:p>
          <a:pPr algn="l" rtl="0">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1872</xdr:row>
      <xdr:rowOff>0</xdr:rowOff>
    </xdr:from>
    <xdr:to>
      <xdr:col>8</xdr:col>
      <xdr:colOff>0</xdr:colOff>
      <xdr:row>1874</xdr:row>
      <xdr:rowOff>0</xdr:rowOff>
    </xdr:to>
    <xdr:sp macro="" textlink="">
      <xdr:nvSpPr>
        <xdr:cNvPr id="135" name="Text Box 10"/>
        <xdr:cNvSpPr txBox="1">
          <a:spLocks noChangeArrowheads="1"/>
        </xdr:cNvSpPr>
      </xdr:nvSpPr>
      <xdr:spPr bwMode="auto">
        <a:xfrm>
          <a:off x="0" y="270757650"/>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Gemeinderat, Stadtrat, Kommissionen, Steuerverwaltung, Einwohnerinnen und Einwohner der Stadt Bern, Unternehmen, BOV.</a:t>
          </a:r>
        </a:p>
      </xdr:txBody>
    </xdr:sp>
    <xdr:clientData/>
  </xdr:twoCellAnchor>
  <xdr:twoCellAnchor>
    <xdr:from>
      <xdr:col>0</xdr:col>
      <xdr:colOff>0</xdr:colOff>
      <xdr:row>1859</xdr:row>
      <xdr:rowOff>0</xdr:rowOff>
    </xdr:from>
    <xdr:to>
      <xdr:col>8</xdr:col>
      <xdr:colOff>0</xdr:colOff>
      <xdr:row>1860</xdr:row>
      <xdr:rowOff>118268</xdr:rowOff>
    </xdr:to>
    <xdr:sp macro="" textlink="">
      <xdr:nvSpPr>
        <xdr:cNvPr id="136" name="Text Box 11"/>
        <xdr:cNvSpPr txBox="1">
          <a:spLocks noChangeArrowheads="1"/>
        </xdr:cNvSpPr>
      </xdr:nvSpPr>
      <xdr:spPr bwMode="auto">
        <a:xfrm>
          <a:off x="0" y="268871700"/>
          <a:ext cx="6667500" cy="26114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a:p>
          <a:pPr algn="l" rtl="0">
            <a:defRPr sz="1000"/>
          </a:pPr>
          <a:endParaRPr lang="de-CH" sz="800" b="0" i="0" u="none" strike="noStrike" baseline="0">
            <a:solidFill>
              <a:srgbClr val="000000"/>
            </a:solidFill>
            <a:latin typeface="Arial"/>
            <a:cs typeface="Arial"/>
          </a:endParaRPr>
        </a:p>
        <a:p>
          <a:pPr algn="l" rtl="0">
            <a:defRPr sz="1000"/>
          </a:pPr>
          <a:endParaRPr lang="de-CH" sz="800" b="0" i="0" u="none" strike="noStrike" baseline="0">
            <a:solidFill>
              <a:srgbClr val="000000"/>
            </a:solidFill>
            <a:latin typeface="Arial"/>
            <a:cs typeface="Arial"/>
          </a:endParaRPr>
        </a:p>
      </xdr:txBody>
    </xdr:sp>
    <xdr:clientData/>
  </xdr:twoCellAnchor>
  <xdr:twoCellAnchor>
    <xdr:from>
      <xdr:col>0</xdr:col>
      <xdr:colOff>9526</xdr:colOff>
      <xdr:row>1930</xdr:row>
      <xdr:rowOff>38100</xdr:rowOff>
    </xdr:from>
    <xdr:to>
      <xdr:col>7</xdr:col>
      <xdr:colOff>742950</xdr:colOff>
      <xdr:row>1945</xdr:row>
      <xdr:rowOff>38101</xdr:rowOff>
    </xdr:to>
    <xdr:sp macro="" textlink="">
      <xdr:nvSpPr>
        <xdr:cNvPr id="137" name="Text Box 6"/>
        <xdr:cNvSpPr txBox="1">
          <a:spLocks noChangeArrowheads="1"/>
        </xdr:cNvSpPr>
      </xdr:nvSpPr>
      <xdr:spPr bwMode="auto">
        <a:xfrm>
          <a:off x="9526" y="278958675"/>
          <a:ext cx="6629399" cy="2143126"/>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rtl="0">
            <a:lnSpc>
              <a:spcPct val="100000"/>
            </a:lnSpc>
          </a:pPr>
          <a:r>
            <a:rPr lang="de-CH" sz="800" b="0" i="0" u="none" strike="noStrike" baseline="0">
              <a:solidFill>
                <a:srgbClr val="000000"/>
              </a:solidFill>
              <a:latin typeface="Arial"/>
              <a:ea typeface="+mn-ea"/>
              <a:cs typeface="Arial"/>
            </a:rPr>
            <a:t>In allen Bereichen der orts- und gewerbepolizeilichen Aufgaben steigen die Bedürfnisse der Kundinnen und Kunden, aber auch der Politik. Die Veranstaltungen und politischen Kundgebungen werden grösser und anspruchsvoller. Dies führ zu komplexeren Verhandlungen, die mehr Zeit in Anspruch nehmen, um sämtlichen Bedürfnisgruppen gerecht zu werden. Bei den politischen Kundgebungen wird zudem festgestellt, dass die Gesuche kurzfristiger eingereicht werden und somit die Bearbeitung innert kürzerer Zeit erfolgen muss. Die Beratung in den Themengebieten Jugendschutz, Mehrweg etc. wird immer wichtiger und viele Veranstaltende nehmen diese Beratung in Anspruch oder sind sogar darauf angewiesen. Durch diese Verlagerung und den Anspruch, dass die Befriedigung der Kundenbedürnisse an erster Stelle steht, können Vollzugs- und Kontrollaufgaben nicht im gewünschten Rahmen vorgenommen werden. Es ist heute nur noch stichprobenweise möglich, die bewilligten Veranstaltungen zu kontrollieren und vor Ort zu unterstützen, obwohl im Bereich der Innenstadt vermehrte Kontrollen notwendig wären. Im Weiteren delegiert der Kanton die Vollzugs- und Kontrollaufgaben vermehrt an die Gemeinden, wodurch zusätzliche Ressourcen gebunden werden.</a:t>
          </a:r>
        </a:p>
        <a:p>
          <a:pPr rtl="0">
            <a:lnSpc>
              <a:spcPct val="100000"/>
            </a:lnSpc>
          </a:pPr>
          <a:endParaRPr lang="de-CH" sz="800" b="0" i="0" u="none" strike="noStrike" baseline="0">
            <a:solidFill>
              <a:srgbClr val="000000"/>
            </a:solidFill>
            <a:latin typeface="Arial"/>
            <a:ea typeface="+mn-ea"/>
            <a:cs typeface="Arial"/>
          </a:endParaRPr>
        </a:p>
        <a:p>
          <a:pPr rtl="0">
            <a:lnSpc>
              <a:spcPct val="100000"/>
            </a:lnSpc>
          </a:pPr>
          <a:r>
            <a:rPr lang="de-CH" sz="800" b="0" i="0" u="none" strike="noStrike" baseline="0">
              <a:solidFill>
                <a:srgbClr val="000000"/>
              </a:solidFill>
              <a:latin typeface="Arial"/>
              <a:ea typeface="+mn-ea"/>
              <a:cs typeface="Arial"/>
            </a:rPr>
            <a:t>Wird das Prostitutionsgesetz, wie zurzeit beraten, umgesetzt, so werden neue Aufgaben in die Zuständigkeit des Polizeiinspektorats fallen. Die Schaffung einer neuen Stelle im Vollzug ist geplant. Ob die Stelle, wie vom Gemeinderat vorgegeben, kostenneutral umgesetzt werden kann, ist bei  den derzeitig geplanten Gebührentatbeständen fraglich und muss überprüft werden.</a:t>
          </a:r>
        </a:p>
        <a:p>
          <a:pPr rtl="0">
            <a:lnSpc>
              <a:spcPct val="100000"/>
            </a:lnSpc>
          </a:pPr>
          <a:endParaRPr lang="de-CH" sz="800" b="0" i="0" u="none" strike="noStrike" baseline="0">
            <a:solidFill>
              <a:srgbClr val="000000"/>
            </a:solidFill>
            <a:latin typeface="Arial"/>
            <a:ea typeface="+mn-ea"/>
            <a:cs typeface="Arial"/>
          </a:endParaRPr>
        </a:p>
        <a:p>
          <a:pPr rtl="0">
            <a:lnSpc>
              <a:spcPct val="100000"/>
            </a:lnSpc>
          </a:pPr>
          <a:r>
            <a:rPr lang="de-CH" sz="800" b="0" i="0" u="none" strike="noStrike" baseline="0">
              <a:solidFill>
                <a:srgbClr val="000000"/>
              </a:solidFill>
              <a:latin typeface="Arial"/>
              <a:ea typeface="+mn-ea"/>
              <a:cs typeface="Arial"/>
            </a:rPr>
            <a:t>Sparmassnahmen 2012-2016 werden wie geplant weitergeführt :</a:t>
          </a:r>
        </a:p>
        <a:p>
          <a:pPr rtl="0">
            <a:lnSpc>
              <a:spcPct val="100000"/>
            </a:lnSpc>
          </a:pPr>
          <a:r>
            <a:rPr lang="de-CH" sz="800" b="0" i="0" u="none" strike="noStrike" baseline="0">
              <a:solidFill>
                <a:srgbClr val="000000"/>
              </a:solidFill>
              <a:latin typeface="Arial"/>
              <a:ea typeface="+mn-ea"/>
              <a:cs typeface="Arial"/>
            </a:rPr>
            <a:t>Mehreinnahmen Parkkartenverkäufe: Fr. 500 000.00; Restriktivere Gebührenbefreiung: Fr. 100 000.00; Kündigung des Vertrags zur Bewachung und Überwachung des öffentlichen Raumes vor der Reitschule durch die Securitas: Fr. 430 000.00; Teuerung Bestattung: Fr. 30 000.00</a:t>
          </a:r>
        </a:p>
      </xdr:txBody>
    </xdr:sp>
    <xdr:clientData/>
  </xdr:twoCellAnchor>
  <xdr:twoCellAnchor>
    <xdr:from>
      <xdr:col>0</xdr:col>
      <xdr:colOff>0</xdr:colOff>
      <xdr:row>1947</xdr:row>
      <xdr:rowOff>7620</xdr:rowOff>
    </xdr:from>
    <xdr:to>
      <xdr:col>7</xdr:col>
      <xdr:colOff>752475</xdr:colOff>
      <xdr:row>1953</xdr:row>
      <xdr:rowOff>11582</xdr:rowOff>
    </xdr:to>
    <xdr:sp macro="" textlink="">
      <xdr:nvSpPr>
        <xdr:cNvPr id="138" name="Text Box 7"/>
        <xdr:cNvSpPr txBox="1">
          <a:spLocks noChangeArrowheads="1"/>
        </xdr:cNvSpPr>
      </xdr:nvSpPr>
      <xdr:spPr bwMode="auto">
        <a:xfrm>
          <a:off x="0" y="281357070"/>
          <a:ext cx="6648450" cy="861212"/>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rtl="0"/>
          <a:r>
            <a:rPr lang="de-CH" sz="800" b="0" i="0" u="none" strike="noStrike" baseline="0">
              <a:solidFill>
                <a:srgbClr val="000000"/>
              </a:solidFill>
              <a:latin typeface="Arial"/>
              <a:ea typeface="+mn-ea"/>
              <a:cs typeface="Arial"/>
            </a:rPr>
            <a:t>Es wird angestrebt, mit den vorhandenen Ressourcen, die Balance zwischen Kundenberatung und Kontrolle des öffentlichen Lebens aufrecht zu erhalten. Im Bereich des Vollzugs und Kontrolle wird trotz des steigenden Beratungsaufwandes versucht, mit gezielten Aktionen die Ruhe und Ordnung zu gewährleisten. Mit den vorhandenen Ressourcen kann die Anzahl der bisherigen Kontrolleinsätze nicht mehr in allen Bereichen (Prioritätensetzung) aufrecht erhalten werden. Ein Erhöhung der Kontrolltätigkeit würde sich negativ auf die Kundenpflege auswirken. Die Gesuchstellerinnen und Gesuchsteller haben jedoch Anspruch, innert Frist eine Antwort zu erhalten. Hier besteht kein Handlungsspielraum, es sei denn, die personellen Ressourcen werden erhöht. </a:t>
          </a:r>
        </a:p>
      </xdr:txBody>
    </xdr:sp>
    <xdr:clientData/>
  </xdr:twoCellAnchor>
  <xdr:twoCellAnchor>
    <xdr:from>
      <xdr:col>0</xdr:col>
      <xdr:colOff>0</xdr:colOff>
      <xdr:row>1979</xdr:row>
      <xdr:rowOff>0</xdr:rowOff>
    </xdr:from>
    <xdr:to>
      <xdr:col>8</xdr:col>
      <xdr:colOff>0</xdr:colOff>
      <xdr:row>1981</xdr:row>
      <xdr:rowOff>0</xdr:rowOff>
    </xdr:to>
    <xdr:sp macro="" textlink="">
      <xdr:nvSpPr>
        <xdr:cNvPr id="139" name="Text Box 9"/>
        <xdr:cNvSpPr txBox="1">
          <a:spLocks noChangeArrowheads="1"/>
        </xdr:cNvSpPr>
      </xdr:nvSpPr>
      <xdr:spPr bwMode="auto">
        <a:xfrm>
          <a:off x="0" y="285921450"/>
          <a:ext cx="6667500" cy="285750"/>
        </a:xfrm>
        <a:prstGeom prst="rect">
          <a:avLst/>
        </a:prstGeom>
        <a:solidFill>
          <a:sysClr val="window" lastClr="FFFFFF"/>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ea typeface="+mn-ea"/>
              <a:cs typeface="Arial"/>
            </a:rPr>
            <a:t>Keine.</a:t>
          </a:r>
        </a:p>
      </xdr:txBody>
    </xdr:sp>
    <xdr:clientData/>
  </xdr:twoCellAnchor>
  <xdr:twoCellAnchor>
    <xdr:from>
      <xdr:col>0</xdr:col>
      <xdr:colOff>0</xdr:colOff>
      <xdr:row>1955</xdr:row>
      <xdr:rowOff>0</xdr:rowOff>
    </xdr:from>
    <xdr:to>
      <xdr:col>8</xdr:col>
      <xdr:colOff>0</xdr:colOff>
      <xdr:row>1957</xdr:row>
      <xdr:rowOff>9525</xdr:rowOff>
    </xdr:to>
    <xdr:sp macro="" textlink="">
      <xdr:nvSpPr>
        <xdr:cNvPr id="140" name="Text Box 10"/>
        <xdr:cNvSpPr txBox="1">
          <a:spLocks noChangeArrowheads="1"/>
        </xdr:cNvSpPr>
      </xdr:nvSpPr>
      <xdr:spPr bwMode="auto">
        <a:xfrm>
          <a:off x="0" y="282492450"/>
          <a:ext cx="6667500" cy="2952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City-Manager, Vereinigung der Unteren Altstadtleiste, Bevölkerung, Kulturschaffende, Stadtverwaltung, Kantonspolizei und Veranstaltungsorganisationen.</a:t>
          </a:r>
        </a:p>
      </xdr:txBody>
    </xdr:sp>
    <xdr:clientData/>
  </xdr:twoCellAnchor>
  <xdr:twoCellAnchor>
    <xdr:from>
      <xdr:col>0</xdr:col>
      <xdr:colOff>0</xdr:colOff>
      <xdr:row>1925</xdr:row>
      <xdr:rowOff>49530</xdr:rowOff>
    </xdr:from>
    <xdr:to>
      <xdr:col>8</xdr:col>
      <xdr:colOff>0</xdr:colOff>
      <xdr:row>1927</xdr:row>
      <xdr:rowOff>127993</xdr:rowOff>
    </xdr:to>
    <xdr:sp macro="" textlink="">
      <xdr:nvSpPr>
        <xdr:cNvPr id="141" name="Text Box 11"/>
        <xdr:cNvSpPr txBox="1">
          <a:spLocks noChangeArrowheads="1"/>
        </xdr:cNvSpPr>
      </xdr:nvSpPr>
      <xdr:spPr bwMode="auto">
        <a:xfrm>
          <a:off x="0" y="278150955"/>
          <a:ext cx="6665595" cy="32611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600"/>
            </a:lnSpc>
            <a:defRPr sz="1000"/>
          </a:pPr>
          <a:r>
            <a:rPr lang="de-CH" sz="800" b="0" i="0" u="none" strike="noStrike" baseline="0">
              <a:solidFill>
                <a:srgbClr val="000000"/>
              </a:solidFill>
              <a:latin typeface="Arial"/>
              <a:cs typeface="Arial"/>
            </a:rPr>
            <a:t>1.2.3.1 Die Kampagne und die Projektorganisation "Subers Bärn - zäme geits!" werden mit jährlich angepassten Schwerpunktsetzungen weitergeführt.</a:t>
          </a:r>
        </a:p>
        <a:p>
          <a:pPr algn="l" rtl="0">
            <a:lnSpc>
              <a:spcPts val="800"/>
            </a:lnSpc>
            <a:defRPr sz="1000"/>
          </a:pPr>
          <a:r>
            <a:rPr lang="de-CH" sz="800" b="0" i="0" u="none" strike="noStrike" baseline="0">
              <a:solidFill>
                <a:srgbClr val="000000"/>
              </a:solidFill>
              <a:latin typeface="Arial"/>
              <a:cs typeface="Arial"/>
            </a:rPr>
            <a:t>2.1 Bern bietet Kultur, Sport und Events von hoher Qualität und spricht ein grosses Publikum an.</a:t>
          </a:r>
        </a:p>
      </xdr:txBody>
    </xdr:sp>
    <xdr:clientData/>
  </xdr:twoCellAnchor>
  <xdr:twoCellAnchor>
    <xdr:from>
      <xdr:col>0</xdr:col>
      <xdr:colOff>0</xdr:colOff>
      <xdr:row>2009</xdr:row>
      <xdr:rowOff>0</xdr:rowOff>
    </xdr:from>
    <xdr:to>
      <xdr:col>8</xdr:col>
      <xdr:colOff>0</xdr:colOff>
      <xdr:row>2011</xdr:row>
      <xdr:rowOff>66676</xdr:rowOff>
    </xdr:to>
    <xdr:sp macro="" textlink="">
      <xdr:nvSpPr>
        <xdr:cNvPr id="142" name="Text Box 6"/>
        <xdr:cNvSpPr txBox="1">
          <a:spLocks noChangeArrowheads="1"/>
        </xdr:cNvSpPr>
      </xdr:nvSpPr>
      <xdr:spPr bwMode="auto">
        <a:xfrm>
          <a:off x="0" y="290179125"/>
          <a:ext cx="6667500" cy="333376"/>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de-CH" sz="800" b="0" i="0" u="none" strike="noStrike" baseline="0">
              <a:solidFill>
                <a:srgbClr val="000000"/>
              </a:solidFill>
              <a:latin typeface="Arial"/>
              <a:ea typeface="+mn-ea"/>
              <a:cs typeface="Arial"/>
            </a:rPr>
            <a:t>Analog der Produktegruppe PG230200 nehmen auch im Bereich Gewerbe, Betriebe und Markt die Beratungstätigkeiten zu. Für Kontrollaufgaben im Bereich Taxi oder Gastgewerbe bleibt weniger Zeit . </a:t>
          </a:r>
        </a:p>
      </xdr:txBody>
    </xdr:sp>
    <xdr:clientData/>
  </xdr:twoCellAnchor>
  <xdr:twoCellAnchor>
    <xdr:from>
      <xdr:col>0</xdr:col>
      <xdr:colOff>0</xdr:colOff>
      <xdr:row>2014</xdr:row>
      <xdr:rowOff>0</xdr:rowOff>
    </xdr:from>
    <xdr:to>
      <xdr:col>8</xdr:col>
      <xdr:colOff>0</xdr:colOff>
      <xdr:row>2017</xdr:row>
      <xdr:rowOff>47625</xdr:rowOff>
    </xdr:to>
    <xdr:sp macro="" textlink="">
      <xdr:nvSpPr>
        <xdr:cNvPr id="143" name="Text Box 7"/>
        <xdr:cNvSpPr txBox="1">
          <a:spLocks noChangeArrowheads="1"/>
        </xdr:cNvSpPr>
      </xdr:nvSpPr>
      <xdr:spPr bwMode="auto">
        <a:xfrm>
          <a:off x="0" y="290779200"/>
          <a:ext cx="6667500" cy="7810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indent="0" rtl="0"/>
          <a:r>
            <a:rPr lang="de-CH" sz="800" b="0" i="0" u="none" strike="noStrike" baseline="0">
              <a:solidFill>
                <a:srgbClr val="000000"/>
              </a:solidFill>
              <a:latin typeface="Arial"/>
              <a:ea typeface="+mn-ea"/>
              <a:cs typeface="Arial"/>
            </a:rPr>
            <a:t>Es wird angestrebt, mit den vorhandenen Ressourcen, die Balance zwischen Kundenberatung und Kontrolle des öffentlichen Lebens zu erhalten. Vergleiche hierzu die Ergänzungen in der Produktegruppe PG230200 die analog angewendet werden können.</a:t>
          </a:r>
        </a:p>
        <a:p>
          <a:pPr marL="0" indent="0" algn="l" rtl="0">
            <a:defRPr sz="1000"/>
          </a:pPr>
          <a:endParaRPr lang="de-CH" sz="800" b="0" i="0" u="none" strike="noStrike" baseline="0">
            <a:solidFill>
              <a:srgbClr val="000000"/>
            </a:solidFill>
            <a:latin typeface="Arial"/>
            <a:ea typeface="+mn-ea"/>
            <a:cs typeface="Arial"/>
          </a:endParaRPr>
        </a:p>
        <a:p>
          <a:pPr marL="0" indent="0" algn="l" rtl="0">
            <a:defRPr sz="1000"/>
          </a:pPr>
          <a:r>
            <a:rPr lang="de-CH" sz="800" b="0" i="0" u="none" strike="noStrike" baseline="0">
              <a:solidFill>
                <a:srgbClr val="000000"/>
              </a:solidFill>
              <a:latin typeface="Arial"/>
              <a:ea typeface="+mn-ea"/>
              <a:cs typeface="Arial"/>
            </a:rPr>
            <a:t>Sparmassnahmen 2012-2016: </a:t>
          </a:r>
        </a:p>
        <a:p>
          <a:pPr marL="0" marR="0" indent="0" algn="l" defTabSz="914400" rtl="0" eaLnBrk="1" fontAlgn="auto" latinLnBrk="0" hangingPunct="1">
            <a:lnSpc>
              <a:spcPct val="100000"/>
            </a:lnSpc>
            <a:spcBef>
              <a:spcPts val="0"/>
            </a:spcBef>
            <a:spcAft>
              <a:spcPts val="0"/>
            </a:spcAft>
            <a:buClrTx/>
            <a:buSzTx/>
            <a:buFontTx/>
            <a:buNone/>
            <a:tabLst/>
            <a:defRPr sz="1000"/>
          </a:pPr>
          <a:r>
            <a:rPr lang="de-CH" sz="800" b="0" i="0" u="none" strike="noStrike" baseline="0">
              <a:solidFill>
                <a:srgbClr val="000000"/>
              </a:solidFill>
              <a:latin typeface="Arial"/>
              <a:ea typeface="+mn-ea"/>
              <a:cs typeface="Arial"/>
            </a:rPr>
            <a:t>Die Sparmassnahmen werden wie geplant weitergeführt (Mehreinnahmen im Gast- und Transportgewerbe: Fr. 80'000.00. Ab 2013 weitere Mehreinnahmen durch Erweiterung der Aussenbewirtungsflächen Fr. 20'000.00).</a:t>
          </a:r>
        </a:p>
      </xdr:txBody>
    </xdr:sp>
    <xdr:clientData/>
  </xdr:twoCellAnchor>
  <xdr:twoCellAnchor>
    <xdr:from>
      <xdr:col>0</xdr:col>
      <xdr:colOff>0</xdr:colOff>
      <xdr:row>2043</xdr:row>
      <xdr:rowOff>0</xdr:rowOff>
    </xdr:from>
    <xdr:to>
      <xdr:col>8</xdr:col>
      <xdr:colOff>0</xdr:colOff>
      <xdr:row>2046</xdr:row>
      <xdr:rowOff>0</xdr:rowOff>
    </xdr:to>
    <xdr:sp macro="" textlink="">
      <xdr:nvSpPr>
        <xdr:cNvPr id="144" name="Text Box 9"/>
        <xdr:cNvSpPr txBox="1">
          <a:spLocks noChangeArrowheads="1"/>
        </xdr:cNvSpPr>
      </xdr:nvSpPr>
      <xdr:spPr bwMode="auto">
        <a:xfrm>
          <a:off x="0" y="295217850"/>
          <a:ext cx="6667500" cy="2762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a:lstStyle/>
        <a:p>
          <a:pPr marL="0" indent="0" algn="l" rtl="0">
            <a:defRPr sz="1000"/>
          </a:pPr>
          <a:r>
            <a:rPr lang="de-CH" sz="800" b="0" i="0" u="none" strike="noStrike" baseline="0">
              <a:solidFill>
                <a:srgbClr val="000000"/>
              </a:solidFill>
              <a:latin typeface="Arial"/>
              <a:ea typeface="+mn-ea"/>
              <a:cs typeface="Arial"/>
            </a:rPr>
            <a:t>Keine.</a:t>
          </a:r>
        </a:p>
      </xdr:txBody>
    </xdr:sp>
    <xdr:clientData/>
  </xdr:twoCellAnchor>
  <xdr:twoCellAnchor>
    <xdr:from>
      <xdr:col>0</xdr:col>
      <xdr:colOff>0</xdr:colOff>
      <xdr:row>2019</xdr:row>
      <xdr:rowOff>0</xdr:rowOff>
    </xdr:from>
    <xdr:to>
      <xdr:col>8</xdr:col>
      <xdr:colOff>0</xdr:colOff>
      <xdr:row>2021</xdr:row>
      <xdr:rowOff>0</xdr:rowOff>
    </xdr:to>
    <xdr:sp macro="" textlink="">
      <xdr:nvSpPr>
        <xdr:cNvPr id="145" name="Text Box 10"/>
        <xdr:cNvSpPr txBox="1">
          <a:spLocks noChangeArrowheads="1"/>
        </xdr:cNvSpPr>
      </xdr:nvSpPr>
      <xdr:spPr bwMode="auto">
        <a:xfrm>
          <a:off x="0" y="291788850"/>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City-Manager, Vereinigung Untere Altstadtleiste und alle Gewerbebetreibende.</a:t>
          </a:r>
        </a:p>
      </xdr:txBody>
    </xdr:sp>
    <xdr:clientData/>
  </xdr:twoCellAnchor>
  <xdr:twoCellAnchor>
    <xdr:from>
      <xdr:col>0</xdr:col>
      <xdr:colOff>0</xdr:colOff>
      <xdr:row>2003</xdr:row>
      <xdr:rowOff>0</xdr:rowOff>
    </xdr:from>
    <xdr:to>
      <xdr:col>8</xdr:col>
      <xdr:colOff>0</xdr:colOff>
      <xdr:row>2006</xdr:row>
      <xdr:rowOff>38100</xdr:rowOff>
    </xdr:to>
    <xdr:sp macro="" textlink="">
      <xdr:nvSpPr>
        <xdr:cNvPr id="146" name="Text Box 11"/>
        <xdr:cNvSpPr txBox="1">
          <a:spLocks noChangeArrowheads="1"/>
        </xdr:cNvSpPr>
      </xdr:nvSpPr>
      <xdr:spPr bwMode="auto">
        <a:xfrm>
          <a:off x="0" y="289207575"/>
          <a:ext cx="6667500" cy="4667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2.1 Bern bietet Kultur, Sport und Events von hoher Qualität und spricht ein grosses Publikum an.</a:t>
          </a:r>
        </a:p>
        <a:p>
          <a:pPr algn="l" rtl="0">
            <a:defRPr sz="1000"/>
          </a:pPr>
          <a:endParaRPr lang="de-CH" sz="800" b="0" i="0" u="none" strike="noStrike" baseline="0">
            <a:solidFill>
              <a:srgbClr val="000000"/>
            </a:solidFill>
            <a:latin typeface="Arial"/>
            <a:ea typeface="+mn-ea"/>
            <a:cs typeface="Arial"/>
          </a:endParaRPr>
        </a:p>
      </xdr:txBody>
    </xdr:sp>
    <xdr:clientData/>
  </xdr:twoCellAnchor>
  <xdr:twoCellAnchor>
    <xdr:from>
      <xdr:col>0</xdr:col>
      <xdr:colOff>0</xdr:colOff>
      <xdr:row>2072</xdr:row>
      <xdr:rowOff>68579</xdr:rowOff>
    </xdr:from>
    <xdr:to>
      <xdr:col>8</xdr:col>
      <xdr:colOff>0</xdr:colOff>
      <xdr:row>2077</xdr:row>
      <xdr:rowOff>1002085</xdr:rowOff>
    </xdr:to>
    <xdr:sp macro="" textlink="">
      <xdr:nvSpPr>
        <xdr:cNvPr id="147" name="Text Box 6"/>
        <xdr:cNvSpPr txBox="1">
          <a:spLocks noChangeArrowheads="1"/>
        </xdr:cNvSpPr>
      </xdr:nvSpPr>
      <xdr:spPr bwMode="auto">
        <a:xfrm>
          <a:off x="0" y="299496479"/>
          <a:ext cx="6657975" cy="164788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rtl="0"/>
          <a:r>
            <a:rPr lang="de-CH" sz="800" b="0" i="0" baseline="0">
              <a:effectLst/>
              <a:latin typeface="Arial" pitchFamily="34" charset="0"/>
              <a:ea typeface="+mn-ea"/>
              <a:cs typeface="Arial" pitchFamily="34" charset="0"/>
            </a:rPr>
            <a:t>Gemäss den Vorgaben des Bundes ist die Einführung von eBiometrischen Ausweisen auch für Staatsangehörige aus dem EU/EFTA-Raum vorgesehen. Die Umsetzung hätte Änderungen der Organisationsabläufe (Ausgestaltung der Ausrichtung) zur Folge, wodurch die Informatikmittel und Infrastruktur überprüft und angepasst werden müssten. Die Bewirtschaftung der eingeführten GERES-Schnittstelle sowie des EGID/EWID wird weiterhin zusätzliche Ressourcen bei den Einwohnderdiensten benötigen. Der Datenverkehr wird zwar ab 2013 ausschliesslich über die Schnittstelle e-CH erfolgen, die vom Bundesamt für Statistik zur Verfügung gestellt wird. Die Kosten, die durch diese unvorhergesehene Umstellung entstehen, sind noch nicht bekannt. Es ist jedoch davon auszugehen, dass weiterhin mit 250 Stellenprozent für die Bereinigungsarbeiten gerechnet werden muss. </a:t>
          </a:r>
        </a:p>
        <a:p>
          <a:pPr rtl="0"/>
          <a:endParaRPr lang="de-CH" sz="800" b="0" i="0" baseline="0">
            <a:effectLst/>
            <a:latin typeface="Arial" pitchFamily="34" charset="0"/>
            <a:ea typeface="+mn-ea"/>
            <a:cs typeface="Arial" pitchFamily="34" charset="0"/>
          </a:endParaRPr>
        </a:p>
        <a:p>
          <a:pPr rtl="0"/>
          <a:r>
            <a:rPr lang="de-CH" sz="800" b="0" i="0" baseline="0">
              <a:effectLst/>
              <a:latin typeface="Arial" pitchFamily="34" charset="0"/>
              <a:ea typeface="+mn-ea"/>
              <a:cs typeface="Arial" pitchFamily="34" charset="0"/>
            </a:rPr>
            <a:t>Mit der Einführung des Integrationsgesetzes (IntG) werden sogenannte Willkommensgespräche, die am Schalter der Einwohnerdienste durchgeführt werden, obligatorisch. Der Zeitaufwand je Kunde/Kundin wird dadurch zunehmen und erfordert  zusätzliche Ressourcen. Gründe für diese Entwicklung sind u.a. die Erfassung biometrischer Daten, Abklärungen bezüglich Integrationsstand und die individuelle Zuordnung von Parametern, welche durch das RHG (Registerhamonisierungsgesetz) vorgegeben sind. Mit In-Kraft-treten des Prostitutionsgesetz (ProsG) hat der Spezialdienste der Fremdenpolizei eine neue Aufgabe zu übernehmen, was zu einer zusätzlichen Belastung führen wird.</a:t>
          </a:r>
        </a:p>
      </xdr:txBody>
    </xdr:sp>
    <xdr:clientData/>
  </xdr:twoCellAnchor>
  <xdr:twoCellAnchor>
    <xdr:from>
      <xdr:col>0</xdr:col>
      <xdr:colOff>0</xdr:colOff>
      <xdr:row>2079</xdr:row>
      <xdr:rowOff>0</xdr:rowOff>
    </xdr:from>
    <xdr:to>
      <xdr:col>8</xdr:col>
      <xdr:colOff>0</xdr:colOff>
      <xdr:row>2083</xdr:row>
      <xdr:rowOff>85726</xdr:rowOff>
    </xdr:to>
    <xdr:sp macro="" textlink="">
      <xdr:nvSpPr>
        <xdr:cNvPr id="148" name="Text Box 7"/>
        <xdr:cNvSpPr txBox="1">
          <a:spLocks noChangeArrowheads="1"/>
        </xdr:cNvSpPr>
      </xdr:nvSpPr>
      <xdr:spPr bwMode="auto">
        <a:xfrm>
          <a:off x="0" y="301342425"/>
          <a:ext cx="6667500" cy="657226"/>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rtl="0"/>
          <a:r>
            <a:rPr lang="de-CH" sz="800" b="0" i="0" baseline="0">
              <a:effectLst/>
              <a:latin typeface="Arial" pitchFamily="34" charset="0"/>
              <a:ea typeface="+mn-ea"/>
              <a:cs typeface="Arial" pitchFamily="34" charset="0"/>
            </a:rPr>
            <a:t>Die Bekämpfung des Menschenhandels und Menschenschmuggels sowie der organisierten Bettelei wird weiterhin hohe Prioritäten haben. Die Ausweitung der eBiometrie auf Ausländerinnen und Ausländer der EU/EFTA Staaten ist in Abklärung und wird in den kommenden Jahren umgesetzt. Beabsichtigt ist, die Kontrolltätigkeit im Rahmen der Missbrauchsbekämpfung (Anpassung der flankierenden Massnahmen zur Personenfreizügigkeit  mit der EU) auszudehnen, sei es durch vor-Ort-/Domizil- oder Personenkontrollen. Der GR wird Anfang 2012 anhand der Projektstudie einen Entscheid hinsichtlich der Implementierung einer Datenmanagement-Plattform (gemäss GRB 1241 vom 07.11.2011) fällen. </a:t>
          </a:r>
        </a:p>
      </xdr:txBody>
    </xdr:sp>
    <xdr:clientData/>
  </xdr:twoCellAnchor>
  <xdr:twoCellAnchor>
    <xdr:from>
      <xdr:col>0</xdr:col>
      <xdr:colOff>0</xdr:colOff>
      <xdr:row>2109</xdr:row>
      <xdr:rowOff>0</xdr:rowOff>
    </xdr:from>
    <xdr:to>
      <xdr:col>8</xdr:col>
      <xdr:colOff>0</xdr:colOff>
      <xdr:row>2111</xdr:row>
      <xdr:rowOff>0</xdr:rowOff>
    </xdr:to>
    <xdr:sp macro="" textlink="">
      <xdr:nvSpPr>
        <xdr:cNvPr id="149" name="Text Box 9"/>
        <xdr:cNvSpPr txBox="1">
          <a:spLocks noChangeArrowheads="1"/>
        </xdr:cNvSpPr>
      </xdr:nvSpPr>
      <xdr:spPr bwMode="auto">
        <a:xfrm>
          <a:off x="0" y="305647725"/>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ea typeface="+mn-ea"/>
              <a:cs typeface="Arial"/>
            </a:rPr>
            <a:t>Keine.</a:t>
          </a:r>
        </a:p>
        <a:p>
          <a:pPr algn="l" rtl="0">
            <a:defRPr sz="1000"/>
          </a:pPr>
          <a:endParaRPr lang="de-CH" sz="800" b="0" i="0" u="none" strike="noStrike" baseline="0">
            <a:solidFill>
              <a:srgbClr val="000000"/>
            </a:solidFill>
            <a:latin typeface="Arial"/>
            <a:ea typeface="+mn-ea"/>
            <a:cs typeface="Arial"/>
          </a:endParaRPr>
        </a:p>
      </xdr:txBody>
    </xdr:sp>
    <xdr:clientData/>
  </xdr:twoCellAnchor>
  <xdr:twoCellAnchor>
    <xdr:from>
      <xdr:col>0</xdr:col>
      <xdr:colOff>0</xdr:colOff>
      <xdr:row>2085</xdr:row>
      <xdr:rowOff>0</xdr:rowOff>
    </xdr:from>
    <xdr:to>
      <xdr:col>8</xdr:col>
      <xdr:colOff>0</xdr:colOff>
      <xdr:row>2087</xdr:row>
      <xdr:rowOff>0</xdr:rowOff>
    </xdr:to>
    <xdr:sp macro="" textlink="">
      <xdr:nvSpPr>
        <xdr:cNvPr id="150" name="Text Box 10"/>
        <xdr:cNvSpPr txBox="1">
          <a:spLocks noChangeArrowheads="1"/>
        </xdr:cNvSpPr>
      </xdr:nvSpPr>
      <xdr:spPr bwMode="auto">
        <a:xfrm>
          <a:off x="0" y="302218725"/>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Einwohnerinnen und Einwohner der Stadt Bern, Bund- und Kantonsbehörden.</a:t>
          </a:r>
        </a:p>
      </xdr:txBody>
    </xdr:sp>
    <xdr:clientData/>
  </xdr:twoCellAnchor>
  <xdr:twoCellAnchor>
    <xdr:from>
      <xdr:col>0</xdr:col>
      <xdr:colOff>0</xdr:colOff>
      <xdr:row>2068</xdr:row>
      <xdr:rowOff>0</xdr:rowOff>
    </xdr:from>
    <xdr:to>
      <xdr:col>8</xdr:col>
      <xdr:colOff>0</xdr:colOff>
      <xdr:row>2070</xdr:row>
      <xdr:rowOff>87635</xdr:rowOff>
    </xdr:to>
    <xdr:sp macro="" textlink="">
      <xdr:nvSpPr>
        <xdr:cNvPr id="151" name="Text Box 11"/>
        <xdr:cNvSpPr txBox="1">
          <a:spLocks noChangeArrowheads="1"/>
        </xdr:cNvSpPr>
      </xdr:nvSpPr>
      <xdr:spPr bwMode="auto">
        <a:xfrm>
          <a:off x="0" y="298494450"/>
          <a:ext cx="6667500" cy="56388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4.2.1.2 Die Stadt Bern bietet ihr Dienstleistungsangebot weiteren öffentlichen Gemeinwesen an.</a:t>
          </a:r>
        </a:p>
        <a:p>
          <a:pPr algn="l" rtl="0">
            <a:defRPr sz="1000"/>
          </a:pPr>
          <a:r>
            <a:rPr lang="de-CH" sz="800" b="0" i="0" u="none" strike="noStrike" baseline="0">
              <a:solidFill>
                <a:srgbClr val="000000"/>
              </a:solidFill>
              <a:latin typeface="Arial"/>
              <a:cs typeface="Arial"/>
            </a:rPr>
            <a:t>4.2.2.1 Die Stadt Bern verfügt über eine Strategie für ein ausgebautes E-Government, erste Teile, insbesondere das Projekt "Gever" (Geschäftsverwaltung mit Dokumentenmanagement-System), sind umgesetzt.</a:t>
          </a:r>
        </a:p>
        <a:p>
          <a:pPr algn="l" rtl="0">
            <a:defRPr sz="1000"/>
          </a:pPr>
          <a:r>
            <a:rPr lang="de-CH" sz="800" b="0" i="0" u="none" strike="noStrike" baseline="0">
              <a:solidFill>
                <a:srgbClr val="000000"/>
              </a:solidFill>
              <a:latin typeface="Arial"/>
              <a:cs typeface="Arial"/>
            </a:rPr>
            <a:t>5.2.3.3 Ein Konzept zur Umsetzung des Informationsauftrags gemäss Ausländergesetz (Art. 56 AUG) ist erarbeitet.</a:t>
          </a:r>
        </a:p>
      </xdr:txBody>
    </xdr:sp>
    <xdr:clientData/>
  </xdr:twoCellAnchor>
  <xdr:twoCellAnchor>
    <xdr:from>
      <xdr:col>0</xdr:col>
      <xdr:colOff>0</xdr:colOff>
      <xdr:row>2138</xdr:row>
      <xdr:rowOff>38100</xdr:rowOff>
    </xdr:from>
    <xdr:to>
      <xdr:col>8</xdr:col>
      <xdr:colOff>0</xdr:colOff>
      <xdr:row>2143</xdr:row>
      <xdr:rowOff>68609</xdr:rowOff>
    </xdr:to>
    <xdr:sp macro="" textlink="">
      <xdr:nvSpPr>
        <xdr:cNvPr id="152" name="Text Box 6"/>
        <xdr:cNvSpPr txBox="1">
          <a:spLocks noChangeArrowheads="1"/>
        </xdr:cNvSpPr>
      </xdr:nvSpPr>
      <xdr:spPr bwMode="auto">
        <a:xfrm>
          <a:off x="0" y="309591075"/>
          <a:ext cx="6667500" cy="1135409"/>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Die Finanzierung der Sanitätspolizei erfolgt nach den Grundsätzen des Spitalversorgungsgesetzes. </a:t>
          </a:r>
        </a:p>
        <a:p>
          <a:pPr algn="l" rtl="0">
            <a:defRPr sz="1000"/>
          </a:pPr>
          <a:r>
            <a:rPr lang="de-CH" sz="800" b="0" i="0" u="none" strike="noStrike" baseline="0">
              <a:solidFill>
                <a:srgbClr val="000000"/>
              </a:solidFill>
              <a:latin typeface="Arial"/>
              <a:cs typeface="Arial"/>
            </a:rPr>
            <a:t>Dem Rettungsdienst werden nur die Bereitschaftskosten vergütet. Diese berechnen sich aus der Differenz der definierten Normkosten und der Erträge. Nettoerlöse führen zu einer Reduktion der Bereitschaftskosten im Folgejahr.</a:t>
          </a:r>
        </a:p>
        <a:p>
          <a:pPr algn="l" rtl="0">
            <a:defRPr sz="1000"/>
          </a:pPr>
          <a:r>
            <a:rPr lang="de-CH" sz="800" b="0" i="0" u="none" strike="noStrike" baseline="0">
              <a:solidFill>
                <a:srgbClr val="000000"/>
              </a:solidFill>
              <a:latin typeface="Arial"/>
              <a:cs typeface="Arial"/>
            </a:rPr>
            <a:t>Die Kosten der Sanitätsnotrufzentrale (SNZ) 144 werden vollumfänglich vom Kanton getragen.</a:t>
          </a:r>
        </a:p>
        <a:p>
          <a:pPr algn="l" rtl="0">
            <a:defRPr sz="1000"/>
          </a:pPr>
          <a:r>
            <a:rPr lang="de-CH" sz="800" b="0" i="0" u="none" strike="noStrike" baseline="0">
              <a:solidFill>
                <a:srgbClr val="000000"/>
              </a:solidFill>
              <a:latin typeface="Arial"/>
              <a:cs typeface="Arial"/>
            </a:rPr>
            <a:t>Ab 2013 ist mit dem Bezug des neuen Betriebsgebäudes mit höheren Mietkosten von rund Fr. 600'000.00 zu rechnen. Nach heutigem Kenntnisstand wird der gesamte Mietaufwand am neuen Standort durch den Kanton getragen.</a:t>
          </a:r>
        </a:p>
        <a:p>
          <a:pPr algn="l" rtl="0">
            <a:defRPr sz="1000"/>
          </a:pPr>
          <a:r>
            <a:rPr lang="de-CH" sz="800" b="0" i="0" u="none" strike="noStrike" baseline="0">
              <a:solidFill>
                <a:srgbClr val="000000"/>
              </a:solidFill>
              <a:latin typeface="Arial"/>
              <a:cs typeface="Arial"/>
            </a:rPr>
            <a:t>Sparmassnahmen 2012-16: Keine</a:t>
          </a:r>
        </a:p>
      </xdr:txBody>
    </xdr:sp>
    <xdr:clientData/>
  </xdr:twoCellAnchor>
  <xdr:twoCellAnchor>
    <xdr:from>
      <xdr:col>0</xdr:col>
      <xdr:colOff>0</xdr:colOff>
      <xdr:row>2147</xdr:row>
      <xdr:rowOff>125730</xdr:rowOff>
    </xdr:from>
    <xdr:to>
      <xdr:col>8</xdr:col>
      <xdr:colOff>0</xdr:colOff>
      <xdr:row>2151</xdr:row>
      <xdr:rowOff>78105</xdr:rowOff>
    </xdr:to>
    <xdr:sp macro="" textlink="">
      <xdr:nvSpPr>
        <xdr:cNvPr id="153" name="Text Box 7"/>
        <xdr:cNvSpPr txBox="1">
          <a:spLocks noChangeArrowheads="1"/>
        </xdr:cNvSpPr>
      </xdr:nvSpPr>
      <xdr:spPr bwMode="auto">
        <a:xfrm>
          <a:off x="0" y="311355105"/>
          <a:ext cx="6667500" cy="5238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Gemäss aktuellem Baufortschritt kann im Frühjahr 2013 das neue Betriebsgebäude an der Murtenstrasse bezogen werden. Darin enthalten sind der Rettungsdienst und die kantonale Sanitätsnotrufzentrale 144. Alle neun aktuellen Mietstandorte in der Stadt Bern werden nach dem Umzug nicht mehr benötigt. Voraussehbare Mehrkosten in diesem Zusammenhang sind in den Entwicklungstendenzen erläutert.</a:t>
          </a:r>
        </a:p>
      </xdr:txBody>
    </xdr:sp>
    <xdr:clientData/>
  </xdr:twoCellAnchor>
  <xdr:twoCellAnchor>
    <xdr:from>
      <xdr:col>0</xdr:col>
      <xdr:colOff>0</xdr:colOff>
      <xdr:row>2178</xdr:row>
      <xdr:rowOff>0</xdr:rowOff>
    </xdr:from>
    <xdr:to>
      <xdr:col>8</xdr:col>
      <xdr:colOff>0</xdr:colOff>
      <xdr:row>2181</xdr:row>
      <xdr:rowOff>0</xdr:rowOff>
    </xdr:to>
    <xdr:sp macro="" textlink="">
      <xdr:nvSpPr>
        <xdr:cNvPr id="154" name="Text Box 9"/>
        <xdr:cNvSpPr txBox="1">
          <a:spLocks noChangeArrowheads="1"/>
        </xdr:cNvSpPr>
      </xdr:nvSpPr>
      <xdr:spPr bwMode="auto">
        <a:xfrm>
          <a:off x="0" y="315658500"/>
          <a:ext cx="6667500" cy="3429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2153</xdr:row>
      <xdr:rowOff>0</xdr:rowOff>
    </xdr:from>
    <xdr:to>
      <xdr:col>8</xdr:col>
      <xdr:colOff>0</xdr:colOff>
      <xdr:row>2156</xdr:row>
      <xdr:rowOff>0</xdr:rowOff>
    </xdr:to>
    <xdr:sp macro="" textlink="">
      <xdr:nvSpPr>
        <xdr:cNvPr id="155" name="Text Box 10"/>
        <xdr:cNvSpPr txBox="1">
          <a:spLocks noChangeArrowheads="1"/>
        </xdr:cNvSpPr>
      </xdr:nvSpPr>
      <xdr:spPr bwMode="auto">
        <a:xfrm>
          <a:off x="0" y="312086625"/>
          <a:ext cx="6667500"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Personen, welche im Einsatzgebiet der Sanitätspolizei medizinische Notfälle und/oder akute Erkrankungen erleiden.</a:t>
          </a:r>
        </a:p>
        <a:p>
          <a:pPr algn="l" rtl="0">
            <a:defRPr sz="1000"/>
          </a:pPr>
          <a:r>
            <a:rPr lang="de-CH" sz="800" b="0" i="0" u="none" strike="noStrike" baseline="0">
              <a:solidFill>
                <a:srgbClr val="000000"/>
              </a:solidFill>
              <a:latin typeface="Arial"/>
              <a:cs typeface="Arial"/>
            </a:rPr>
            <a:t>Spitäler und Ärzte, welche für ihre Patientinnen und Patienten Ambulanztransporte benötigen.</a:t>
          </a:r>
        </a:p>
      </xdr:txBody>
    </xdr:sp>
    <xdr:clientData/>
  </xdr:twoCellAnchor>
  <xdr:twoCellAnchor>
    <xdr:from>
      <xdr:col>0</xdr:col>
      <xdr:colOff>0</xdr:colOff>
      <xdr:row>2132</xdr:row>
      <xdr:rowOff>0</xdr:rowOff>
    </xdr:from>
    <xdr:to>
      <xdr:col>8</xdr:col>
      <xdr:colOff>0</xdr:colOff>
      <xdr:row>2136</xdr:row>
      <xdr:rowOff>0</xdr:rowOff>
    </xdr:to>
    <xdr:sp macro="" textlink="">
      <xdr:nvSpPr>
        <xdr:cNvPr id="156" name="Text Box 11"/>
        <xdr:cNvSpPr txBox="1">
          <a:spLocks noChangeArrowheads="1"/>
        </xdr:cNvSpPr>
      </xdr:nvSpPr>
      <xdr:spPr bwMode="auto">
        <a:xfrm>
          <a:off x="0" y="308790975"/>
          <a:ext cx="6667500" cy="3619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2208</xdr:row>
      <xdr:rowOff>0</xdr:rowOff>
    </xdr:from>
    <xdr:to>
      <xdr:col>7</xdr:col>
      <xdr:colOff>733425</xdr:colOff>
      <xdr:row>2212</xdr:row>
      <xdr:rowOff>0</xdr:rowOff>
    </xdr:to>
    <xdr:sp macro="" textlink="">
      <xdr:nvSpPr>
        <xdr:cNvPr id="157" name="Text Box 6"/>
        <xdr:cNvSpPr txBox="1">
          <a:spLocks noChangeArrowheads="1"/>
        </xdr:cNvSpPr>
      </xdr:nvSpPr>
      <xdr:spPr bwMode="auto">
        <a:xfrm>
          <a:off x="0" y="319830450"/>
          <a:ext cx="6629400" cy="5715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Die Produktegruppe "Übrige Dienstleistungen" bezweckt die wirtschaftliche und fachkompetente Aus- und Weiterbildung unter Kostenverrechnung. </a:t>
          </a:r>
        </a:p>
        <a:p>
          <a:pPr algn="l" rtl="0">
            <a:defRPr sz="1000"/>
          </a:pPr>
          <a:r>
            <a:rPr lang="de-CH" sz="800" b="0" i="0" u="none" strike="noStrike" baseline="0">
              <a:solidFill>
                <a:srgbClr val="000000"/>
              </a:solidFill>
              <a:latin typeface="Arial"/>
              <a:cs typeface="Arial"/>
            </a:rPr>
            <a:t>Sparmassnahmen 2012-16: Keine</a:t>
          </a:r>
        </a:p>
        <a:p>
          <a:pPr algn="l" rtl="0">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2214</xdr:row>
      <xdr:rowOff>0</xdr:rowOff>
    </xdr:from>
    <xdr:to>
      <xdr:col>7</xdr:col>
      <xdr:colOff>742949</xdr:colOff>
      <xdr:row>2218</xdr:row>
      <xdr:rowOff>9525</xdr:rowOff>
    </xdr:to>
    <xdr:sp macro="" textlink="">
      <xdr:nvSpPr>
        <xdr:cNvPr id="158" name="Text Box 7"/>
        <xdr:cNvSpPr txBox="1">
          <a:spLocks noChangeArrowheads="1"/>
        </xdr:cNvSpPr>
      </xdr:nvSpPr>
      <xdr:spPr bwMode="auto">
        <a:xfrm>
          <a:off x="0" y="320659125"/>
          <a:ext cx="6638924" cy="5810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2245</xdr:row>
      <xdr:rowOff>0</xdr:rowOff>
    </xdr:from>
    <xdr:to>
      <xdr:col>7</xdr:col>
      <xdr:colOff>752475</xdr:colOff>
      <xdr:row>2248</xdr:row>
      <xdr:rowOff>0</xdr:rowOff>
    </xdr:to>
    <xdr:sp macro="" textlink="">
      <xdr:nvSpPr>
        <xdr:cNvPr id="159" name="Text Box 9"/>
        <xdr:cNvSpPr txBox="1">
          <a:spLocks noChangeArrowheads="1"/>
        </xdr:cNvSpPr>
      </xdr:nvSpPr>
      <xdr:spPr bwMode="auto">
        <a:xfrm>
          <a:off x="0" y="325059675"/>
          <a:ext cx="6648450"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a:p>
          <a:pPr algn="l" rtl="0">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2221</xdr:row>
      <xdr:rowOff>0</xdr:rowOff>
    </xdr:from>
    <xdr:to>
      <xdr:col>7</xdr:col>
      <xdr:colOff>742949</xdr:colOff>
      <xdr:row>2223</xdr:row>
      <xdr:rowOff>0</xdr:rowOff>
    </xdr:to>
    <xdr:sp macro="" textlink="">
      <xdr:nvSpPr>
        <xdr:cNvPr id="160" name="Text Box 10"/>
        <xdr:cNvSpPr txBox="1">
          <a:spLocks noChangeArrowheads="1"/>
        </xdr:cNvSpPr>
      </xdr:nvSpPr>
      <xdr:spPr bwMode="auto">
        <a:xfrm>
          <a:off x="0" y="321630675"/>
          <a:ext cx="6638924"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Mitarbeitende von Blaulichtorganisationen, Spitälern und Betrieben im Kanton Bern, welche Aus- und Weiterbildungsangebote für erweiterte lebensrettende Sofortmassnahmen benötigen.</a:t>
          </a:r>
        </a:p>
        <a:p>
          <a:pPr algn="l" rtl="0">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2200</xdr:row>
      <xdr:rowOff>0</xdr:rowOff>
    </xdr:from>
    <xdr:to>
      <xdr:col>7</xdr:col>
      <xdr:colOff>761999</xdr:colOff>
      <xdr:row>2206</xdr:row>
      <xdr:rowOff>0</xdr:rowOff>
    </xdr:to>
    <xdr:sp macro="" textlink="">
      <xdr:nvSpPr>
        <xdr:cNvPr id="161" name="Text Box 11"/>
        <xdr:cNvSpPr txBox="1">
          <a:spLocks noChangeArrowheads="1"/>
        </xdr:cNvSpPr>
      </xdr:nvSpPr>
      <xdr:spPr bwMode="auto">
        <a:xfrm>
          <a:off x="0" y="318573150"/>
          <a:ext cx="6657974" cy="8572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2277</xdr:row>
      <xdr:rowOff>38100</xdr:rowOff>
    </xdr:from>
    <xdr:to>
      <xdr:col>7</xdr:col>
      <xdr:colOff>742950</xdr:colOff>
      <xdr:row>2291</xdr:row>
      <xdr:rowOff>0</xdr:rowOff>
    </xdr:to>
    <xdr:sp macro="" textlink="">
      <xdr:nvSpPr>
        <xdr:cNvPr id="162" name="Text Box 6"/>
        <xdr:cNvSpPr txBox="1">
          <a:spLocks noChangeArrowheads="1"/>
        </xdr:cNvSpPr>
      </xdr:nvSpPr>
      <xdr:spPr bwMode="auto">
        <a:xfrm>
          <a:off x="0" y="329641200"/>
          <a:ext cx="6638925" cy="19812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ct val="100000"/>
            </a:lnSpc>
            <a:defRPr sz="1000"/>
          </a:pPr>
          <a:r>
            <a:rPr lang="de-CH" sz="800" b="0" i="0" u="none" strike="noStrike" baseline="0">
              <a:solidFill>
                <a:srgbClr val="000000"/>
              </a:solidFill>
              <a:latin typeface="Arial"/>
              <a:cs typeface="Arial"/>
            </a:rPr>
            <a:t>Technologische Fortschritte stellen neue und höhere Anforderungen an die Einsatztaktik und -technik der Feuerwehr. Zudem werden im Bereich von politischen, zivilisations- und umweltbedingten Risiken die Aufgaben (z.B. Personenrettungen) kontinuierlich zunehmen. Die Abteilung FZQ setzt alles daran, den Schutz der Bevölkerung auf dem heutigen Niveau zu halten. Die Versorgungssicherheit erzwingt zudem, dass bei ändernden Bedrohungs-formen (z.B. Terrorismus), die Aufgaben und vorbeugenden Massnahmen dynamisch der Lage angepasst werden. Die Feuerwehr der Stadt Bern kann, gestützt auf die Risiken und Gefahren, zukünftig nicht mehr isoliert operieren. Sie muss, eingebettet in übergeordnete Systeme (Region, Kanton, Bund), die Versorgungssicherheit garantieren. Diese gegenseitige Hilfe ergibt eine höhere Leistungsfähigkeit und einen den wechselnden Anforderun-gen besser angepassten Einsatzerfolg. Die vom Kanton übertragenen Stützpunktaufgaben (Autobahn-, Strassen-, Bahn- und ABC-Stützpunkt) er-höhen die Fähigkeit der Feuerwehr in mehrfacher Hinsicht deutlich und bringen damit auch der Bevölkerung der Stadt einen nachhaltigen Mehrwert wie, z.B. bei der Bewältigung von Notlagen und Katastrophen. Zudem generieren diese Stützpunktaufgaben finanzielle Entgelte, die mithelfen, die anstehenden Aufgaben zu finanzieren. </a:t>
          </a:r>
        </a:p>
        <a:p>
          <a:pPr algn="l" rtl="0">
            <a:lnSpc>
              <a:spcPct val="100000"/>
            </a:lnSpc>
            <a:defRPr sz="1000"/>
          </a:pPr>
          <a:endParaRPr lang="de-CH" sz="800" b="0" i="0" u="none" strike="noStrike" baseline="0">
            <a:solidFill>
              <a:srgbClr val="000000"/>
            </a:solidFill>
            <a:latin typeface="Arial"/>
            <a:cs typeface="Arial"/>
          </a:endParaRPr>
        </a:p>
        <a:p>
          <a:pPr algn="l" rtl="0">
            <a:lnSpc>
              <a:spcPct val="100000"/>
            </a:lnSpc>
            <a:defRPr sz="1000"/>
          </a:pPr>
          <a:r>
            <a:rPr lang="de-CH" sz="800" b="0" i="0" u="none" strike="noStrike" baseline="0">
              <a:solidFill>
                <a:srgbClr val="000000"/>
              </a:solidFill>
              <a:latin typeface="Arial"/>
              <a:cs typeface="Arial"/>
            </a:rPr>
            <a:t>Sparmassnahmen 2012 - 2016 :</a:t>
          </a:r>
        </a:p>
        <a:p>
          <a:pPr algn="l" rtl="0">
            <a:lnSpc>
              <a:spcPct val="100000"/>
            </a:lnSpc>
            <a:defRPr sz="1000"/>
          </a:pPr>
          <a:r>
            <a:rPr lang="de-CH" sz="800" b="0" i="0" u="none" strike="noStrike" baseline="0">
              <a:solidFill>
                <a:srgbClr val="000000"/>
              </a:solidFill>
              <a:latin typeface="Arial"/>
              <a:cs typeface="Arial"/>
            </a:rPr>
            <a:t>In den Jahren 2014 und 2016 werden die Berufsfeuerwehrlehrgänge mit jeweils 4 Teilnehmern für die Berufsfeuerwehr Bern (pro Jahr 3.6 Stellen) durchgeführt. Die Sparmassnahme „Verzicht auf Berufsfeuerwehrlehrgang“ wird in den Jahren 2012 und 2013 mit je Fr. 540'000.00 umgesetzt. Dies hat in den Jahren 2014 und 2016 einmalige Erhöhungen der Personalkosten von je Fr. 540'000.00 zur Folge. Die Mehreinnahmen „Gebührener-höhung Gefahrenmeldeanlagen“ von Fr. 120‘000.00 pro Jahr sind in den Jahren 2012 - 2016 enthalten.</a:t>
          </a:r>
        </a:p>
      </xdr:txBody>
    </xdr:sp>
    <xdr:clientData/>
  </xdr:twoCellAnchor>
  <xdr:twoCellAnchor>
    <xdr:from>
      <xdr:col>0</xdr:col>
      <xdr:colOff>0</xdr:colOff>
      <xdr:row>2293</xdr:row>
      <xdr:rowOff>38100</xdr:rowOff>
    </xdr:from>
    <xdr:to>
      <xdr:col>7</xdr:col>
      <xdr:colOff>742949</xdr:colOff>
      <xdr:row>2301</xdr:row>
      <xdr:rowOff>0</xdr:rowOff>
    </xdr:to>
    <xdr:sp macro="" textlink="">
      <xdr:nvSpPr>
        <xdr:cNvPr id="163" name="Text Box 7"/>
        <xdr:cNvSpPr txBox="1">
          <a:spLocks noChangeArrowheads="1"/>
        </xdr:cNvSpPr>
      </xdr:nvSpPr>
      <xdr:spPr bwMode="auto">
        <a:xfrm>
          <a:off x="0" y="331946250"/>
          <a:ext cx="6638924" cy="11049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ct val="100000"/>
            </a:lnSpc>
            <a:defRPr sz="1000"/>
          </a:pPr>
          <a:r>
            <a:rPr lang="de-CH" sz="800" b="0" i="0" u="none" strike="noStrike" baseline="0">
              <a:solidFill>
                <a:srgbClr val="000000"/>
              </a:solidFill>
              <a:latin typeface="Arial"/>
              <a:cs typeface="Arial"/>
            </a:rPr>
            <a:t>Pensionierungen in den Jahren 2014 (1 Stelle) und 2015 (2 Stellen) entlasten die Personalkosten.</a:t>
          </a:r>
        </a:p>
        <a:p>
          <a:pPr algn="l" rtl="0">
            <a:lnSpc>
              <a:spcPct val="100000"/>
            </a:lnSpc>
            <a:defRPr sz="1000"/>
          </a:pPr>
          <a:r>
            <a:rPr lang="de-CH" sz="800" b="0" i="0" u="none" strike="noStrike" baseline="0">
              <a:solidFill>
                <a:srgbClr val="000000"/>
              </a:solidFill>
              <a:latin typeface="Arial"/>
              <a:cs typeface="Arial"/>
            </a:rPr>
            <a:t>Die Vorbereitungs-, Rückbau- und Umzugskosten des Projekts Forsthaus West wurden mit der Reduktion um Fr. 500'000.00 im Jahr 2014 sowie </a:t>
          </a:r>
        </a:p>
        <a:p>
          <a:pPr algn="l" rtl="0">
            <a:lnSpc>
              <a:spcPct val="100000"/>
            </a:lnSpc>
            <a:defRPr sz="1000"/>
          </a:pPr>
          <a:r>
            <a:rPr lang="de-CH" sz="800" b="0" i="0" u="none" strike="noStrike" baseline="0">
              <a:solidFill>
                <a:srgbClr val="000000"/>
              </a:solidFill>
              <a:latin typeface="Arial"/>
              <a:cs typeface="Arial"/>
            </a:rPr>
            <a:t>Fr. 200'000.00 im Jahr 2015 erarbeitet. Durch den Bezug des neuen Feuerwehrstützpunktes Forsthaus West fallen zusätzlich wiederkehrende Miet-, Heiz- und Betriebskosten (HBK) von Fr. 700'000.00 im Jahr 2015 respektive Fr. 1'000'000.00 ab dem Jahr 2016 an (GRB 0296 vom 29.02.2012 sowie SRB 648 vom 26.11.2009). Die Neukonzeption der Feuerwehreinsatzleitzentrale (FELZ) im Zusammenhang mit der Umsetzung des Feuerwehrstütz-punktes Forsthaus West und mit der gleichzeitig erforderlichen Anpassung an den technologischen Stand der kantonalen Alarmierungs- und Disposi-tionsplattform AVANTI der Kantonspolizei, verursachen ab 2015 wiederkehrende Mehrkosten bei der Informatikinfrastruktur von Fr. 100'000.00 (SRB 047 vom 01.02.2007). Ab 2013 reduzieren sich die Sachkosten um Fr. 68'700.00 (Gebühren SMT und Büromaterial)</a:t>
          </a:r>
        </a:p>
        <a:p>
          <a:pPr algn="l" rtl="0">
            <a:defRPr sz="1000"/>
          </a:pPr>
          <a:endParaRPr lang="de-CH"/>
        </a:p>
      </xdr:txBody>
    </xdr:sp>
    <xdr:clientData/>
  </xdr:twoCellAnchor>
  <xdr:twoCellAnchor>
    <xdr:from>
      <xdr:col>0</xdr:col>
      <xdr:colOff>0</xdr:colOff>
      <xdr:row>2327</xdr:row>
      <xdr:rowOff>0</xdr:rowOff>
    </xdr:from>
    <xdr:to>
      <xdr:col>7</xdr:col>
      <xdr:colOff>752475</xdr:colOff>
      <xdr:row>2330</xdr:row>
      <xdr:rowOff>0</xdr:rowOff>
    </xdr:to>
    <xdr:sp macro="" textlink="">
      <xdr:nvSpPr>
        <xdr:cNvPr id="164" name="Text Box 9"/>
        <xdr:cNvSpPr txBox="1">
          <a:spLocks noChangeArrowheads="1"/>
        </xdr:cNvSpPr>
      </xdr:nvSpPr>
      <xdr:spPr bwMode="auto">
        <a:xfrm>
          <a:off x="0" y="336765900"/>
          <a:ext cx="6648450" cy="3429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Atemschutzfahrzeug, Tanklöschfahrzeug, Autodrehleiter, Einsatzleitwagen, Vorausfahrzeug Rettung, Grosstanklöschfahrzeug, Pulverlöschfahrzeug, Alarmierungsmittel</a:t>
          </a:r>
        </a:p>
      </xdr:txBody>
    </xdr:sp>
    <xdr:clientData/>
  </xdr:twoCellAnchor>
  <xdr:twoCellAnchor>
    <xdr:from>
      <xdr:col>0</xdr:col>
      <xdr:colOff>0</xdr:colOff>
      <xdr:row>2303</xdr:row>
      <xdr:rowOff>0</xdr:rowOff>
    </xdr:from>
    <xdr:to>
      <xdr:col>7</xdr:col>
      <xdr:colOff>752475</xdr:colOff>
      <xdr:row>2305</xdr:row>
      <xdr:rowOff>0</xdr:rowOff>
    </xdr:to>
    <xdr:sp macro="" textlink="">
      <xdr:nvSpPr>
        <xdr:cNvPr id="165" name="Text Box 10"/>
        <xdr:cNvSpPr txBox="1">
          <a:spLocks noChangeArrowheads="1"/>
        </xdr:cNvSpPr>
      </xdr:nvSpPr>
      <xdr:spPr bwMode="auto">
        <a:xfrm>
          <a:off x="0" y="333336900"/>
          <a:ext cx="664845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Einwohnerinnen und Einwohner, GVB, Versicherungen allgemein, Industrie und Gewerbe, POM, VOL, Ortsfeuerwehren, Kapo, Fedpo, Sano, REGA, Gemeinden Frauenkappelen und Bremgarten.</a:t>
          </a:r>
        </a:p>
      </xdr:txBody>
    </xdr:sp>
    <xdr:clientData/>
  </xdr:twoCellAnchor>
  <xdr:twoCellAnchor>
    <xdr:from>
      <xdr:col>0</xdr:col>
      <xdr:colOff>0</xdr:colOff>
      <xdr:row>2271</xdr:row>
      <xdr:rowOff>0</xdr:rowOff>
    </xdr:from>
    <xdr:to>
      <xdr:col>7</xdr:col>
      <xdr:colOff>752475</xdr:colOff>
      <xdr:row>2274</xdr:row>
      <xdr:rowOff>38100</xdr:rowOff>
    </xdr:to>
    <xdr:sp macro="" textlink="">
      <xdr:nvSpPr>
        <xdr:cNvPr id="166" name="Text Box 11"/>
        <xdr:cNvSpPr txBox="1">
          <a:spLocks noChangeArrowheads="1"/>
        </xdr:cNvSpPr>
      </xdr:nvSpPr>
      <xdr:spPr bwMode="auto">
        <a:xfrm>
          <a:off x="0" y="328631550"/>
          <a:ext cx="6648450" cy="4667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1.2.2 Die Stadt Bern sorgt dafür, dasss sie als sicher wahrgenommen wird.</a:t>
          </a:r>
        </a:p>
        <a:p>
          <a:pPr algn="l" rtl="0">
            <a:defRPr sz="1000"/>
          </a:pPr>
          <a:r>
            <a:rPr lang="de-CH" sz="800" b="0" i="0" u="none" strike="noStrike" baseline="0">
              <a:solidFill>
                <a:srgbClr val="000000"/>
              </a:solidFill>
              <a:latin typeface="Arial"/>
              <a:cs typeface="Arial"/>
            </a:rPr>
            <a:t>3.2.2.3 Die Stadt Bern setzt für die Stadtverwaltung konsequent auf energieeffiziente Fahrzeuge.</a:t>
          </a:r>
        </a:p>
        <a:p>
          <a:pPr algn="l" rtl="0">
            <a:defRPr sz="1000"/>
          </a:pPr>
          <a:r>
            <a:rPr lang="de-CH" sz="800" b="0" i="0" u="none" strike="noStrike" baseline="0">
              <a:solidFill>
                <a:srgbClr val="000000"/>
              </a:solidFill>
              <a:latin typeface="Arial"/>
              <a:cs typeface="Arial"/>
            </a:rPr>
            <a:t>4.2.1.2 Die Stadt Bern bietet ihr Dienstleistungsangebot weiteren öffentlichen Gemeinwesen an.</a:t>
          </a:r>
        </a:p>
      </xdr:txBody>
    </xdr:sp>
    <xdr:clientData/>
  </xdr:twoCellAnchor>
  <xdr:twoCellAnchor>
    <xdr:from>
      <xdr:col>0</xdr:col>
      <xdr:colOff>19050</xdr:colOff>
      <xdr:row>2355</xdr:row>
      <xdr:rowOff>30480</xdr:rowOff>
    </xdr:from>
    <xdr:to>
      <xdr:col>8</xdr:col>
      <xdr:colOff>0</xdr:colOff>
      <xdr:row>2364</xdr:row>
      <xdr:rowOff>11501</xdr:rowOff>
    </xdr:to>
    <xdr:sp macro="" textlink="">
      <xdr:nvSpPr>
        <xdr:cNvPr id="167" name="Text Box 6"/>
        <xdr:cNvSpPr txBox="1">
          <a:spLocks noChangeArrowheads="1"/>
        </xdr:cNvSpPr>
      </xdr:nvSpPr>
      <xdr:spPr bwMode="auto">
        <a:xfrm>
          <a:off x="19050" y="340634955"/>
          <a:ext cx="6648450" cy="1266896"/>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800"/>
            </a:lnSpc>
            <a:defRPr sz="1000"/>
          </a:pPr>
          <a:r>
            <a:rPr lang="de-CH" sz="800" b="0" i="0" u="none" strike="noStrike" baseline="0">
              <a:solidFill>
                <a:srgbClr val="000000"/>
              </a:solidFill>
              <a:latin typeface="Arial"/>
              <a:cs typeface="Arial"/>
            </a:rPr>
            <a:t>Zivilisationsbedingt und durch die demographische Entwicklung gefördert, weist die Bevölkerung heute immer weniger handwerkliche und technische Fähigkeiten auf, um sich bei kleinen Notlagen wie Insektenplagen, Wasserleitungsbrüchen usw. selber zu helfen. Der Trend wird in Bezug auf die Menge diesbezüglicher Ereignisse, aber auch auf Grund der abnehmenden Fähigkeiten, zunehmen. Zudem generiert die Stadt Bern als Event-Stadt steigende Sicherheitsbedürfnisse (bspw. Stade de Suisse) für die Feuerwehr. Die diesbezüglichen Dienstleistungen tragen zur Kostendeckung der Feuerwehrprodukte bei. Die Bruttokosten sind grösstenteils fixe Gemeinkosten.</a:t>
          </a:r>
        </a:p>
        <a:p>
          <a:pPr algn="l" rtl="0">
            <a:defRPr sz="1000"/>
          </a:pPr>
          <a:endParaRPr lang="de-CH" sz="800" b="0" i="0" u="none" strike="noStrike" baseline="0">
            <a:solidFill>
              <a:srgbClr val="000000"/>
            </a:solidFill>
            <a:latin typeface="Arial"/>
            <a:cs typeface="Arial"/>
          </a:endParaRPr>
        </a:p>
        <a:p>
          <a:pPr algn="l" rtl="0">
            <a:defRPr sz="1000"/>
          </a:pPr>
          <a:r>
            <a:rPr lang="de-CH" sz="800" b="0" i="0" u="none" strike="noStrike" baseline="0">
              <a:solidFill>
                <a:srgbClr val="000000"/>
              </a:solidFill>
              <a:latin typeface="Arial"/>
              <a:cs typeface="Arial"/>
            </a:rPr>
            <a:t>Sparmassnahmen 2012 - 2016:</a:t>
          </a:r>
        </a:p>
        <a:p>
          <a:pPr algn="l" rtl="0">
            <a:lnSpc>
              <a:spcPts val="800"/>
            </a:lnSpc>
            <a:defRPr sz="1000"/>
          </a:pPr>
          <a:r>
            <a:rPr lang="de-CH" sz="800" b="0" i="0" u="none" strike="noStrike" baseline="0">
              <a:solidFill>
                <a:srgbClr val="000000"/>
              </a:solidFill>
              <a:latin typeface="Arial"/>
              <a:cs typeface="Arial"/>
            </a:rPr>
            <a:t>In den Jahren 2014 und 2016 werden die Berufsfeuerwehrlehrgänge mit jeweils 4 Teilnehmern für die Berufsfeuerwehr Bern (pro Jahr 0.4 Stellen) durchgeführt. Die diesbezügliche Sparmassnahme „Verzicht auf Berufsfeuerwehrlehrgang“ wurde in den Jahren 2012 und 2013 mit  je Fr. 60'000.00 umgesetzt. Dies hat in den Jahren 2014 und 2016 einmalige Erhöhungen der Personalkosten von je Fr. 60'000.00 zur Folge. </a:t>
          </a:r>
        </a:p>
        <a:p>
          <a:pPr algn="l" rtl="0">
            <a:lnSpc>
              <a:spcPts val="1000"/>
            </a:lnSpc>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2366</xdr:row>
      <xdr:rowOff>0</xdr:rowOff>
    </xdr:from>
    <xdr:to>
      <xdr:col>8</xdr:col>
      <xdr:colOff>0</xdr:colOff>
      <xdr:row>2369</xdr:row>
      <xdr:rowOff>0</xdr:rowOff>
    </xdr:to>
    <xdr:sp macro="" textlink="">
      <xdr:nvSpPr>
        <xdr:cNvPr id="168" name="Text Box 7"/>
        <xdr:cNvSpPr txBox="1">
          <a:spLocks noChangeArrowheads="1"/>
        </xdr:cNvSpPr>
      </xdr:nvSpPr>
      <xdr:spPr bwMode="auto">
        <a:xfrm>
          <a:off x="0" y="342176100"/>
          <a:ext cx="6667500" cy="2952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Fahrzeuginvestitionen im Jahr 2016 verursachen höhere Abschreibungen und Zinsen von Fr. 85'000.00 was zu einem Anstieg der Bruttokosten führt. Ab 2013 erhöhen sich die Entgelte um Fr. 100'000.00.</a:t>
          </a:r>
        </a:p>
        <a:p>
          <a:pPr algn="l" rtl="0">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2395</xdr:row>
      <xdr:rowOff>0</xdr:rowOff>
    </xdr:from>
    <xdr:to>
      <xdr:col>8</xdr:col>
      <xdr:colOff>0</xdr:colOff>
      <xdr:row>2397</xdr:row>
      <xdr:rowOff>9525</xdr:rowOff>
    </xdr:to>
    <xdr:sp macro="" textlink="">
      <xdr:nvSpPr>
        <xdr:cNvPr id="169" name="Text Box 9"/>
        <xdr:cNvSpPr txBox="1">
          <a:spLocks noChangeArrowheads="1"/>
        </xdr:cNvSpPr>
      </xdr:nvSpPr>
      <xdr:spPr bwMode="auto">
        <a:xfrm>
          <a:off x="0" y="346109925"/>
          <a:ext cx="6667500" cy="2571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Pionierfahrzeug, Kleinalarmwagen, Transportwagen, Universaltransportwagen</a:t>
          </a:r>
        </a:p>
        <a:p>
          <a:pPr algn="l" rtl="0">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2371</xdr:row>
      <xdr:rowOff>0</xdr:rowOff>
    </xdr:from>
    <xdr:to>
      <xdr:col>8</xdr:col>
      <xdr:colOff>0</xdr:colOff>
      <xdr:row>2373</xdr:row>
      <xdr:rowOff>0</xdr:rowOff>
    </xdr:to>
    <xdr:sp macro="" textlink="">
      <xdr:nvSpPr>
        <xdr:cNvPr id="170" name="Text Box 10"/>
        <xdr:cNvSpPr txBox="1">
          <a:spLocks noChangeArrowheads="1"/>
        </xdr:cNvSpPr>
      </xdr:nvSpPr>
      <xdr:spPr bwMode="auto">
        <a:xfrm>
          <a:off x="0" y="342728550"/>
          <a:ext cx="6667500" cy="2381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Einwohnerinnen und Einwohner, Besuchende, Gewerbe.</a:t>
          </a:r>
        </a:p>
      </xdr:txBody>
    </xdr:sp>
    <xdr:clientData/>
  </xdr:twoCellAnchor>
  <xdr:twoCellAnchor>
    <xdr:from>
      <xdr:col>0</xdr:col>
      <xdr:colOff>0</xdr:colOff>
      <xdr:row>2350</xdr:row>
      <xdr:rowOff>38100</xdr:rowOff>
    </xdr:from>
    <xdr:to>
      <xdr:col>8</xdr:col>
      <xdr:colOff>0</xdr:colOff>
      <xdr:row>2353</xdr:row>
      <xdr:rowOff>11509</xdr:rowOff>
    </xdr:to>
    <xdr:sp macro="" textlink="">
      <xdr:nvSpPr>
        <xdr:cNvPr id="171" name="Text Box 10"/>
        <xdr:cNvSpPr txBox="1">
          <a:spLocks noChangeArrowheads="1"/>
        </xdr:cNvSpPr>
      </xdr:nvSpPr>
      <xdr:spPr bwMode="auto">
        <a:xfrm>
          <a:off x="0" y="339785325"/>
          <a:ext cx="6667500" cy="40203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rtl="0"/>
          <a:r>
            <a:rPr lang="de-CH" sz="800" b="0" i="0" baseline="0">
              <a:effectLst/>
              <a:latin typeface="Arial" pitchFamily="34" charset="0"/>
              <a:ea typeface="+mn-ea"/>
              <a:cs typeface="Arial" pitchFamily="34" charset="0"/>
            </a:rPr>
            <a:t>1.2.2 Die Stadt Bern sorgt dafür, dasss sie als sicher wahrgenommen wird. </a:t>
          </a:r>
          <a:endParaRPr lang="de-CH" sz="800">
            <a:effectLst/>
            <a:latin typeface="Arial" pitchFamily="34" charset="0"/>
            <a:cs typeface="Arial" pitchFamily="34" charset="0"/>
          </a:endParaRPr>
        </a:p>
        <a:p>
          <a:pPr rtl="0"/>
          <a:r>
            <a:rPr lang="de-CH" sz="800" b="0" i="0" baseline="0">
              <a:effectLst/>
              <a:latin typeface="Arial" pitchFamily="34" charset="0"/>
              <a:ea typeface="+mn-ea"/>
              <a:cs typeface="Arial" pitchFamily="34" charset="0"/>
            </a:rPr>
            <a:t>3.2.2.3 Die Stadt Bern setzt für die Stadtverwaltung konsequent auf energieeffiziente Fahrzeuge. </a:t>
          </a:r>
          <a:endParaRPr lang="de-CH" sz="800">
            <a:effectLst/>
            <a:latin typeface="Arial" pitchFamily="34" charset="0"/>
            <a:cs typeface="Arial" pitchFamily="34" charset="0"/>
          </a:endParaRPr>
        </a:p>
        <a:p>
          <a:pPr rtl="0"/>
          <a:r>
            <a:rPr lang="de-CH" sz="800" b="0" i="0" baseline="0">
              <a:effectLst/>
              <a:latin typeface="Arial" pitchFamily="34" charset="0"/>
              <a:ea typeface="+mn-ea"/>
              <a:cs typeface="Arial" pitchFamily="34" charset="0"/>
            </a:rPr>
            <a:t>4.2.1.2 Die Stadt Bern bietet ihr Dienstleistungsangebot weiteren öffentlichen Gemeinwesen an.</a:t>
          </a:r>
          <a:endParaRPr lang="de-CH" sz="800">
            <a:effectLst/>
            <a:latin typeface="Arial" pitchFamily="34" charset="0"/>
            <a:cs typeface="Arial" pitchFamily="34" charset="0"/>
          </a:endParaRPr>
        </a:p>
      </xdr:txBody>
    </xdr:sp>
    <xdr:clientData/>
  </xdr:twoCellAnchor>
  <xdr:twoCellAnchor>
    <xdr:from>
      <xdr:col>0</xdr:col>
      <xdr:colOff>0</xdr:colOff>
      <xdr:row>2424</xdr:row>
      <xdr:rowOff>0</xdr:rowOff>
    </xdr:from>
    <xdr:to>
      <xdr:col>8</xdr:col>
      <xdr:colOff>0</xdr:colOff>
      <xdr:row>2428</xdr:row>
      <xdr:rowOff>82050</xdr:rowOff>
    </xdr:to>
    <xdr:sp macro="" textlink="">
      <xdr:nvSpPr>
        <xdr:cNvPr id="172" name="Text Box 6"/>
        <xdr:cNvSpPr txBox="1">
          <a:spLocks noChangeArrowheads="1"/>
        </xdr:cNvSpPr>
      </xdr:nvSpPr>
      <xdr:spPr bwMode="auto">
        <a:xfrm>
          <a:off x="0" y="350186625"/>
          <a:ext cx="6667500" cy="6535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Die Zivilschutzorganisation der Stadt Bern, ein Milizelement zur Hilfe in Katastrophen- und Notlagen, ist im letzten Jahrzehnt von über 10'000 Angehörigen auf einen aktiven Sollbestand von 500 Personen (Umsetzung Zivilschutz XXI) reduziert worden. Damit ist eine Grösse erreicht, die modernen, schlanken Einsatzformen entspricht. Der notwendige kontinuierliche Ergänzungs- und Ablöseeinsatz im Ereignisfall kann damit, minimalen Bedürfnissen entsprechend, abgedeckt werden. Der Umfang der städtischen Personalressourcen für den Zivilschutz erfüllt die kantonalen und eidgenössischen Vorgaben minimal.</a:t>
          </a:r>
        </a:p>
        <a:p>
          <a:pPr algn="l" rtl="0">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2430</xdr:row>
      <xdr:rowOff>0</xdr:rowOff>
    </xdr:from>
    <xdr:to>
      <xdr:col>8</xdr:col>
      <xdr:colOff>0</xdr:colOff>
      <xdr:row>2433</xdr:row>
      <xdr:rowOff>87690</xdr:rowOff>
    </xdr:to>
    <xdr:sp macro="" textlink="">
      <xdr:nvSpPr>
        <xdr:cNvPr id="173" name="Text Box 7"/>
        <xdr:cNvSpPr txBox="1">
          <a:spLocks noChangeArrowheads="1"/>
        </xdr:cNvSpPr>
      </xdr:nvSpPr>
      <xdr:spPr bwMode="auto">
        <a:xfrm>
          <a:off x="0" y="351043875"/>
          <a:ext cx="6667500" cy="5163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Durch die geplante Fusion der Zivilschutzorganisation (ZSO) der Stadt Bern mit den ZSO der Gemeinden Zollikofen und Münchenbuchsee werden ab dem Jahr 2013 voraussichtlich Mehreinnahmen in der Höhe von Fr. 210 000.00 erwirtschaftet. Sofern die Fusion realisiert werden kann, wird für den Bevölkerungsschutz eine zusätzliche Stellle erforderlich, was Mehrkosten im Personalbereich von Fr. 120‘000.00 pro Jahr auslöst. Allerdings werden diese Kosten vollumfänglich durch Dritte finanziert.</a:t>
          </a:r>
        </a:p>
        <a:p>
          <a:pPr algn="l" rtl="0">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2459</xdr:row>
      <xdr:rowOff>137160</xdr:rowOff>
    </xdr:from>
    <xdr:to>
      <xdr:col>8</xdr:col>
      <xdr:colOff>0</xdr:colOff>
      <xdr:row>2461</xdr:row>
      <xdr:rowOff>127706</xdr:rowOff>
    </xdr:to>
    <xdr:sp macro="" textlink="">
      <xdr:nvSpPr>
        <xdr:cNvPr id="174" name="Text Box 9"/>
        <xdr:cNvSpPr txBox="1">
          <a:spLocks noChangeArrowheads="1"/>
        </xdr:cNvSpPr>
      </xdr:nvSpPr>
      <xdr:spPr bwMode="auto">
        <a:xfrm>
          <a:off x="0" y="355333935"/>
          <a:ext cx="6667500" cy="276296"/>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Modul Einsatzleitung</a:t>
          </a:r>
        </a:p>
        <a:p>
          <a:pPr algn="l" rtl="0">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2435</xdr:row>
      <xdr:rowOff>146537</xdr:rowOff>
    </xdr:from>
    <xdr:to>
      <xdr:col>8</xdr:col>
      <xdr:colOff>0</xdr:colOff>
      <xdr:row>2438</xdr:row>
      <xdr:rowOff>24270</xdr:rowOff>
    </xdr:to>
    <xdr:sp macro="" textlink="">
      <xdr:nvSpPr>
        <xdr:cNvPr id="175" name="Text Box 10"/>
        <xdr:cNvSpPr txBox="1">
          <a:spLocks noChangeArrowheads="1"/>
        </xdr:cNvSpPr>
      </xdr:nvSpPr>
      <xdr:spPr bwMode="auto">
        <a:xfrm>
          <a:off x="0" y="351904787"/>
          <a:ext cx="6667500" cy="306358"/>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Zivildienstleistende, Einwohnerinnen und Einwohner, Besuchende, POM, Regierungsstatthalter, Gemeinden Zollikofen und Münchenbuchsee Partnerorganisationen Bevölkerungsschutz.</a:t>
          </a:r>
        </a:p>
      </xdr:txBody>
    </xdr:sp>
    <xdr:clientData/>
  </xdr:twoCellAnchor>
  <xdr:twoCellAnchor>
    <xdr:from>
      <xdr:col>0</xdr:col>
      <xdr:colOff>0</xdr:colOff>
      <xdr:row>2419</xdr:row>
      <xdr:rowOff>0</xdr:rowOff>
    </xdr:from>
    <xdr:to>
      <xdr:col>8</xdr:col>
      <xdr:colOff>0</xdr:colOff>
      <xdr:row>2422</xdr:row>
      <xdr:rowOff>1334</xdr:rowOff>
    </xdr:to>
    <xdr:sp macro="" textlink="">
      <xdr:nvSpPr>
        <xdr:cNvPr id="176" name="Text Box 11"/>
        <xdr:cNvSpPr txBox="1">
          <a:spLocks noChangeArrowheads="1"/>
        </xdr:cNvSpPr>
      </xdr:nvSpPr>
      <xdr:spPr bwMode="auto">
        <a:xfrm>
          <a:off x="0" y="349357950"/>
          <a:ext cx="6667500" cy="429959"/>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1.2.2 Die Stadt Bern sorgt dafür, dasss sie als sicher wahrgenommen wird.</a:t>
          </a:r>
        </a:p>
        <a:p>
          <a:pPr algn="l" rtl="0">
            <a:defRPr sz="1000"/>
          </a:pPr>
          <a:r>
            <a:rPr lang="de-CH" sz="800" b="0" i="0" u="none" strike="noStrike" baseline="0">
              <a:solidFill>
                <a:srgbClr val="000000"/>
              </a:solidFill>
              <a:latin typeface="Arial"/>
              <a:cs typeface="Arial"/>
            </a:rPr>
            <a:t>3.2.2.3 Die Stadt Bern setzt für die Stadtverwaltung konsequent auf energieeffiziente Fahrzeuge.</a:t>
          </a:r>
        </a:p>
        <a:p>
          <a:pPr algn="l" rtl="0">
            <a:defRPr sz="1000"/>
          </a:pPr>
          <a:r>
            <a:rPr lang="de-CH" sz="800" b="0" i="0" u="none" strike="noStrike" baseline="0">
              <a:solidFill>
                <a:srgbClr val="000000"/>
              </a:solidFill>
              <a:latin typeface="Arial"/>
              <a:cs typeface="Arial"/>
            </a:rPr>
            <a:t>4.2.1.2 Die Stadt Bern bietet ihr Dienstleistungsangebot weiteren öffentlichen Gemeinwesen an.</a:t>
          </a:r>
        </a:p>
      </xdr:txBody>
    </xdr:sp>
    <xdr:clientData/>
  </xdr:twoCellAnchor>
  <xdr:twoCellAnchor>
    <xdr:from>
      <xdr:col>0</xdr:col>
      <xdr:colOff>0</xdr:colOff>
      <xdr:row>2488</xdr:row>
      <xdr:rowOff>0</xdr:rowOff>
    </xdr:from>
    <xdr:to>
      <xdr:col>8</xdr:col>
      <xdr:colOff>0</xdr:colOff>
      <xdr:row>2497</xdr:row>
      <xdr:rowOff>133350</xdr:rowOff>
    </xdr:to>
    <xdr:sp macro="" textlink="">
      <xdr:nvSpPr>
        <xdr:cNvPr id="177" name="Text Box 6"/>
        <xdr:cNvSpPr txBox="1">
          <a:spLocks noChangeArrowheads="1"/>
        </xdr:cNvSpPr>
      </xdr:nvSpPr>
      <xdr:spPr bwMode="auto">
        <a:xfrm>
          <a:off x="0" y="359168700"/>
          <a:ext cx="6667500" cy="14192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ct val="100000"/>
            </a:lnSpc>
            <a:defRPr sz="1000"/>
          </a:pPr>
          <a:r>
            <a:rPr lang="de-CH" sz="800" b="0" i="0" u="none" strike="noStrike" baseline="0">
              <a:solidFill>
                <a:srgbClr val="000000"/>
              </a:solidFill>
              <a:latin typeface="Arial"/>
              <a:cs typeface="Arial"/>
            </a:rPr>
            <a:t>Die Organisation des Schiesswesens ist, ebenso wie das Quartieramt, eine gesetzliche Pflicht. Die Tätigkeit des Quartieramts wurde auf diese gesetzliche Pflicht reduziert. </a:t>
          </a:r>
        </a:p>
        <a:p>
          <a:pPr algn="l" rtl="0">
            <a:lnSpc>
              <a:spcPct val="100000"/>
            </a:lnSpc>
            <a:defRPr sz="1000"/>
          </a:pPr>
          <a:r>
            <a:rPr lang="de-CH" sz="800" b="0" i="0" u="none" strike="noStrike" baseline="0">
              <a:solidFill>
                <a:srgbClr val="000000"/>
              </a:solidFill>
              <a:latin typeface="Arial"/>
              <a:cs typeface="Arial"/>
            </a:rPr>
            <a:t>Obschon Bestrebungen verschiedener Gemeinden ausserhalb des Amts Bern für eine zukünftige Benutzung der Schiessanlage Riedbach bestehen, wird gestützt auf den gesellschaftlichen Trend die Nutzung der Schiessanlage stagnieren und sogar zurückgehen.</a:t>
          </a:r>
        </a:p>
        <a:p>
          <a:pPr algn="l" rtl="0">
            <a:lnSpc>
              <a:spcPct val="100000"/>
            </a:lnSpc>
            <a:defRPr sz="1000"/>
          </a:pPr>
          <a:r>
            <a:rPr lang="de-CH" sz="800" b="0" i="0" u="none" strike="noStrike" baseline="0">
              <a:solidFill>
                <a:srgbClr val="000000"/>
              </a:solidFill>
              <a:latin typeface="Arial"/>
              <a:cs typeface="Arial"/>
            </a:rPr>
            <a:t>Die Abtretung der Botschaftsbewachung der Armee an die Kantonspolizei hat zur Folge, dass die Armee die Verträge zur Einquartierung von Truppen stark reduziert hat. Die Bedeutung an zivilen Unterkunftsvermietungen (Sport-, Kultur- und Ausstellungsveranstaltungen) in unterirdischen Anlagen ist rückläufig, aufgrund des Angebots an günstigen Übernachtungsmöglichkeiten in Hotels.</a:t>
          </a:r>
        </a:p>
        <a:p>
          <a:pPr algn="l" rtl="0">
            <a:lnSpc>
              <a:spcPct val="100000"/>
            </a:lnSpc>
            <a:defRPr sz="1000"/>
          </a:pPr>
          <a:endParaRPr lang="de-CH" sz="800" b="0" i="0" u="none" strike="noStrike" baseline="0">
            <a:solidFill>
              <a:srgbClr val="000000"/>
            </a:solidFill>
            <a:latin typeface="Arial"/>
            <a:cs typeface="Arial"/>
          </a:endParaRPr>
        </a:p>
        <a:p>
          <a:pPr algn="l" rtl="0">
            <a:lnSpc>
              <a:spcPct val="100000"/>
            </a:lnSpc>
            <a:defRPr sz="1000"/>
          </a:pPr>
          <a:r>
            <a:rPr lang="de-CH" sz="800" b="0" i="0" u="none" strike="noStrike" baseline="0">
              <a:solidFill>
                <a:srgbClr val="000000"/>
              </a:solidFill>
              <a:latin typeface="Arial"/>
              <a:cs typeface="Arial"/>
            </a:rPr>
            <a:t>Sparmassnahmen 2012 - 2016 : Die Anhebung der Schussgelder führt in den den Jahren 2012 - 2016 zu Mehreinnahmen von jährlich Fr. 20'000.00. Für 2016 sind zusätzliche Massnahmen von Fr. 350'000.00 vorgesehen (Leistungsabbau durch Integration Forsthaus West).</a:t>
          </a:r>
        </a:p>
        <a:p>
          <a:pPr algn="l" rtl="0">
            <a:lnSpc>
              <a:spcPts val="800"/>
            </a:lnSpc>
            <a:defRPr sz="1000"/>
          </a:pPr>
          <a:endParaRPr lang="de-CH" sz="800" b="0" i="0" u="none" strike="noStrike" baseline="0">
            <a:solidFill>
              <a:srgbClr val="000000"/>
            </a:solidFill>
            <a:latin typeface="Arial"/>
            <a:cs typeface="Arial"/>
          </a:endParaRPr>
        </a:p>
        <a:p>
          <a:pPr algn="l" rtl="0">
            <a:lnSpc>
              <a:spcPts val="700"/>
            </a:lnSpc>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2500</xdr:row>
      <xdr:rowOff>0</xdr:rowOff>
    </xdr:from>
    <xdr:to>
      <xdr:col>8</xdr:col>
      <xdr:colOff>0</xdr:colOff>
      <xdr:row>2502</xdr:row>
      <xdr:rowOff>0</xdr:rowOff>
    </xdr:to>
    <xdr:sp macro="" textlink="">
      <xdr:nvSpPr>
        <xdr:cNvPr id="178" name="Text Box 7"/>
        <xdr:cNvSpPr txBox="1">
          <a:spLocks noChangeArrowheads="1"/>
        </xdr:cNvSpPr>
      </xdr:nvSpPr>
      <xdr:spPr bwMode="auto">
        <a:xfrm>
          <a:off x="0" y="360883200"/>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Der Rückgang der Erlöse aus militärischen Einquartierungen wird durch die Erhöhung des Raummietvertrages SCB für die unterirdische Anlage Allmende ab 2013 mehr als kompensiert.</a:t>
          </a:r>
        </a:p>
      </xdr:txBody>
    </xdr:sp>
    <xdr:clientData/>
  </xdr:twoCellAnchor>
  <xdr:twoCellAnchor>
    <xdr:from>
      <xdr:col>0</xdr:col>
      <xdr:colOff>0</xdr:colOff>
      <xdr:row>2528</xdr:row>
      <xdr:rowOff>0</xdr:rowOff>
    </xdr:from>
    <xdr:to>
      <xdr:col>8</xdr:col>
      <xdr:colOff>0</xdr:colOff>
      <xdr:row>2530</xdr:row>
      <xdr:rowOff>0</xdr:rowOff>
    </xdr:to>
    <xdr:sp macro="" textlink="">
      <xdr:nvSpPr>
        <xdr:cNvPr id="179" name="Text Box 9"/>
        <xdr:cNvSpPr txBox="1">
          <a:spLocks noChangeArrowheads="1"/>
        </xdr:cNvSpPr>
      </xdr:nvSpPr>
      <xdr:spPr bwMode="auto">
        <a:xfrm>
          <a:off x="0" y="364883700"/>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a:p>
          <a:pPr algn="l" rtl="0">
            <a:defRPr sz="1000"/>
          </a:pPr>
          <a:endParaRPr lang="de-CH" sz="800" b="0" i="0" u="none" strike="noStrike" baseline="0">
            <a:solidFill>
              <a:srgbClr val="000000"/>
            </a:solidFill>
            <a:latin typeface="Arial"/>
            <a:cs typeface="Arial"/>
          </a:endParaRPr>
        </a:p>
        <a:p>
          <a:pPr algn="l" rtl="0">
            <a:defRPr sz="1000"/>
          </a:pPr>
          <a:endParaRPr lang="de-CH" sz="800" b="0" i="0" u="none" strike="noStrike" baseline="0">
            <a:solidFill>
              <a:srgbClr val="000000"/>
            </a:solidFill>
            <a:latin typeface="Arial"/>
            <a:cs typeface="Arial"/>
          </a:endParaRPr>
        </a:p>
        <a:p>
          <a:pPr algn="l" rtl="0">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2504</xdr:row>
      <xdr:rowOff>0</xdr:rowOff>
    </xdr:from>
    <xdr:to>
      <xdr:col>8</xdr:col>
      <xdr:colOff>0</xdr:colOff>
      <xdr:row>2506</xdr:row>
      <xdr:rowOff>0</xdr:rowOff>
    </xdr:to>
    <xdr:sp macro="" textlink="">
      <xdr:nvSpPr>
        <xdr:cNvPr id="180" name="Text Box 10"/>
        <xdr:cNvSpPr txBox="1">
          <a:spLocks noChangeArrowheads="1"/>
        </xdr:cNvSpPr>
      </xdr:nvSpPr>
      <xdr:spPr bwMode="auto">
        <a:xfrm>
          <a:off x="0" y="361454700"/>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Armee, Vereine und Organisationen.</a:t>
          </a:r>
        </a:p>
      </xdr:txBody>
    </xdr:sp>
    <xdr:clientData/>
  </xdr:twoCellAnchor>
  <xdr:twoCellAnchor>
    <xdr:from>
      <xdr:col>0</xdr:col>
      <xdr:colOff>0</xdr:colOff>
      <xdr:row>2483</xdr:row>
      <xdr:rowOff>0</xdr:rowOff>
    </xdr:from>
    <xdr:to>
      <xdr:col>8</xdr:col>
      <xdr:colOff>0</xdr:colOff>
      <xdr:row>2486</xdr:row>
      <xdr:rowOff>7327</xdr:rowOff>
    </xdr:to>
    <xdr:sp macro="" textlink="">
      <xdr:nvSpPr>
        <xdr:cNvPr id="181" name="Text Box 11"/>
        <xdr:cNvSpPr txBox="1">
          <a:spLocks noChangeArrowheads="1"/>
        </xdr:cNvSpPr>
      </xdr:nvSpPr>
      <xdr:spPr bwMode="auto">
        <a:xfrm>
          <a:off x="0" y="358311450"/>
          <a:ext cx="6667500" cy="435952"/>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1.2.2 Die Stadt Bern sorgt dafür, dasss sie als sicher wahrgenommen wird.</a:t>
          </a:r>
        </a:p>
        <a:p>
          <a:pPr algn="l" rtl="0">
            <a:defRPr sz="1000"/>
          </a:pPr>
          <a:r>
            <a:rPr lang="de-CH" sz="800" b="0" i="0" u="none" strike="noStrike" baseline="0">
              <a:solidFill>
                <a:srgbClr val="000000"/>
              </a:solidFill>
              <a:latin typeface="Arial"/>
              <a:cs typeface="Arial"/>
            </a:rPr>
            <a:t>3.2.2.3 Die Stadt Bern setzt für die Stadtverwaltung konsequent auf energieeffiziente Fahrzeuge.</a:t>
          </a:r>
        </a:p>
        <a:p>
          <a:pPr algn="l" rtl="0">
            <a:defRPr sz="1000"/>
          </a:pPr>
          <a:r>
            <a:rPr lang="de-CH" sz="800" b="0" i="0" u="none" strike="noStrike" baseline="0">
              <a:solidFill>
                <a:srgbClr val="000000"/>
              </a:solidFill>
              <a:latin typeface="Arial"/>
              <a:cs typeface="Arial"/>
            </a:rPr>
            <a:t>4.2.1.2 Die Stadt Bern bietet ihr Dienstleistungsangebot weiteren öffentlichen Gemeinwesen an.</a:t>
          </a:r>
        </a:p>
      </xdr:txBody>
    </xdr:sp>
    <xdr:clientData/>
  </xdr:twoCellAnchor>
  <xdr:twoCellAnchor>
    <xdr:from>
      <xdr:col>0</xdr:col>
      <xdr:colOff>0</xdr:colOff>
      <xdr:row>2560</xdr:row>
      <xdr:rowOff>0</xdr:rowOff>
    </xdr:from>
    <xdr:to>
      <xdr:col>8</xdr:col>
      <xdr:colOff>0</xdr:colOff>
      <xdr:row>2563</xdr:row>
      <xdr:rowOff>133350</xdr:rowOff>
    </xdr:to>
    <xdr:sp macro="" textlink="">
      <xdr:nvSpPr>
        <xdr:cNvPr id="182" name="Text Box 6"/>
        <xdr:cNvSpPr txBox="1">
          <a:spLocks noChangeArrowheads="1"/>
        </xdr:cNvSpPr>
      </xdr:nvSpPr>
      <xdr:spPr bwMode="auto">
        <a:xfrm>
          <a:off x="0" y="369427125"/>
          <a:ext cx="6667500" cy="5619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ct val="100000"/>
            </a:lnSpc>
            <a:defRPr sz="1000"/>
          </a:pPr>
          <a:r>
            <a:rPr lang="de-CH" sz="800" b="0" i="0" u="none" strike="noStrike" baseline="0">
              <a:solidFill>
                <a:srgbClr val="000000"/>
              </a:solidFill>
              <a:latin typeface="Arial"/>
              <a:cs typeface="Arial"/>
            </a:rPr>
            <a:t>Die Leistungsvereinbarung mit der Wirtschaftsförderung Kanton Bern (WFB) in der Höhe von Fr. 160'000.00 wird eingestellt.</a:t>
          </a:r>
        </a:p>
        <a:p>
          <a:pPr algn="l" rtl="0">
            <a:lnSpc>
              <a:spcPct val="100000"/>
            </a:lnSpc>
            <a:defRPr sz="1000"/>
          </a:pPr>
          <a:r>
            <a:rPr lang="de-CH" sz="800" b="0" i="0" u="none" strike="noStrike" baseline="0">
              <a:solidFill>
                <a:srgbClr val="000000"/>
              </a:solidFill>
              <a:latin typeface="Arial"/>
              <a:cs typeface="Arial"/>
            </a:rPr>
            <a:t>Dank Ertragssteigerung/Kostenminderung entstehen dem WA dadurch keine höhere Nettokosten.</a:t>
          </a:r>
        </a:p>
        <a:p>
          <a:pPr algn="l" rtl="0">
            <a:lnSpc>
              <a:spcPct val="100000"/>
            </a:lnSpc>
            <a:defRPr sz="1000"/>
          </a:pPr>
          <a:endParaRPr lang="de-CH" sz="800" b="0" i="0" u="none" strike="noStrike" baseline="0">
            <a:solidFill>
              <a:srgbClr val="000000"/>
            </a:solidFill>
            <a:latin typeface="Arial"/>
            <a:cs typeface="Arial"/>
          </a:endParaRPr>
        </a:p>
        <a:p>
          <a:pPr algn="l" rtl="0">
            <a:lnSpc>
              <a:spcPct val="100000"/>
            </a:lnSpc>
            <a:defRPr sz="1000"/>
          </a:pPr>
          <a:r>
            <a:rPr lang="de-CH" sz="800" b="0" i="0" u="none" strike="noStrike" baseline="0">
              <a:solidFill>
                <a:srgbClr val="000000"/>
              </a:solidFill>
              <a:latin typeface="Arial"/>
              <a:cs typeface="Arial"/>
            </a:rPr>
            <a:t>Sparmassnahmen 2012-2016: Keine.</a:t>
          </a:r>
        </a:p>
        <a:p>
          <a:pPr algn="l" rtl="0">
            <a:lnSpc>
              <a:spcPts val="800"/>
            </a:lnSpc>
            <a:defRPr sz="1000"/>
          </a:pPr>
          <a:endParaRPr lang="de-CH" sz="800" b="0" i="0" u="none" strike="noStrike" baseline="0">
            <a:solidFill>
              <a:srgbClr val="000000"/>
            </a:solidFill>
            <a:latin typeface="Arial"/>
            <a:cs typeface="Arial"/>
          </a:endParaRPr>
        </a:p>
        <a:p>
          <a:pPr algn="l" rtl="0">
            <a:lnSpc>
              <a:spcPts val="700"/>
            </a:lnSpc>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2566</xdr:row>
      <xdr:rowOff>0</xdr:rowOff>
    </xdr:from>
    <xdr:to>
      <xdr:col>8</xdr:col>
      <xdr:colOff>0</xdr:colOff>
      <xdr:row>2570</xdr:row>
      <xdr:rowOff>104775</xdr:rowOff>
    </xdr:to>
    <xdr:sp macro="" textlink="">
      <xdr:nvSpPr>
        <xdr:cNvPr id="183" name="Text Box 7"/>
        <xdr:cNvSpPr txBox="1">
          <a:spLocks noChangeArrowheads="1"/>
        </xdr:cNvSpPr>
      </xdr:nvSpPr>
      <xdr:spPr bwMode="auto">
        <a:xfrm>
          <a:off x="0" y="370255800"/>
          <a:ext cx="6667500" cy="5905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Die Teilkonferenz Wirtschaft der Regionalkonferenz Bern-Mittelland ist konstituiert. Die Einnahmen aus der Teilkonferenz Wirtschaft bestehen aus einem Sockelbeitrag sowie Beträgen an spezifische Projekte in der Höhe von Fr. 55'000.00.</a:t>
          </a:r>
        </a:p>
        <a:p>
          <a:pPr algn="l" rtl="0">
            <a:defRPr sz="1000"/>
          </a:pPr>
          <a:r>
            <a:rPr lang="de-CH" sz="800" b="0" i="0" u="none" strike="noStrike" baseline="0">
              <a:solidFill>
                <a:srgbClr val="000000"/>
              </a:solidFill>
              <a:latin typeface="Arial"/>
              <a:cs typeface="Arial"/>
            </a:rPr>
            <a:t>Für den Betrag an Bern Tourismus wird jährlich ein Teuerungbeitrag von Fr. 20'000.00 für den ordentlichen Beitrag an Bern Tourismus eingerechnet. </a:t>
          </a:r>
        </a:p>
        <a:p>
          <a:pPr algn="l" rtl="0">
            <a:lnSpc>
              <a:spcPts val="800"/>
            </a:lnSpc>
            <a:defRPr sz="1000"/>
          </a:pPr>
          <a:r>
            <a:rPr lang="de-CH" sz="800" b="0" i="0" u="none" strike="noStrike" baseline="0">
              <a:solidFill>
                <a:srgbClr val="000000"/>
              </a:solidFill>
              <a:latin typeface="Arial"/>
              <a:cs typeface="Arial"/>
            </a:rPr>
            <a:t>Höhere Druck- und Vertriebskosten für das Promotionsmaterial in den Jahre 2013 und 2014 (Fr. 20'000.00 und 10'000.00).</a:t>
          </a:r>
        </a:p>
      </xdr:txBody>
    </xdr:sp>
    <xdr:clientData/>
  </xdr:twoCellAnchor>
  <xdr:twoCellAnchor>
    <xdr:from>
      <xdr:col>0</xdr:col>
      <xdr:colOff>0</xdr:colOff>
      <xdr:row>2598</xdr:row>
      <xdr:rowOff>0</xdr:rowOff>
    </xdr:from>
    <xdr:to>
      <xdr:col>8</xdr:col>
      <xdr:colOff>0</xdr:colOff>
      <xdr:row>2599</xdr:row>
      <xdr:rowOff>47625</xdr:rowOff>
    </xdr:to>
    <xdr:sp macro="" textlink="">
      <xdr:nvSpPr>
        <xdr:cNvPr id="184" name="Text Box 9"/>
        <xdr:cNvSpPr txBox="1">
          <a:spLocks noChangeArrowheads="1"/>
        </xdr:cNvSpPr>
      </xdr:nvSpPr>
      <xdr:spPr bwMode="auto">
        <a:xfrm>
          <a:off x="0" y="374684925"/>
          <a:ext cx="6667500" cy="1905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2573</xdr:row>
      <xdr:rowOff>0</xdr:rowOff>
    </xdr:from>
    <xdr:to>
      <xdr:col>8</xdr:col>
      <xdr:colOff>0</xdr:colOff>
      <xdr:row>2575</xdr:row>
      <xdr:rowOff>85725</xdr:rowOff>
    </xdr:to>
    <xdr:sp macro="" textlink="">
      <xdr:nvSpPr>
        <xdr:cNvPr id="185" name="Text Box 10"/>
        <xdr:cNvSpPr txBox="1">
          <a:spLocks noChangeArrowheads="1"/>
        </xdr:cNvSpPr>
      </xdr:nvSpPr>
      <xdr:spPr bwMode="auto">
        <a:xfrm>
          <a:off x="0" y="371113050"/>
          <a:ext cx="6667500" cy="3714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Kundinnen und Kunden sind vor allem Unternehmungen, Behörden, Institutionen und Organisation aus der Region Berns, sowie Ansiedlungsinteressierte. </a:t>
          </a:r>
        </a:p>
      </xdr:txBody>
    </xdr:sp>
    <xdr:clientData/>
  </xdr:twoCellAnchor>
  <xdr:twoCellAnchor>
    <xdr:from>
      <xdr:col>0</xdr:col>
      <xdr:colOff>0</xdr:colOff>
      <xdr:row>2552</xdr:row>
      <xdr:rowOff>0</xdr:rowOff>
    </xdr:from>
    <xdr:to>
      <xdr:col>8</xdr:col>
      <xdr:colOff>0</xdr:colOff>
      <xdr:row>2558</xdr:row>
      <xdr:rowOff>28575</xdr:rowOff>
    </xdr:to>
    <xdr:sp macro="" textlink="">
      <xdr:nvSpPr>
        <xdr:cNvPr id="186" name="Text Box 11"/>
        <xdr:cNvSpPr txBox="1">
          <a:spLocks noChangeArrowheads="1"/>
        </xdr:cNvSpPr>
      </xdr:nvSpPr>
      <xdr:spPr bwMode="auto">
        <a:xfrm>
          <a:off x="0" y="368169825"/>
          <a:ext cx="6667500" cy="8858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2.1.1.1 Die Stadt verfügt über ein Stadtmarketingkonzept. 2.1.1.2 Die Durchführung einer Sportgrossveranstaltung in der kommenden Legislatur ist gesichert. 2.1.2.1 Der Standort einer neuen Halle für Events, Tagungen und Kontresse (Kapazität bis 15 000 Personen) ist gesichert. 2.2.1.1 Die Stadt Bern bietet dem Kanton ein mögliches Gelände für die Zentralisierung der Berner Fachhochschule (Fachhochschul-Campus) an. 2.2.1.2 Die Stadt Bern unterstützt die Berner Fachhochschule bei der Suche nach einem bahnhofnahen Standort für ihre Weiterbildungsangebote. 2.2.2.2 Die Stadt unterstützt das Lausanner Institut des hautes études en administration publique (IDHEP) in seinen Plänen, sich in Bern zu etablieren. 3.1.3.3 Im Beer-Haus wird günstiger Raum für Kleinunternehmen oder Start-ups im Bereich Klimatologie und Greentech zur Verfügung gestellt.</a:t>
          </a:r>
        </a:p>
      </xdr:txBody>
    </xdr:sp>
    <xdr:clientData/>
  </xdr:twoCellAnchor>
  <xdr:twoCellAnchor>
    <xdr:from>
      <xdr:col>0</xdr:col>
      <xdr:colOff>9525</xdr:colOff>
      <xdr:row>2625</xdr:row>
      <xdr:rowOff>38100</xdr:rowOff>
    </xdr:from>
    <xdr:to>
      <xdr:col>8</xdr:col>
      <xdr:colOff>0</xdr:colOff>
      <xdr:row>2633</xdr:row>
      <xdr:rowOff>38100</xdr:rowOff>
    </xdr:to>
    <xdr:sp macro="" textlink="">
      <xdr:nvSpPr>
        <xdr:cNvPr id="187" name="Text Box 6"/>
        <xdr:cNvSpPr txBox="1">
          <a:spLocks noChangeArrowheads="1"/>
        </xdr:cNvSpPr>
      </xdr:nvSpPr>
      <xdr:spPr bwMode="auto">
        <a:xfrm>
          <a:off x="9525" y="378609225"/>
          <a:ext cx="6648450" cy="11430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spcAft>
              <a:spcPts val="0"/>
            </a:spcAft>
          </a:pPr>
          <a:r>
            <a:rPr lang="de-CH" sz="800">
              <a:effectLst/>
              <a:latin typeface="Arial"/>
              <a:ea typeface="Times New Roman"/>
            </a:rPr>
            <a:t>Der Tierpark ist der wichtigste Naherholungsort im Raum Bern und der BärenPark – das Berner Wahrzeichen – die nationale und internationale Attraktion der Stadt Bern.</a:t>
          </a:r>
          <a:endParaRPr lang="de-CH" sz="1050">
            <a:effectLst/>
            <a:latin typeface="Times New Roman"/>
            <a:ea typeface="Times New Roman"/>
          </a:endParaRPr>
        </a:p>
        <a:p>
          <a:pPr marL="0" marR="0" indent="0" defTabSz="914400" rtl="0" eaLnBrk="1" fontAlgn="auto" latinLnBrk="0" hangingPunct="1">
            <a:lnSpc>
              <a:spcPct val="100000"/>
            </a:lnSpc>
            <a:spcBef>
              <a:spcPts val="0"/>
            </a:spcBef>
            <a:spcAft>
              <a:spcPts val="0"/>
            </a:spcAft>
            <a:buClrTx/>
            <a:buSzTx/>
            <a:buFontTx/>
            <a:buNone/>
            <a:tabLst/>
            <a:defRPr/>
          </a:pPr>
          <a:r>
            <a:rPr lang="de-CH" sz="800">
              <a:effectLst/>
              <a:latin typeface="Arial"/>
              <a:ea typeface="Times New Roman"/>
            </a:rPr>
            <a:t>Nicht desto trotz konkurrenzieren neu entstandene interessante Freizeiteinrichtungen den Tierpark in einem gewissen Ausmass. Es gilt daher, den vom Gemeinderat gutgeheissenen Gesamtplan des Tierparks 2000-2015 unter Berücksichtigung der Strategie „Mehr Platz für weniger Tiere „ und der Tierschutzverordnung planmässig umzusetzen. Beim neusten Zoobericht des Schweizer Tierschutzes (STS) werden Tierpark und BärenPark</a:t>
          </a:r>
          <a:r>
            <a:rPr lang="de-CH" sz="800" baseline="0">
              <a:effectLst/>
              <a:latin typeface="Arial"/>
              <a:ea typeface="Times New Roman"/>
            </a:rPr>
            <a:t> als positive Beispiele für artgerechte Haltung von Wildtieren und für die kontinuierliche Verbesserung/Erneuerung der Anlagen erwähnt.</a:t>
          </a:r>
          <a:r>
            <a:rPr lang="de-CH" sz="800">
              <a:effectLst/>
              <a:latin typeface="Arial"/>
              <a:ea typeface="Times New Roman"/>
            </a:rPr>
            <a:t> Der eintrittspflichtige Teil des Tierparks ist dank des in den letzten Jahren stets </a:t>
          </a:r>
          <a:r>
            <a:rPr lang="de-CH" sz="800">
              <a:effectLst/>
              <a:latin typeface="Arial" pitchFamily="34" charset="0"/>
              <a:ea typeface="Times New Roman"/>
              <a:cs typeface="Arial" pitchFamily="34" charset="0"/>
            </a:rPr>
            <a:t>angepassten An</a:t>
          </a:r>
          <a:r>
            <a:rPr lang="de-CH" sz="800">
              <a:effectLst/>
              <a:latin typeface="Arial" pitchFamily="34" charset="0"/>
              <a:ea typeface="+mn-ea"/>
              <a:cs typeface="Arial" pitchFamily="34" charset="0"/>
            </a:rPr>
            <a:t>gebots durch den Bau verschiedener Neuanlagen attraktiver.</a:t>
          </a:r>
          <a:endParaRPr lang="de-CH" sz="800">
            <a:effectLst/>
            <a:latin typeface="Arial" pitchFamily="34" charset="0"/>
            <a:cs typeface="Arial" pitchFamily="34" charset="0"/>
          </a:endParaRPr>
        </a:p>
        <a:p>
          <a:pPr marL="0" marR="0" indent="0" defTabSz="914400" rtl="0" eaLnBrk="1" fontAlgn="auto" latinLnBrk="0" hangingPunct="1">
            <a:lnSpc>
              <a:spcPct val="100000"/>
            </a:lnSpc>
            <a:spcBef>
              <a:spcPts val="0"/>
            </a:spcBef>
            <a:spcAft>
              <a:spcPts val="0"/>
            </a:spcAft>
            <a:buClrTx/>
            <a:buSzTx/>
            <a:buFontTx/>
            <a:buNone/>
            <a:tabLst/>
            <a:defRPr/>
          </a:pPr>
          <a:r>
            <a:rPr lang="de-CH" sz="800" b="0" i="0" baseline="0">
              <a:effectLst/>
              <a:latin typeface="Arial" pitchFamily="34" charset="0"/>
              <a:ea typeface="+mn-ea"/>
              <a:cs typeface="Arial" pitchFamily="34" charset="0"/>
            </a:rPr>
            <a:t>Sparmassnahmen 2012-16: Erhöhung der Einnahmen BärenPark durch Sponsoring und Merchandising von jährlich Fr. 350'000.00.</a:t>
          </a:r>
          <a:endParaRPr lang="de-CH" sz="800">
            <a:effectLst/>
            <a:latin typeface="Arial" pitchFamily="34" charset="0"/>
            <a:cs typeface="Arial" pitchFamily="34" charset="0"/>
          </a:endParaRPr>
        </a:p>
      </xdr:txBody>
    </xdr:sp>
    <xdr:clientData/>
  </xdr:twoCellAnchor>
  <xdr:twoCellAnchor>
    <xdr:from>
      <xdr:col>0</xdr:col>
      <xdr:colOff>0</xdr:colOff>
      <xdr:row>2635</xdr:row>
      <xdr:rowOff>28575</xdr:rowOff>
    </xdr:from>
    <xdr:to>
      <xdr:col>7</xdr:col>
      <xdr:colOff>761999</xdr:colOff>
      <xdr:row>2643</xdr:row>
      <xdr:rowOff>0</xdr:rowOff>
    </xdr:to>
    <xdr:sp macro="" textlink="">
      <xdr:nvSpPr>
        <xdr:cNvPr id="188" name="Text Box 7"/>
        <xdr:cNvSpPr txBox="1">
          <a:spLocks noChangeArrowheads="1"/>
        </xdr:cNvSpPr>
      </xdr:nvSpPr>
      <xdr:spPr bwMode="auto">
        <a:xfrm>
          <a:off x="0" y="380028450"/>
          <a:ext cx="6657974" cy="7810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spcAft>
              <a:spcPts val="0"/>
            </a:spcAft>
          </a:pPr>
          <a:r>
            <a:rPr lang="de-CH" sz="800">
              <a:effectLst/>
              <a:latin typeface="Arial"/>
              <a:ea typeface="Times New Roman"/>
            </a:rPr>
            <a:t>Der GRB vom 11. Mai 2011 und der damit verbundene Auftrag: Erarbeitung eines Konzeptes zur nachhaltigen Nutzung des BärenParks, Optimierung der finanziellen Situation sowie die Bewirtschaftung des öffentlichen Raumes in und um den BärenPark ist in Bearbeitung. Die stete Weiterentwicklung von aktuellen Produkten im Tierpark wie z.B. „walk and talk“ und das Produkteangebot im BärenPark mit einem Shop, kostenpflichtigen Führungen, Anlässen, etc. bewähren sich und werden stets den heutigen Kundenbedürfnissen angepasst. Diese Massnahem tragen dazu bei, die finanzielle Situation stets zu verbessern. Die Realisierung von neuen Anlagen (Details s. wichtige Einzelinvestitionen) haben eine Erhöhung der Miete bzw. der Bruttokosten zur Folge. Diese Mietfolgekosten sind für das Jahr 2013 in der Planung enthalten. </a:t>
          </a:r>
          <a:endParaRPr lang="de-CH" sz="1050">
            <a:effectLst/>
            <a:latin typeface="Times New Roman"/>
            <a:ea typeface="Times New Roman"/>
          </a:endParaRPr>
        </a:p>
      </xdr:txBody>
    </xdr:sp>
    <xdr:clientData/>
  </xdr:twoCellAnchor>
  <xdr:twoCellAnchor>
    <xdr:from>
      <xdr:col>0</xdr:col>
      <xdr:colOff>0</xdr:colOff>
      <xdr:row>2671</xdr:row>
      <xdr:rowOff>38101</xdr:rowOff>
    </xdr:from>
    <xdr:to>
      <xdr:col>7</xdr:col>
      <xdr:colOff>752475</xdr:colOff>
      <xdr:row>2677</xdr:row>
      <xdr:rowOff>49567</xdr:rowOff>
    </xdr:to>
    <xdr:sp macro="" textlink="">
      <xdr:nvSpPr>
        <xdr:cNvPr id="189" name="Text Box 9"/>
        <xdr:cNvSpPr txBox="1">
          <a:spLocks noChangeArrowheads="1"/>
        </xdr:cNvSpPr>
      </xdr:nvSpPr>
      <xdr:spPr bwMode="auto">
        <a:xfrm>
          <a:off x="0" y="384590926"/>
          <a:ext cx="6648450" cy="868716"/>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de-CH" sz="800">
              <a:effectLst/>
              <a:latin typeface="Arial" pitchFamily="34" charset="0"/>
              <a:ea typeface="+mn-ea"/>
              <a:cs typeface="Arial" pitchFamily="34" charset="0"/>
            </a:rPr>
            <a:t>Für die Entwicklung des Tierparks massgebend ist der vom Gemeinderat gutgeheissene Gesamtplan 2000-2015. Die Reihenfolge der nächsten Vorhaben ist aufgrund aktueller Bedürfnisse und neuer Erkenntnisse in Fragen der Zootierhaltung angepasst worden und vorbehalten. Basis ist die artgerechte Tierhaltung im Sinne der Welt-Zoo-Naturschutzstrategie. Die Strategie „Mehr Platz für weniger Tiere“ ist  bei Neu- und Umbauten klar erkennbar. Diese Strategie und die Umsetzung der Gesamtplanung werden über nunmehr 10 Jahren besonders gewürdigt. Der Bau bzw. die Sanierung der folgenden Anlagen ist noch geplant und in der Investitionsplanung der Stadt (Stadtbauten) enthalten: Kleinsäugerhaus/Toiletten 2013, Anlage für Wolf (GRB 0644 vom 28.4.2010), Vielfrass 2013-14, Volieren 2015, Aquarien 2016, Wüstenhaus-Eingang 2016. Einzelinvestition TP 2013 Endoskopiegerät und Hydraulikbagger</a:t>
          </a:r>
          <a:r>
            <a:rPr lang="de-CH" sz="800" baseline="0">
              <a:effectLst/>
              <a:latin typeface="Arial" pitchFamily="34" charset="0"/>
              <a:ea typeface="+mn-ea"/>
              <a:cs typeface="Arial" pitchFamily="34" charset="0"/>
            </a:rPr>
            <a:t> </a:t>
          </a:r>
          <a:r>
            <a:rPr lang="de-CH" sz="800">
              <a:effectLst/>
              <a:latin typeface="Arial" pitchFamily="34" charset="0"/>
              <a:ea typeface="+mn-ea"/>
              <a:cs typeface="Arial" pitchFamily="34" charset="0"/>
            </a:rPr>
            <a:t>Fr. 135'000.00</a:t>
          </a:r>
          <a:endParaRPr lang="de-CH" sz="800" b="0" i="0" u="none" strike="noStrike" baseline="0">
            <a:solidFill>
              <a:srgbClr val="000000"/>
            </a:solidFill>
            <a:latin typeface="Arial" pitchFamily="34" charset="0"/>
            <a:cs typeface="Arial" pitchFamily="34" charset="0"/>
          </a:endParaRPr>
        </a:p>
      </xdr:txBody>
    </xdr:sp>
    <xdr:clientData/>
  </xdr:twoCellAnchor>
  <xdr:twoCellAnchor>
    <xdr:from>
      <xdr:col>0</xdr:col>
      <xdr:colOff>0</xdr:colOff>
      <xdr:row>2647</xdr:row>
      <xdr:rowOff>0</xdr:rowOff>
    </xdr:from>
    <xdr:to>
      <xdr:col>7</xdr:col>
      <xdr:colOff>742949</xdr:colOff>
      <xdr:row>2649</xdr:row>
      <xdr:rowOff>0</xdr:rowOff>
    </xdr:to>
    <xdr:sp macro="" textlink="">
      <xdr:nvSpPr>
        <xdr:cNvPr id="190" name="Text Box 10"/>
        <xdr:cNvSpPr txBox="1">
          <a:spLocks noChangeArrowheads="1"/>
        </xdr:cNvSpPr>
      </xdr:nvSpPr>
      <xdr:spPr bwMode="auto">
        <a:xfrm>
          <a:off x="0" y="381123825"/>
          <a:ext cx="6638924"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Stadtberner Bevölkerung und auswärtige Besuchende, Tierparkvereine, Schulen, Stadtbauten Bern, Zoos, Kantonstierärzte, BVET, Universitäten.</a:t>
          </a:r>
        </a:p>
      </xdr:txBody>
    </xdr:sp>
    <xdr:clientData/>
  </xdr:twoCellAnchor>
  <xdr:twoCellAnchor>
    <xdr:from>
      <xdr:col>0</xdr:col>
      <xdr:colOff>0</xdr:colOff>
      <xdr:row>2622</xdr:row>
      <xdr:rowOff>0</xdr:rowOff>
    </xdr:from>
    <xdr:to>
      <xdr:col>7</xdr:col>
      <xdr:colOff>752475</xdr:colOff>
      <xdr:row>2623</xdr:row>
      <xdr:rowOff>28575</xdr:rowOff>
    </xdr:to>
    <xdr:sp macro="" textlink="">
      <xdr:nvSpPr>
        <xdr:cNvPr id="191" name="Text Box 11"/>
        <xdr:cNvSpPr txBox="1">
          <a:spLocks noChangeArrowheads="1"/>
        </xdr:cNvSpPr>
      </xdr:nvSpPr>
      <xdr:spPr bwMode="auto">
        <a:xfrm>
          <a:off x="0" y="378028200"/>
          <a:ext cx="6648450" cy="1714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a:p>
          <a:pPr algn="l" rtl="0">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2704</xdr:row>
      <xdr:rowOff>57150</xdr:rowOff>
    </xdr:from>
    <xdr:to>
      <xdr:col>8</xdr:col>
      <xdr:colOff>0</xdr:colOff>
      <xdr:row>2713</xdr:row>
      <xdr:rowOff>0</xdr:rowOff>
    </xdr:to>
    <xdr:sp macro="" textlink="">
      <xdr:nvSpPr>
        <xdr:cNvPr id="192" name="Text Box 6"/>
        <xdr:cNvSpPr txBox="1">
          <a:spLocks noChangeArrowheads="1"/>
        </xdr:cNvSpPr>
      </xdr:nvSpPr>
      <xdr:spPr bwMode="auto">
        <a:xfrm>
          <a:off x="0" y="389172450"/>
          <a:ext cx="6667500" cy="10001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ct val="100000"/>
            </a:lnSpc>
            <a:defRPr sz="1000"/>
          </a:pPr>
          <a:r>
            <a:rPr lang="de-CH" sz="800" b="0" i="0" u="none" strike="noStrike" baseline="0">
              <a:solidFill>
                <a:srgbClr val="000000"/>
              </a:solidFill>
              <a:latin typeface="Arial"/>
              <a:cs typeface="Arial"/>
            </a:rPr>
            <a:t>Aufgrund der Einführung des neuen Kindes- und Erwachsenenschutzrechts (KES) per 1.1.2013 wird voraussichtlich eine kantonale Fachbehörde aufgebaut. Diese Fachbehörde wird Aufgaben übernehmen, welche derzeit im Behördensekretariat wahrgenommen werden. Aufgrund des Entwurfes des Einführungsgesetzes kann davon ausgegangen werden, dass folgende Stellen des Behördensekretariats in die kantonalen Strukturen eingegliedert werden: Revisorat 315%, Sekretariat 230%, Fachstelle elterliche Sorge 120% und Inventarbeauftragter 50% (insgesamt 715%). Diese Veränderungen haben auch zur Folge, dass sämtliche Erlöse wegfallen werden. So ergibt sich eine Reduktion der Nettokosten ab 2013 in der Höhe von Fr. 650'000.00 pro Jahr. Es wird sich jedoch erst im Juni 2012 definitiv herausstellen, welche Aufgaben die kantonale Fachbehörde (inkl. Sekretariat) übernehmen wird.</a:t>
          </a:r>
        </a:p>
      </xdr:txBody>
    </xdr:sp>
    <xdr:clientData/>
  </xdr:twoCellAnchor>
  <xdr:twoCellAnchor>
    <xdr:from>
      <xdr:col>0</xdr:col>
      <xdr:colOff>9525</xdr:colOff>
      <xdr:row>2716</xdr:row>
      <xdr:rowOff>30480</xdr:rowOff>
    </xdr:from>
    <xdr:to>
      <xdr:col>8</xdr:col>
      <xdr:colOff>0</xdr:colOff>
      <xdr:row>2717</xdr:row>
      <xdr:rowOff>85725</xdr:rowOff>
    </xdr:to>
    <xdr:sp macro="" textlink="">
      <xdr:nvSpPr>
        <xdr:cNvPr id="193" name="Text Box 7"/>
        <xdr:cNvSpPr txBox="1">
          <a:spLocks noChangeArrowheads="1"/>
        </xdr:cNvSpPr>
      </xdr:nvSpPr>
      <xdr:spPr bwMode="auto">
        <a:xfrm>
          <a:off x="9525" y="390603105"/>
          <a:ext cx="6648450" cy="19812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a:lstStyle/>
        <a:p>
          <a:r>
            <a:rPr lang="de-CH" sz="800">
              <a:latin typeface="Arial" pitchFamily="34" charset="0"/>
              <a:cs typeface="Arial" pitchFamily="34" charset="0"/>
            </a:rPr>
            <a:t>Keine.</a:t>
          </a:r>
        </a:p>
      </xdr:txBody>
    </xdr:sp>
    <xdr:clientData/>
  </xdr:twoCellAnchor>
  <xdr:twoCellAnchor>
    <xdr:from>
      <xdr:col>0</xdr:col>
      <xdr:colOff>0</xdr:colOff>
      <xdr:row>2744</xdr:row>
      <xdr:rowOff>0</xdr:rowOff>
    </xdr:from>
    <xdr:to>
      <xdr:col>8</xdr:col>
      <xdr:colOff>0</xdr:colOff>
      <xdr:row>2747</xdr:row>
      <xdr:rowOff>0</xdr:rowOff>
    </xdr:to>
    <xdr:sp macro="" textlink="">
      <xdr:nvSpPr>
        <xdr:cNvPr id="194" name="Text Box 9"/>
        <xdr:cNvSpPr txBox="1">
          <a:spLocks noChangeArrowheads="1"/>
        </xdr:cNvSpPr>
      </xdr:nvSpPr>
      <xdr:spPr bwMode="auto">
        <a:xfrm>
          <a:off x="0" y="394544550"/>
          <a:ext cx="6657975"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2720</xdr:row>
      <xdr:rowOff>0</xdr:rowOff>
    </xdr:from>
    <xdr:to>
      <xdr:col>8</xdr:col>
      <xdr:colOff>0</xdr:colOff>
      <xdr:row>2722</xdr:row>
      <xdr:rowOff>0</xdr:rowOff>
    </xdr:to>
    <xdr:sp macro="" textlink="">
      <xdr:nvSpPr>
        <xdr:cNvPr id="195" name="Text Box 10"/>
        <xdr:cNvSpPr txBox="1">
          <a:spLocks noChangeArrowheads="1"/>
        </xdr:cNvSpPr>
      </xdr:nvSpPr>
      <xdr:spPr bwMode="auto">
        <a:xfrm>
          <a:off x="0" y="391115550"/>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Erwachsenen- und Kindesschutzkommission sowie die Klientinnen und Klienten; private und professionelle Mandatstragende; Regierungsstatthalteramt; kt. Jugendamt.</a:t>
          </a:r>
        </a:p>
      </xdr:txBody>
    </xdr:sp>
    <xdr:clientData/>
  </xdr:twoCellAnchor>
  <xdr:twoCellAnchor>
    <xdr:from>
      <xdr:col>0</xdr:col>
      <xdr:colOff>0</xdr:colOff>
      <xdr:row>2701</xdr:row>
      <xdr:rowOff>0</xdr:rowOff>
    </xdr:from>
    <xdr:to>
      <xdr:col>8</xdr:col>
      <xdr:colOff>0</xdr:colOff>
      <xdr:row>2702</xdr:row>
      <xdr:rowOff>0</xdr:rowOff>
    </xdr:to>
    <xdr:sp macro="" textlink="">
      <xdr:nvSpPr>
        <xdr:cNvPr id="196" name="Text Box 11"/>
        <xdr:cNvSpPr txBox="1">
          <a:spLocks noChangeArrowheads="1"/>
        </xdr:cNvSpPr>
      </xdr:nvSpPr>
      <xdr:spPr bwMode="auto">
        <a:xfrm>
          <a:off x="0" y="388524750"/>
          <a:ext cx="6667500" cy="1905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5.2 Bern eröffnet Lebens- und Entfaltungschancen für alle Schichten und Generationen</a:t>
          </a:r>
        </a:p>
      </xdr:txBody>
    </xdr:sp>
    <xdr:clientData/>
  </xdr:twoCellAnchor>
  <xdr:twoCellAnchor>
    <xdr:from>
      <xdr:col>0</xdr:col>
      <xdr:colOff>0</xdr:colOff>
      <xdr:row>2772</xdr:row>
      <xdr:rowOff>9525</xdr:rowOff>
    </xdr:from>
    <xdr:to>
      <xdr:col>8</xdr:col>
      <xdr:colOff>0</xdr:colOff>
      <xdr:row>2782</xdr:row>
      <xdr:rowOff>142874</xdr:rowOff>
    </xdr:to>
    <xdr:sp macro="" textlink="">
      <xdr:nvSpPr>
        <xdr:cNvPr id="197" name="Text Box 6"/>
        <xdr:cNvSpPr txBox="1">
          <a:spLocks noChangeArrowheads="1"/>
        </xdr:cNvSpPr>
      </xdr:nvSpPr>
      <xdr:spPr bwMode="auto">
        <a:xfrm>
          <a:off x="0" y="398526000"/>
          <a:ext cx="6667500" cy="1562099"/>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ct val="100000"/>
            </a:lnSpc>
            <a:defRPr sz="1000"/>
          </a:pPr>
          <a:r>
            <a:rPr lang="de-CH" sz="800" b="0" i="0" u="none" strike="noStrike" baseline="0">
              <a:solidFill>
                <a:srgbClr val="000000"/>
              </a:solidFill>
              <a:latin typeface="Arial"/>
              <a:cs typeface="Arial"/>
            </a:rPr>
            <a:t>Zusätzliche Stellen im Mandat Center/Service Center (= Lastenausgleichsberechtigte Fachstellenpauschalen à Fr. 178'000.00.</a:t>
          </a:r>
        </a:p>
        <a:p>
          <a:pPr algn="l" rtl="0">
            <a:lnSpc>
              <a:spcPct val="100000"/>
            </a:lnSpc>
            <a:defRPr sz="1000"/>
          </a:pPr>
          <a:r>
            <a:rPr lang="de-CH" sz="800" b="0" i="0" u="none" strike="noStrike" baseline="0">
              <a:solidFill>
                <a:srgbClr val="000000"/>
              </a:solidFill>
              <a:latin typeface="Arial"/>
              <a:cs typeface="Arial"/>
            </a:rPr>
            <a:t>Diese Pauschale beinhaltet folgende Bedingung: 100% Sozialarbeiterstelle und 50% admin. Personal):</a:t>
          </a:r>
        </a:p>
        <a:p>
          <a:pPr marL="0" indent="0" algn="l" rtl="0">
            <a:lnSpc>
              <a:spcPct val="100000"/>
            </a:lnSpc>
            <a:defRPr sz="1000"/>
          </a:pPr>
          <a:r>
            <a:rPr lang="de-CH" sz="800" b="0" i="0" u="none" strike="noStrike" baseline="0">
              <a:solidFill>
                <a:srgbClr val="000000"/>
              </a:solidFill>
              <a:latin typeface="Arial"/>
              <a:cs typeface="Arial"/>
            </a:rPr>
            <a:t>Die Belastung pro Mitarbeitende wird auch aufgrund der stetig steigenden Fallzahlen hoch bleiben</a:t>
          </a:r>
          <a:r>
            <a:rPr lang="de-CH" sz="800" b="0" i="0" u="none" strike="noStrike" baseline="0">
              <a:solidFill>
                <a:srgbClr val="000000"/>
              </a:solidFill>
              <a:latin typeface="Arial" pitchFamily="34" charset="0"/>
              <a:cs typeface="Arial"/>
            </a:rPr>
            <a:t>. </a:t>
          </a:r>
          <a:r>
            <a:rPr lang="de-CH" sz="800" b="0" i="0" u="none" strike="noStrike" baseline="0">
              <a:solidFill>
                <a:sysClr val="windowText" lastClr="000000"/>
              </a:solidFill>
              <a:effectLst/>
              <a:latin typeface="Arial" pitchFamily="34" charset="0"/>
              <a:ea typeface="+mn-ea"/>
              <a:cs typeface="+mn-cs"/>
            </a:rPr>
            <a:t>M</a:t>
          </a:r>
          <a:r>
            <a:rPr lang="de-CH" sz="800" b="0" i="0" baseline="0">
              <a:effectLst/>
              <a:latin typeface="Arial" pitchFamily="34" charset="0"/>
              <a:ea typeface="+mn-ea"/>
              <a:cs typeface="+mn-cs"/>
            </a:rPr>
            <a:t>it den Aufstockungen 2013/2014 um je 1,5 Stellen soll zudem sichergestellt werden, dass auch die Einführung des neuen Rechts per </a:t>
          </a:r>
          <a:r>
            <a:rPr lang="de-CH" sz="800" b="0" i="0" u="none" strike="noStrike" baseline="0">
              <a:solidFill>
                <a:srgbClr val="000000"/>
              </a:solidFill>
              <a:latin typeface="Arial"/>
              <a:ea typeface="+mn-ea"/>
              <a:cs typeface="Arial"/>
            </a:rPr>
            <a:t>1.1.2013</a:t>
          </a:r>
          <a:r>
            <a:rPr lang="de-CH" sz="800" b="0" i="0" baseline="0">
              <a:effectLst/>
              <a:latin typeface="Arial" pitchFamily="34" charset="0"/>
              <a:ea typeface="+mn-ea"/>
              <a:cs typeface="+mn-cs"/>
            </a:rPr>
            <a:t> möglichst gut verläuft und den damit verbundenen Ansprüchen </a:t>
          </a:r>
          <a:r>
            <a:rPr lang="de-CH" sz="800" b="0" i="0" u="none" strike="noStrike" baseline="0">
              <a:solidFill>
                <a:srgbClr val="000000"/>
              </a:solidFill>
              <a:latin typeface="Arial"/>
              <a:ea typeface="+mn-ea"/>
              <a:cs typeface="Arial"/>
            </a:rPr>
            <a:t>der kantonalen Fachbehörde entsprochen werden kann.</a:t>
          </a:r>
        </a:p>
        <a:p>
          <a:pPr marL="0" indent="0" algn="l" rtl="0">
            <a:lnSpc>
              <a:spcPct val="100000"/>
            </a:lnSpc>
            <a:defRPr sz="1000"/>
          </a:pPr>
          <a:endParaRPr lang="de-CH" sz="400" b="0" i="0" u="none" strike="noStrike" baseline="0">
            <a:solidFill>
              <a:srgbClr val="000000"/>
            </a:solidFill>
            <a:latin typeface="Arial"/>
            <a:ea typeface="+mn-ea"/>
            <a:cs typeface="Arial"/>
          </a:endParaRPr>
        </a:p>
        <a:p>
          <a:pPr marL="0" indent="0" algn="l" rtl="0">
            <a:lnSpc>
              <a:spcPct val="100000"/>
            </a:lnSpc>
            <a:defRPr sz="1000"/>
          </a:pPr>
          <a:r>
            <a:rPr lang="de-CH" sz="800" b="0" i="0" u="none" strike="noStrike" baseline="0">
              <a:solidFill>
                <a:srgbClr val="000000"/>
              </a:solidFill>
              <a:latin typeface="Arial"/>
              <a:ea typeface="+mn-ea"/>
              <a:cs typeface="Arial"/>
            </a:rPr>
            <a:t>Der Aufbau der personellen Ressourcen hat folgende Konsequenzen:</a:t>
          </a:r>
        </a:p>
        <a:p>
          <a:pPr marL="0" indent="0" algn="l" rtl="0">
            <a:lnSpc>
              <a:spcPct val="100000"/>
            </a:lnSpc>
            <a:defRPr sz="1000"/>
          </a:pPr>
          <a:r>
            <a:rPr lang="de-CH" sz="800" b="0" i="0" u="none" strike="noStrike" baseline="0">
              <a:solidFill>
                <a:srgbClr val="000000"/>
              </a:solidFill>
              <a:latin typeface="Arial"/>
              <a:ea typeface="+mn-ea"/>
              <a:cs typeface="Arial"/>
            </a:rPr>
            <a:t>a) 2013: Ergänzungskosten der Mitte 2012 besetzten 9 (6 Fachstellenpauschalen). </a:t>
          </a:r>
          <a:br>
            <a:rPr lang="de-CH" sz="800" b="0" i="0" u="none" strike="noStrike" baseline="0">
              <a:solidFill>
                <a:srgbClr val="000000"/>
              </a:solidFill>
              <a:latin typeface="Arial"/>
              <a:ea typeface="+mn-ea"/>
              <a:cs typeface="Arial"/>
            </a:rPr>
          </a:br>
          <a:r>
            <a:rPr lang="de-CH" sz="800" b="0" i="0" u="none" strike="noStrike" baseline="0">
              <a:solidFill>
                <a:srgbClr val="000000"/>
              </a:solidFill>
              <a:latin typeface="Arial"/>
              <a:ea typeface="+mn-ea"/>
              <a:cs typeface="Arial"/>
            </a:rPr>
            <a:t>b) Je 1,5 zusätzliche Stellen (je 1 Fachstellenpauschale) per 1.1.2013 und 1.1.2014</a:t>
          </a:r>
        </a:p>
        <a:p>
          <a:pPr marL="0" indent="0" algn="l" rtl="0">
            <a:lnSpc>
              <a:spcPct val="100000"/>
            </a:lnSpc>
            <a:defRPr sz="1000"/>
          </a:pPr>
          <a:endParaRPr lang="de-CH" sz="400" b="0" i="0" u="none" strike="noStrike" baseline="0">
            <a:solidFill>
              <a:srgbClr val="000000"/>
            </a:solidFill>
            <a:latin typeface="Arial"/>
            <a:ea typeface="+mn-ea"/>
            <a:cs typeface="Arial"/>
          </a:endParaRPr>
        </a:p>
        <a:p>
          <a:pPr marL="0" indent="0" algn="l" rtl="0">
            <a:lnSpc>
              <a:spcPct val="100000"/>
            </a:lnSpc>
            <a:defRPr sz="1000"/>
          </a:pPr>
          <a:r>
            <a:rPr lang="de-CH" sz="800" b="0" i="0" u="none" strike="noStrike" baseline="0">
              <a:solidFill>
                <a:srgbClr val="000000"/>
              </a:solidFill>
              <a:latin typeface="Arial"/>
              <a:ea typeface="+mn-ea"/>
              <a:cs typeface="Arial"/>
            </a:rPr>
            <a:t>Die Erhöhung dieser EKS-Kosten werden durch die Mehreinnahmen bei der BSS aus dem Lastenausgleich gedeckt!  Zudem werden aufgrund der steigenden Fallzahlen Mehreinnahmen von jährlich Fr. 40'000.00 erwartet.</a:t>
          </a:r>
        </a:p>
        <a:p>
          <a:pPr marL="0" indent="0" algn="l" rtl="0">
            <a:lnSpc>
              <a:spcPct val="100000"/>
            </a:lnSpc>
            <a:defRPr sz="1000"/>
          </a:pPr>
          <a:endParaRPr lang="de-CH" sz="400" b="0" i="0" u="none" strike="noStrike" baseline="0">
            <a:solidFill>
              <a:srgbClr val="000000"/>
            </a:solidFill>
            <a:latin typeface="Arial"/>
            <a:ea typeface="+mn-ea"/>
            <a:cs typeface="Arial"/>
          </a:endParaRPr>
        </a:p>
        <a:p>
          <a:pPr marL="0" indent="0" algn="l" rtl="0">
            <a:lnSpc>
              <a:spcPct val="100000"/>
            </a:lnSpc>
            <a:defRPr sz="1000"/>
          </a:pPr>
          <a:r>
            <a:rPr lang="de-CH" sz="800" b="0" i="0" u="none" strike="noStrike" baseline="0">
              <a:solidFill>
                <a:srgbClr val="000000"/>
              </a:solidFill>
              <a:latin typeface="Arial"/>
              <a:ea typeface="+mn-ea"/>
              <a:cs typeface="Arial"/>
            </a:rPr>
            <a:t>Sparmassnahmen 2012-2016: Einschränkung der Sicherheitsdienste von jährlich Fr. 40'000.00.</a:t>
          </a:r>
          <a:endParaRPr lang="de-CH" sz="800" b="0" i="0" u="none" strike="noStrike" baseline="0">
            <a:solidFill>
              <a:srgbClr val="000000"/>
            </a:solidFill>
            <a:latin typeface="Arial"/>
            <a:cs typeface="Arial"/>
          </a:endParaRPr>
        </a:p>
      </xdr:txBody>
    </xdr:sp>
    <xdr:clientData/>
  </xdr:twoCellAnchor>
  <xdr:twoCellAnchor>
    <xdr:from>
      <xdr:col>0</xdr:col>
      <xdr:colOff>0</xdr:colOff>
      <xdr:row>2785</xdr:row>
      <xdr:rowOff>49530</xdr:rowOff>
    </xdr:from>
    <xdr:to>
      <xdr:col>8</xdr:col>
      <xdr:colOff>0</xdr:colOff>
      <xdr:row>2788</xdr:row>
      <xdr:rowOff>47742</xdr:rowOff>
    </xdr:to>
    <xdr:sp macro="" textlink="">
      <xdr:nvSpPr>
        <xdr:cNvPr id="198" name="Text Box 7"/>
        <xdr:cNvSpPr txBox="1">
          <a:spLocks noChangeArrowheads="1"/>
        </xdr:cNvSpPr>
      </xdr:nvSpPr>
      <xdr:spPr bwMode="auto">
        <a:xfrm>
          <a:off x="0" y="400423380"/>
          <a:ext cx="6667500" cy="426837"/>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Anlässlich der Einführung des neuen Kindes- und Erwachsenenschutzrechts per 1.1.2013 und der daraus resultierenden rechtlichen und organisatorischen Auswirkungen muss auch das Klienteninformationssystem KiSS angepasst werden.</a:t>
          </a:r>
        </a:p>
      </xdr:txBody>
    </xdr:sp>
    <xdr:clientData/>
  </xdr:twoCellAnchor>
  <xdr:twoCellAnchor>
    <xdr:from>
      <xdr:col>0</xdr:col>
      <xdr:colOff>0</xdr:colOff>
      <xdr:row>2816</xdr:row>
      <xdr:rowOff>0</xdr:rowOff>
    </xdr:from>
    <xdr:to>
      <xdr:col>8</xdr:col>
      <xdr:colOff>0</xdr:colOff>
      <xdr:row>2817</xdr:row>
      <xdr:rowOff>0</xdr:rowOff>
    </xdr:to>
    <xdr:sp macro="" textlink="">
      <xdr:nvSpPr>
        <xdr:cNvPr id="199" name="Text Box 9"/>
        <xdr:cNvSpPr txBox="1">
          <a:spLocks noChangeArrowheads="1"/>
        </xdr:cNvSpPr>
      </xdr:nvSpPr>
      <xdr:spPr bwMode="auto">
        <a:xfrm>
          <a:off x="0" y="404812500"/>
          <a:ext cx="6667500" cy="1905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2790</xdr:row>
      <xdr:rowOff>0</xdr:rowOff>
    </xdr:from>
    <xdr:to>
      <xdr:col>8</xdr:col>
      <xdr:colOff>0</xdr:colOff>
      <xdr:row>2793</xdr:row>
      <xdr:rowOff>68650</xdr:rowOff>
    </xdr:to>
    <xdr:sp macro="" textlink="">
      <xdr:nvSpPr>
        <xdr:cNvPr id="200" name="Text Box 10"/>
        <xdr:cNvSpPr txBox="1">
          <a:spLocks noChangeArrowheads="1"/>
        </xdr:cNvSpPr>
      </xdr:nvSpPr>
      <xdr:spPr bwMode="auto">
        <a:xfrm>
          <a:off x="0" y="401097750"/>
          <a:ext cx="6667500" cy="4972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Klientinnen und Klienten mit erwachsenen- und kindesschutzrechtlichen Massnahmen; Spitäler, Heime, Gesundheitsdienst, UPD, Polizei, Sozialamt, Jugendamt, Anwälte, Ärzte, Ombudsmann, diverse private Organisationen, nicht verheiratete Eltern und deren Kinder, private Mandatstragende.</a:t>
          </a:r>
        </a:p>
      </xdr:txBody>
    </xdr:sp>
    <xdr:clientData/>
  </xdr:twoCellAnchor>
  <xdr:twoCellAnchor>
    <xdr:from>
      <xdr:col>0</xdr:col>
      <xdr:colOff>0</xdr:colOff>
      <xdr:row>2769</xdr:row>
      <xdr:rowOff>0</xdr:rowOff>
    </xdr:from>
    <xdr:to>
      <xdr:col>8</xdr:col>
      <xdr:colOff>0</xdr:colOff>
      <xdr:row>2770</xdr:row>
      <xdr:rowOff>38100</xdr:rowOff>
    </xdr:to>
    <xdr:sp macro="" textlink="">
      <xdr:nvSpPr>
        <xdr:cNvPr id="201" name="Text Box 11"/>
        <xdr:cNvSpPr txBox="1">
          <a:spLocks noChangeArrowheads="1"/>
        </xdr:cNvSpPr>
      </xdr:nvSpPr>
      <xdr:spPr bwMode="auto">
        <a:xfrm>
          <a:off x="0" y="397973550"/>
          <a:ext cx="6667500" cy="1809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5.2 Bern eröffnet Lebens- und Entfaltungschancen für alle Schichten und Generationen</a:t>
          </a:r>
        </a:p>
      </xdr:txBody>
    </xdr:sp>
    <xdr:clientData/>
  </xdr:twoCellAnchor>
  <xdr:twoCellAnchor>
    <xdr:from>
      <xdr:col>0</xdr:col>
      <xdr:colOff>0</xdr:colOff>
      <xdr:row>2840</xdr:row>
      <xdr:rowOff>0</xdr:rowOff>
    </xdr:from>
    <xdr:to>
      <xdr:col>8</xdr:col>
      <xdr:colOff>0</xdr:colOff>
      <xdr:row>2844</xdr:row>
      <xdr:rowOff>38100</xdr:rowOff>
    </xdr:to>
    <xdr:sp macro="" textlink="">
      <xdr:nvSpPr>
        <xdr:cNvPr id="202" name="Text Box 6"/>
        <xdr:cNvSpPr txBox="1">
          <a:spLocks noChangeArrowheads="1"/>
        </xdr:cNvSpPr>
      </xdr:nvSpPr>
      <xdr:spPr bwMode="auto">
        <a:xfrm>
          <a:off x="0" y="408289125"/>
          <a:ext cx="6667500" cy="6096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a:lstStyle/>
        <a:p>
          <a:pPr marL="0" indent="0" algn="l" rtl="0">
            <a:defRPr sz="1000"/>
          </a:pPr>
          <a:r>
            <a:rPr lang="de-CH" sz="800" b="0" i="0" u="none" strike="noStrike" baseline="0">
              <a:solidFill>
                <a:srgbClr val="000000"/>
              </a:solidFill>
              <a:latin typeface="Arial"/>
              <a:ea typeface="+mn-ea"/>
              <a:cs typeface="Arial"/>
            </a:rPr>
            <a:t>Sparmassnahmen 2012-16: Anpassung an die Teuerung oder Erhöhungen von bestehenden  Gebühren:</a:t>
          </a:r>
        </a:p>
        <a:p>
          <a:pPr marL="0" indent="0" algn="l" rtl="0">
            <a:defRPr sz="1000"/>
          </a:pPr>
          <a:r>
            <a:rPr lang="de-CH" sz="800" b="0" i="0" u="none" strike="noStrike" baseline="0">
              <a:solidFill>
                <a:srgbClr val="000000"/>
              </a:solidFill>
              <a:latin typeface="Arial"/>
              <a:ea typeface="+mn-ea"/>
              <a:cs typeface="Arial"/>
            </a:rPr>
            <a:t>Testamente: Fr. 130'000.00; Siegelungen Fr. 60'000.00; Erbrecht: Fr. 10'000.00</a:t>
          </a:r>
        </a:p>
      </xdr:txBody>
    </xdr:sp>
    <xdr:clientData/>
  </xdr:twoCellAnchor>
  <xdr:twoCellAnchor>
    <xdr:from>
      <xdr:col>0</xdr:col>
      <xdr:colOff>0</xdr:colOff>
      <xdr:row>2848</xdr:row>
      <xdr:rowOff>0</xdr:rowOff>
    </xdr:from>
    <xdr:to>
      <xdr:col>8</xdr:col>
      <xdr:colOff>0</xdr:colOff>
      <xdr:row>2849</xdr:row>
      <xdr:rowOff>98959</xdr:rowOff>
    </xdr:to>
    <xdr:sp macro="" textlink="">
      <xdr:nvSpPr>
        <xdr:cNvPr id="203" name="Text Box 7"/>
        <xdr:cNvSpPr txBox="1">
          <a:spLocks noChangeArrowheads="1"/>
        </xdr:cNvSpPr>
      </xdr:nvSpPr>
      <xdr:spPr bwMode="auto">
        <a:xfrm>
          <a:off x="0" y="409403550"/>
          <a:ext cx="6667500" cy="24183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a:lstStyle/>
        <a:p>
          <a:pPr algn="l"/>
          <a:r>
            <a:rPr lang="de-CH" sz="800">
              <a:latin typeface="Arial" pitchFamily="34" charset="0"/>
              <a:cs typeface="Arial" pitchFamily="34" charset="0"/>
            </a:rPr>
            <a:t>Keine.</a:t>
          </a:r>
        </a:p>
      </xdr:txBody>
    </xdr:sp>
    <xdr:clientData/>
  </xdr:twoCellAnchor>
  <xdr:twoCellAnchor>
    <xdr:from>
      <xdr:col>0</xdr:col>
      <xdr:colOff>0</xdr:colOff>
      <xdr:row>2876</xdr:row>
      <xdr:rowOff>0</xdr:rowOff>
    </xdr:from>
    <xdr:to>
      <xdr:col>7</xdr:col>
      <xdr:colOff>742950</xdr:colOff>
      <xdr:row>2879</xdr:row>
      <xdr:rowOff>0</xdr:rowOff>
    </xdr:to>
    <xdr:sp macro="" textlink="">
      <xdr:nvSpPr>
        <xdr:cNvPr id="204" name="Text Box 9"/>
        <xdr:cNvSpPr txBox="1">
          <a:spLocks noChangeArrowheads="1"/>
        </xdr:cNvSpPr>
      </xdr:nvSpPr>
      <xdr:spPr bwMode="auto">
        <a:xfrm>
          <a:off x="0" y="413375475"/>
          <a:ext cx="6638925"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2852</xdr:row>
      <xdr:rowOff>0</xdr:rowOff>
    </xdr:from>
    <xdr:to>
      <xdr:col>8</xdr:col>
      <xdr:colOff>0</xdr:colOff>
      <xdr:row>2854</xdr:row>
      <xdr:rowOff>0</xdr:rowOff>
    </xdr:to>
    <xdr:sp macro="" textlink="">
      <xdr:nvSpPr>
        <xdr:cNvPr id="205" name="Text Box 10"/>
        <xdr:cNvSpPr txBox="1">
          <a:spLocks noChangeArrowheads="1"/>
        </xdr:cNvSpPr>
      </xdr:nvSpPr>
      <xdr:spPr bwMode="auto">
        <a:xfrm>
          <a:off x="0" y="409946475"/>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Einwohnerinnen und Einwohner der Stadt Bern, Erben aus anderen Gemeinden, Erben im Ausland; Anwälte, Notare, andere Gemeinden, Regierungsstatthalteramt. </a:t>
          </a:r>
        </a:p>
      </xdr:txBody>
    </xdr:sp>
    <xdr:clientData/>
  </xdr:twoCellAnchor>
  <xdr:twoCellAnchor>
    <xdr:from>
      <xdr:col>0</xdr:col>
      <xdr:colOff>0</xdr:colOff>
      <xdr:row>2836</xdr:row>
      <xdr:rowOff>0</xdr:rowOff>
    </xdr:from>
    <xdr:to>
      <xdr:col>8</xdr:col>
      <xdr:colOff>0</xdr:colOff>
      <xdr:row>2837</xdr:row>
      <xdr:rowOff>47625</xdr:rowOff>
    </xdr:to>
    <xdr:sp macro="" textlink="">
      <xdr:nvSpPr>
        <xdr:cNvPr id="206" name="Text Box 11"/>
        <xdr:cNvSpPr txBox="1">
          <a:spLocks noChangeArrowheads="1"/>
        </xdr:cNvSpPr>
      </xdr:nvSpPr>
      <xdr:spPr bwMode="auto">
        <a:xfrm>
          <a:off x="0" y="407574750"/>
          <a:ext cx="6667500" cy="2190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5.2 Bern eröffnet Lebens- und Entfaltungschancen für alle Schichten und Generationen</a:t>
          </a:r>
        </a:p>
      </xdr:txBody>
    </xdr:sp>
    <xdr:clientData/>
  </xdr:twoCellAnchor>
  <xdr:twoCellAnchor>
    <xdr:from>
      <xdr:col>0</xdr:col>
      <xdr:colOff>0</xdr:colOff>
      <xdr:row>2906</xdr:row>
      <xdr:rowOff>0</xdr:rowOff>
    </xdr:from>
    <xdr:to>
      <xdr:col>8</xdr:col>
      <xdr:colOff>0</xdr:colOff>
      <xdr:row>2910</xdr:row>
      <xdr:rowOff>0</xdr:rowOff>
    </xdr:to>
    <xdr:sp macro="" textlink="">
      <xdr:nvSpPr>
        <xdr:cNvPr id="207" name="Text Box 6"/>
        <xdr:cNvSpPr txBox="1">
          <a:spLocks noChangeArrowheads="1"/>
        </xdr:cNvSpPr>
      </xdr:nvSpPr>
      <xdr:spPr bwMode="auto">
        <a:xfrm>
          <a:off x="0" y="417633150"/>
          <a:ext cx="6667500" cy="5715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Die im Jahr 2009  vom Gemeinderat verabschiedete Eignerstrategie sowie die Annahme des Gegenvorschlags zur Initiative EnergieWendeBern im November 2010 geben die künftigen Rahmenbedingungen vor.</a:t>
          </a:r>
        </a:p>
        <a:p>
          <a:pPr algn="l" rtl="0">
            <a:defRPr sz="1000"/>
          </a:pPr>
          <a:r>
            <a:rPr lang="de-CH" sz="800" b="0" i="0" u="none" strike="noStrike" baseline="0">
              <a:solidFill>
                <a:srgbClr val="000000"/>
              </a:solidFill>
              <a:latin typeface="Arial"/>
              <a:cs typeface="Arial"/>
            </a:rPr>
            <a:t>Die Sparmassnahme 2012 - 2016 mit einer um 1 Mio. Franken erhöhten Gewinnablieferung  kann ab dem Jahr 2013 nicht mehr umgesetzt werden.</a:t>
          </a:r>
        </a:p>
      </xdr:txBody>
    </xdr:sp>
    <xdr:clientData/>
  </xdr:twoCellAnchor>
  <xdr:twoCellAnchor>
    <xdr:from>
      <xdr:col>0</xdr:col>
      <xdr:colOff>0</xdr:colOff>
      <xdr:row>2912</xdr:row>
      <xdr:rowOff>0</xdr:rowOff>
    </xdr:from>
    <xdr:to>
      <xdr:col>8</xdr:col>
      <xdr:colOff>0</xdr:colOff>
      <xdr:row>2916</xdr:row>
      <xdr:rowOff>66675</xdr:rowOff>
    </xdr:to>
    <xdr:sp macro="" textlink="">
      <xdr:nvSpPr>
        <xdr:cNvPr id="208" name="Text Box 7"/>
        <xdr:cNvSpPr txBox="1">
          <a:spLocks noChangeArrowheads="1"/>
        </xdr:cNvSpPr>
      </xdr:nvSpPr>
      <xdr:spPr bwMode="auto">
        <a:xfrm>
          <a:off x="0" y="418461825"/>
          <a:ext cx="6667500" cy="6381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nSpc>
              <a:spcPts val="800"/>
            </a:lnSpc>
          </a:pPr>
          <a:r>
            <a:rPr lang="de-CH" sz="800">
              <a:effectLst/>
              <a:latin typeface="Arial" pitchFamily="34" charset="0"/>
              <a:ea typeface="+mn-ea"/>
              <a:cs typeface="Arial" pitchFamily="34" charset="0"/>
            </a:rPr>
            <a:t>Aufgrund aktualisierter Prognosen ist eine drastische Anpassung der Gewinnausschüttung seitens ewb an die Stadt Bern erforderlich. Die Hauptgründe liegen u.a. in der stark veränderten Energiemarktsituation, d.h. stärkere Regulation des Marktes, eine geringere Energienachfrage resultierend aus der wirtschaftlichen Krise in ganz Europa, Wechselkursproblematik, die Folgen von Fukushima sowie  deutlich geringere Energiepreise als angenommen.</a:t>
          </a:r>
        </a:p>
        <a:p>
          <a:pPr>
            <a:lnSpc>
              <a:spcPts val="800"/>
            </a:lnSpc>
          </a:pPr>
          <a:r>
            <a:rPr lang="de-CH" sz="800">
              <a:effectLst/>
              <a:latin typeface="Arial" pitchFamily="34" charset="0"/>
              <a:ea typeface="+mn-ea"/>
              <a:cs typeface="Arial" pitchFamily="34" charset="0"/>
            </a:rPr>
            <a:t>Ab 2013 beträgt</a:t>
          </a:r>
          <a:r>
            <a:rPr lang="de-CH" sz="800" baseline="0">
              <a:effectLst/>
              <a:latin typeface="Arial" pitchFamily="34" charset="0"/>
              <a:ea typeface="+mn-ea"/>
              <a:cs typeface="Arial" pitchFamily="34" charset="0"/>
            </a:rPr>
            <a:t> die Gewinnablieferung 25 Mio. Franken, davon werden 2,5 Mio. Franken für die Äufnung des  Oekofonds abgezogen.</a:t>
          </a:r>
          <a:endParaRPr lang="de-CH" sz="800">
            <a:effectLst/>
            <a:latin typeface="Arial" pitchFamily="34" charset="0"/>
            <a:ea typeface="+mn-ea"/>
            <a:cs typeface="Arial" pitchFamily="34" charset="0"/>
          </a:endParaRPr>
        </a:p>
        <a:p>
          <a:pPr algn="l" rtl="0">
            <a:defRPr sz="1000"/>
          </a:pPr>
          <a:endParaRPr lang="de-CH" sz="800" b="0" i="0" u="none" strike="noStrike" baseline="0">
            <a:solidFill>
              <a:srgbClr val="000000"/>
            </a:solidFill>
            <a:latin typeface="Arial"/>
            <a:cs typeface="Arial"/>
          </a:endParaRPr>
        </a:p>
        <a:p>
          <a:pPr algn="l" rtl="0">
            <a:lnSpc>
              <a:spcPts val="700"/>
            </a:lnSpc>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2943</xdr:row>
      <xdr:rowOff>0</xdr:rowOff>
    </xdr:from>
    <xdr:to>
      <xdr:col>8</xdr:col>
      <xdr:colOff>0</xdr:colOff>
      <xdr:row>2946</xdr:row>
      <xdr:rowOff>0</xdr:rowOff>
    </xdr:to>
    <xdr:sp macro="" textlink="">
      <xdr:nvSpPr>
        <xdr:cNvPr id="209" name="Text Box 9"/>
        <xdr:cNvSpPr txBox="1">
          <a:spLocks noChangeArrowheads="1"/>
        </xdr:cNvSpPr>
      </xdr:nvSpPr>
      <xdr:spPr bwMode="auto">
        <a:xfrm>
          <a:off x="0" y="422890950"/>
          <a:ext cx="6667500"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 (durch Stadt).</a:t>
          </a:r>
        </a:p>
        <a:p>
          <a:pPr algn="l" rtl="0">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2919</xdr:row>
      <xdr:rowOff>0</xdr:rowOff>
    </xdr:from>
    <xdr:to>
      <xdr:col>8</xdr:col>
      <xdr:colOff>0</xdr:colOff>
      <xdr:row>2921</xdr:row>
      <xdr:rowOff>0</xdr:rowOff>
    </xdr:to>
    <xdr:sp macro="" textlink="">
      <xdr:nvSpPr>
        <xdr:cNvPr id="210" name="Text Box 10"/>
        <xdr:cNvSpPr txBox="1">
          <a:spLocks noChangeArrowheads="1"/>
        </xdr:cNvSpPr>
      </xdr:nvSpPr>
      <xdr:spPr bwMode="auto">
        <a:xfrm>
          <a:off x="0" y="419461950"/>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Einwohnerinnen und Einwohner, Industrie und Gewerbe, Unternehmen, Partnerwerke, Stadtverwaltung.</a:t>
          </a:r>
        </a:p>
      </xdr:txBody>
    </xdr:sp>
    <xdr:clientData/>
  </xdr:twoCellAnchor>
  <xdr:twoCellAnchor>
    <xdr:from>
      <xdr:col>0</xdr:col>
      <xdr:colOff>0</xdr:colOff>
      <xdr:row>2898</xdr:row>
      <xdr:rowOff>0</xdr:rowOff>
    </xdr:from>
    <xdr:to>
      <xdr:col>8</xdr:col>
      <xdr:colOff>0</xdr:colOff>
      <xdr:row>2903</xdr:row>
      <xdr:rowOff>0</xdr:rowOff>
    </xdr:to>
    <xdr:sp macro="" textlink="">
      <xdr:nvSpPr>
        <xdr:cNvPr id="211" name="Text Box 11"/>
        <xdr:cNvSpPr txBox="1">
          <a:spLocks noChangeArrowheads="1"/>
        </xdr:cNvSpPr>
      </xdr:nvSpPr>
      <xdr:spPr bwMode="auto">
        <a:xfrm>
          <a:off x="0" y="416375850"/>
          <a:ext cx="6667500" cy="7143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2973</xdr:row>
      <xdr:rowOff>0</xdr:rowOff>
    </xdr:from>
    <xdr:to>
      <xdr:col>8</xdr:col>
      <xdr:colOff>0</xdr:colOff>
      <xdr:row>2977</xdr:row>
      <xdr:rowOff>0</xdr:rowOff>
    </xdr:to>
    <xdr:sp macro="" textlink="">
      <xdr:nvSpPr>
        <xdr:cNvPr id="212" name="Text Box 6"/>
        <xdr:cNvSpPr txBox="1">
          <a:spLocks noChangeArrowheads="1"/>
        </xdr:cNvSpPr>
      </xdr:nvSpPr>
      <xdr:spPr bwMode="auto">
        <a:xfrm>
          <a:off x="0" y="427015275"/>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Unveränderte Entwicklungstendenzen und Rahmenbedingungen. </a:t>
          </a:r>
        </a:p>
      </xdr:txBody>
    </xdr:sp>
    <xdr:clientData/>
  </xdr:twoCellAnchor>
  <xdr:twoCellAnchor>
    <xdr:from>
      <xdr:col>0</xdr:col>
      <xdr:colOff>0</xdr:colOff>
      <xdr:row>2979</xdr:row>
      <xdr:rowOff>38100</xdr:rowOff>
    </xdr:from>
    <xdr:to>
      <xdr:col>8</xdr:col>
      <xdr:colOff>0</xdr:colOff>
      <xdr:row>2986</xdr:row>
      <xdr:rowOff>0</xdr:rowOff>
    </xdr:to>
    <xdr:sp macro="" textlink="">
      <xdr:nvSpPr>
        <xdr:cNvPr id="213" name="Text Box 7"/>
        <xdr:cNvSpPr txBox="1">
          <a:spLocks noChangeArrowheads="1"/>
        </xdr:cNvSpPr>
      </xdr:nvSpPr>
      <xdr:spPr bwMode="auto">
        <a:xfrm>
          <a:off x="0" y="427596300"/>
          <a:ext cx="6667500" cy="3905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Die Stadtteilkonferenz findet alle zwei Jahre statt. Die Kosten wurden in den Planjahren 2013 und 2015 berücksichtigt. Minderkosten  von Fr. 25'000.00 als Kompensation für die neue Aufgabe in der PG300400.</a:t>
          </a:r>
        </a:p>
      </xdr:txBody>
    </xdr:sp>
    <xdr:clientData/>
  </xdr:twoCellAnchor>
  <xdr:twoCellAnchor>
    <xdr:from>
      <xdr:col>0</xdr:col>
      <xdr:colOff>0</xdr:colOff>
      <xdr:row>3012</xdr:row>
      <xdr:rowOff>0</xdr:rowOff>
    </xdr:from>
    <xdr:to>
      <xdr:col>8</xdr:col>
      <xdr:colOff>0</xdr:colOff>
      <xdr:row>3015</xdr:row>
      <xdr:rowOff>0</xdr:rowOff>
    </xdr:to>
    <xdr:sp macro="" textlink="">
      <xdr:nvSpPr>
        <xdr:cNvPr id="214" name="Text Box 9"/>
        <xdr:cNvSpPr txBox="1">
          <a:spLocks noChangeArrowheads="1"/>
        </xdr:cNvSpPr>
      </xdr:nvSpPr>
      <xdr:spPr bwMode="auto">
        <a:xfrm>
          <a:off x="0" y="431377725"/>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2988</xdr:row>
      <xdr:rowOff>0</xdr:rowOff>
    </xdr:from>
    <xdr:to>
      <xdr:col>8</xdr:col>
      <xdr:colOff>0</xdr:colOff>
      <xdr:row>2990</xdr:row>
      <xdr:rowOff>0</xdr:rowOff>
    </xdr:to>
    <xdr:sp macro="" textlink="">
      <xdr:nvSpPr>
        <xdr:cNvPr id="215" name="Text Box 10"/>
        <xdr:cNvSpPr txBox="1">
          <a:spLocks noChangeArrowheads="1"/>
        </xdr:cNvSpPr>
      </xdr:nvSpPr>
      <xdr:spPr bwMode="auto">
        <a:xfrm>
          <a:off x="0" y="428244000"/>
          <a:ext cx="6667500" cy="3905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Verwaltung direktionsintern und direktionsübergreifend, politische Behörden, Kanton, Medien, Institutionen sowie Einwohnerinnen und Einwohner der Stadt Bern.</a:t>
          </a:r>
        </a:p>
      </xdr:txBody>
    </xdr:sp>
    <xdr:clientData/>
  </xdr:twoCellAnchor>
  <xdr:twoCellAnchor>
    <xdr:from>
      <xdr:col>0</xdr:col>
      <xdr:colOff>0</xdr:colOff>
      <xdr:row>2967</xdr:row>
      <xdr:rowOff>0</xdr:rowOff>
    </xdr:from>
    <xdr:to>
      <xdr:col>8</xdr:col>
      <xdr:colOff>0</xdr:colOff>
      <xdr:row>2971</xdr:row>
      <xdr:rowOff>0</xdr:rowOff>
    </xdr:to>
    <xdr:sp macro="" textlink="">
      <xdr:nvSpPr>
        <xdr:cNvPr id="216" name="Text Box 11"/>
        <xdr:cNvSpPr txBox="1">
          <a:spLocks noChangeArrowheads="1"/>
        </xdr:cNvSpPr>
      </xdr:nvSpPr>
      <xdr:spPr bwMode="auto">
        <a:xfrm>
          <a:off x="0" y="426329475"/>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3046</xdr:row>
      <xdr:rowOff>9525</xdr:rowOff>
    </xdr:from>
    <xdr:to>
      <xdr:col>8</xdr:col>
      <xdr:colOff>0</xdr:colOff>
      <xdr:row>3051</xdr:row>
      <xdr:rowOff>114300</xdr:rowOff>
    </xdr:to>
    <xdr:sp macro="" textlink="">
      <xdr:nvSpPr>
        <xdr:cNvPr id="217" name="Text Box 6"/>
        <xdr:cNvSpPr txBox="1">
          <a:spLocks noChangeArrowheads="1"/>
        </xdr:cNvSpPr>
      </xdr:nvSpPr>
      <xdr:spPr bwMode="auto">
        <a:xfrm>
          <a:off x="0" y="435587775"/>
          <a:ext cx="6657975" cy="733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Im Jahr 2013 wird voraussichtlich ein neues Strategiepapier "Suchtpolitik: Ziele, Schwerpunkte und Massnahmen 2013 - 2018" erarbeitet. Aus heutiger Sicht wird das Schwergewicht weiterhin bei der Prävention, der Schadensminderung und der verstärkten Koordination liegen. Die  Vermittlungs- und Rückführungs-Aktionen (AVR) sind weiterhin im bestehenden Umfang einzuplanen und flexibel nach Bedarf zu handhaben, damit eine allfällige Szenenbildung verhindert  bzw. rasch aufgelöst werden kann. Die Auswirkungen des Case Managements in der Arbeit mit suchtmittelabhängigen Personen sind noch nicht abzusehen.</a:t>
          </a:r>
        </a:p>
      </xdr:txBody>
    </xdr:sp>
    <xdr:clientData/>
  </xdr:twoCellAnchor>
  <xdr:twoCellAnchor>
    <xdr:from>
      <xdr:col>0</xdr:col>
      <xdr:colOff>0</xdr:colOff>
      <xdr:row>3054</xdr:row>
      <xdr:rowOff>9525</xdr:rowOff>
    </xdr:from>
    <xdr:to>
      <xdr:col>8</xdr:col>
      <xdr:colOff>0</xdr:colOff>
      <xdr:row>3063</xdr:row>
      <xdr:rowOff>104775</xdr:rowOff>
    </xdr:to>
    <xdr:sp macro="" textlink="">
      <xdr:nvSpPr>
        <xdr:cNvPr id="218" name="Text Box 7"/>
        <xdr:cNvSpPr txBox="1">
          <a:spLocks noChangeArrowheads="1"/>
        </xdr:cNvSpPr>
      </xdr:nvSpPr>
      <xdr:spPr bwMode="auto">
        <a:xfrm>
          <a:off x="0" y="436597425"/>
          <a:ext cx="6667500" cy="1190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 Das  Pilotprojekt Case Management für Drogenabhängige in der Stadt Bern (im Auftrag der Gesundheits- und Fürsorgedirektion des Kantons Bern (GEF)) beginnt am 1. November 2011 und endet per 31. Oktober 2013. Für die gesamte Dauer des Projekts beteiligt sich die GEF mit Fr. 400'000.00. Im Voranschlag 2012 wurde mit Kosten und  Erlösen von je Fr. 265'000.00 gerechnet. Dabei wurde davon ausgegangen, dass sich auch Infodrog mit jährlich Fr. 50'000.00 am Projekt beteiligt. Das Gesuch wurde abgelehnt. Im Planjahr 2013 werden die Kosten und Erlöse vom Case Management für 10 Monate berechnet. Dies führt zu Minderkosten von Fr. 50'000.00 und Mindererlösen von Fr. 96'000.00.  </a:t>
          </a:r>
        </a:p>
        <a:p>
          <a:pPr algn="l" rtl="0">
            <a:defRPr sz="1000"/>
          </a:pPr>
          <a:r>
            <a:rPr lang="de-CH" sz="800" b="0" i="0" u="none" strike="noStrike" baseline="0">
              <a:solidFill>
                <a:srgbClr val="000000"/>
              </a:solidFill>
              <a:latin typeface="Arial"/>
              <a:cs typeface="Arial"/>
            </a:rPr>
            <a:t>Ob, oder in welcher Form das Case Management weitergeführt wird, ist noch unklar.  </a:t>
          </a:r>
        </a:p>
        <a:p>
          <a:pPr algn="l" rtl="0">
            <a:defRPr sz="1000"/>
          </a:pPr>
          <a:r>
            <a:rPr lang="de-CH" sz="800" b="0" i="0" u="none" strike="noStrike" baseline="0">
              <a:solidFill>
                <a:srgbClr val="000000"/>
              </a:solidFill>
              <a:latin typeface="Arial"/>
              <a:cs typeface="Arial"/>
            </a:rPr>
            <a:t>- Überprüfung und allfällige Anpassung der Angebote und Massnahmen insbesondere in den Bereichen Prävention/Früherfassung, Schadensminderung und Koordination erfolgt im Rahmen der Erarbeitung der Suchtstrategie 2013 - 2018.</a:t>
          </a:r>
        </a:p>
      </xdr:txBody>
    </xdr:sp>
    <xdr:clientData/>
  </xdr:twoCellAnchor>
  <xdr:twoCellAnchor>
    <xdr:from>
      <xdr:col>0</xdr:col>
      <xdr:colOff>0</xdr:colOff>
      <xdr:row>3096</xdr:row>
      <xdr:rowOff>0</xdr:rowOff>
    </xdr:from>
    <xdr:to>
      <xdr:col>8</xdr:col>
      <xdr:colOff>0</xdr:colOff>
      <xdr:row>3099</xdr:row>
      <xdr:rowOff>0</xdr:rowOff>
    </xdr:to>
    <xdr:sp macro="" textlink="">
      <xdr:nvSpPr>
        <xdr:cNvPr id="219" name="Text Box 9"/>
        <xdr:cNvSpPr txBox="1">
          <a:spLocks noChangeArrowheads="1"/>
        </xdr:cNvSpPr>
      </xdr:nvSpPr>
      <xdr:spPr bwMode="auto">
        <a:xfrm>
          <a:off x="0" y="441579000"/>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3068</xdr:row>
      <xdr:rowOff>171450</xdr:rowOff>
    </xdr:from>
    <xdr:to>
      <xdr:col>8</xdr:col>
      <xdr:colOff>0</xdr:colOff>
      <xdr:row>3072</xdr:row>
      <xdr:rowOff>38100</xdr:rowOff>
    </xdr:to>
    <xdr:sp macro="" textlink="">
      <xdr:nvSpPr>
        <xdr:cNvPr id="220" name="Text Box 10"/>
        <xdr:cNvSpPr txBox="1">
          <a:spLocks noChangeArrowheads="1"/>
        </xdr:cNvSpPr>
      </xdr:nvSpPr>
      <xdr:spPr bwMode="auto">
        <a:xfrm>
          <a:off x="0" y="438083325"/>
          <a:ext cx="6667500" cy="352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Verwaltung (Abteilungen BSS, übrige Direktionen), Kanton (Police Bern), Contact, Stiftung Berner Gesundheit (BEGES), Blaues Kreuz, weitere Institutionen aus dem Suchtbereich, Politik, Bürgerinnen und Bürger</a:t>
          </a:r>
        </a:p>
      </xdr:txBody>
    </xdr:sp>
    <xdr:clientData/>
  </xdr:twoCellAnchor>
  <xdr:twoCellAnchor>
    <xdr:from>
      <xdr:col>0</xdr:col>
      <xdr:colOff>0</xdr:colOff>
      <xdr:row>3038</xdr:row>
      <xdr:rowOff>0</xdr:rowOff>
    </xdr:from>
    <xdr:to>
      <xdr:col>8</xdr:col>
      <xdr:colOff>0</xdr:colOff>
      <xdr:row>3044</xdr:row>
      <xdr:rowOff>0</xdr:rowOff>
    </xdr:to>
    <xdr:sp macro="" textlink="">
      <xdr:nvSpPr>
        <xdr:cNvPr id="221" name="Text Box 11"/>
        <xdr:cNvSpPr txBox="1">
          <a:spLocks noChangeArrowheads="1"/>
        </xdr:cNvSpPr>
      </xdr:nvSpPr>
      <xdr:spPr bwMode="auto">
        <a:xfrm>
          <a:off x="0" y="434873400"/>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3128</xdr:row>
      <xdr:rowOff>0</xdr:rowOff>
    </xdr:from>
    <xdr:to>
      <xdr:col>8</xdr:col>
      <xdr:colOff>0</xdr:colOff>
      <xdr:row>3130</xdr:row>
      <xdr:rowOff>9525</xdr:rowOff>
    </xdr:to>
    <xdr:sp macro="" textlink="">
      <xdr:nvSpPr>
        <xdr:cNvPr id="222" name="Text Box 6"/>
        <xdr:cNvSpPr txBox="1">
          <a:spLocks noChangeArrowheads="1"/>
        </xdr:cNvSpPr>
      </xdr:nvSpPr>
      <xdr:spPr bwMode="auto">
        <a:xfrm>
          <a:off x="0" y="445808100"/>
          <a:ext cx="6667500"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Seit 1.1.2007 weist die Direktion in dieser Produktegruppe zentral die gesamten Lastenausgleichskosten (Lastenanteil der Stadt Bern) sowie den gesamten Lastenausgleichserlös (Lastenertrag der Stadt Bern) aus (Produkt P300315).</a:t>
          </a:r>
        </a:p>
      </xdr:txBody>
    </xdr:sp>
    <xdr:clientData/>
  </xdr:twoCellAnchor>
  <xdr:twoCellAnchor>
    <xdr:from>
      <xdr:col>0</xdr:col>
      <xdr:colOff>0</xdr:colOff>
      <xdr:row>3135</xdr:row>
      <xdr:rowOff>0</xdr:rowOff>
    </xdr:from>
    <xdr:to>
      <xdr:col>8</xdr:col>
      <xdr:colOff>0</xdr:colOff>
      <xdr:row>3156</xdr:row>
      <xdr:rowOff>0</xdr:rowOff>
    </xdr:to>
    <xdr:sp macro="" textlink="">
      <xdr:nvSpPr>
        <xdr:cNvPr id="223" name="Text Box 7"/>
        <xdr:cNvSpPr txBox="1">
          <a:spLocks noChangeArrowheads="1"/>
        </xdr:cNvSpPr>
      </xdr:nvSpPr>
      <xdr:spPr bwMode="auto">
        <a:xfrm>
          <a:off x="0" y="446484375"/>
          <a:ext cx="6667500" cy="16859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ct val="100000"/>
            </a:lnSpc>
            <a:defRPr sz="1000"/>
          </a:pPr>
          <a:r>
            <a:rPr lang="de-CH" sz="800" b="0" i="0" u="none" strike="noStrike" baseline="0">
              <a:solidFill>
                <a:srgbClr val="000000"/>
              </a:solidFill>
              <a:latin typeface="Arial"/>
              <a:cs typeface="Arial"/>
            </a:rPr>
            <a:t>Die Abweichung beim Lastenertrag ist zur Hauptsache auf die Entwicklung in den Produktegruppen PG310400 Ambulante Sozialhilfe (+ 9,7 Mio. Fr.), PG330100 Kinder- und Jugendförderung, Gemeinwesenarbeit (- 0,5 Mio Fr), PG350100 Sozialversicherungen  (-0,1 Mio. Fr.), PG350500 Alter  (-0,2 Mio. Fr.), PG370100 Gesundheitsvorsorge und -beratung (- 0,3 Mio Fr.) zurückzuführen. Der Stellenausbau im Amt für Erwachsenen- und Kindesschutz (EKS) ergibt im Planjahr 2013 (1 neue Stelle) einen Mehrerlös von 0,2 Mio Fr., im Planjahr 2014 (1 neue Stelle) von 0,4 Mio Fr. </a:t>
          </a:r>
        </a:p>
        <a:p>
          <a:pPr algn="l" rtl="0">
            <a:lnSpc>
              <a:spcPct val="100000"/>
            </a:lnSpc>
            <a:defRPr sz="1000"/>
          </a:pPr>
          <a:endParaRPr lang="de-CH" sz="800" b="0" i="0" u="none" strike="noStrike" baseline="0">
            <a:solidFill>
              <a:srgbClr val="000000"/>
            </a:solidFill>
            <a:latin typeface="Arial"/>
            <a:cs typeface="Arial"/>
          </a:endParaRPr>
        </a:p>
        <a:p>
          <a:pPr algn="l" rtl="0">
            <a:lnSpc>
              <a:spcPct val="100000"/>
            </a:lnSpc>
            <a:defRPr sz="1000"/>
          </a:pPr>
          <a:r>
            <a:rPr lang="de-CH" sz="800" b="0" i="0" u="none" strike="noStrike" baseline="0">
              <a:solidFill>
                <a:srgbClr val="000000"/>
              </a:solidFill>
              <a:latin typeface="Arial"/>
              <a:cs typeface="Arial"/>
            </a:rPr>
            <a:t>Weitere Auswirkungen auf den Lastenertrag sind ab Planjahr 2013 auf FILAG 2012 zurückzuführen. Künftig haben die Gemeinden 20% Selbstbehalt auf den Angeboten zur sozialen Integration zu tragen. Davon ausgenommen sind Leistungsangebote im Bereich Obdach und Wohnen. Der Selbstbehalt wirkt sich mit einem jährlichen Mindererlös von 6,1 Mio Fr. aus. Leitungsfunktionen im Sozialdienst werden neu ebenfalls zu einem Teil über die Besoldungspauschalen abgegolten. Dadurch erhöht sich der Lastenertrag um jährlich 1,8 Mio. Fr. Entsprechend erhöht sich allerdings auch der Lastenanteil um jährlich 0,6 Mio. Fr.</a:t>
          </a:r>
        </a:p>
        <a:p>
          <a:pPr algn="l" rtl="0">
            <a:lnSpc>
              <a:spcPct val="100000"/>
            </a:lnSpc>
            <a:defRPr sz="1000"/>
          </a:pPr>
          <a:endParaRPr lang="de-CH" sz="800" b="0" i="0" u="none" strike="noStrike" baseline="0">
            <a:solidFill>
              <a:srgbClr val="000000"/>
            </a:solidFill>
            <a:latin typeface="Arial"/>
            <a:cs typeface="Arial"/>
          </a:endParaRPr>
        </a:p>
        <a:p>
          <a:pPr algn="l" rtl="0">
            <a:lnSpc>
              <a:spcPct val="100000"/>
            </a:lnSpc>
            <a:defRPr sz="1000"/>
          </a:pPr>
          <a:r>
            <a:rPr lang="de-CH" sz="800" b="0" i="0" u="none" strike="noStrike" baseline="0">
              <a:solidFill>
                <a:srgbClr val="000000"/>
              </a:solidFill>
              <a:latin typeface="Arial"/>
              <a:cs typeface="Arial"/>
            </a:rPr>
            <a:t>Der Lastenanteil sinkt gemäss kantonaler Planungshilfe von 67,7 Mio. Fr. im 2012 auf 65,0 Mio. Fr. im 2013, auf 67,2 Mio. Fr. im 2014, auf 66,6 Mio. Fr. im 2015. Im 2016 steigt er auf 67,9 Mio. Fr.  </a:t>
          </a:r>
        </a:p>
        <a:p>
          <a:pPr algn="l" rtl="0">
            <a:lnSpc>
              <a:spcPts val="400"/>
            </a:lnSpc>
            <a:defRPr sz="1000"/>
          </a:pPr>
          <a:endParaRPr lang="de-CH" sz="800" b="0" i="0" u="none" strike="noStrike" baseline="0">
            <a:solidFill>
              <a:srgbClr val="000000"/>
            </a:solidFill>
            <a:latin typeface="Arial"/>
            <a:cs typeface="Arial"/>
          </a:endParaRPr>
        </a:p>
        <a:p>
          <a:pPr algn="l" rtl="0">
            <a:lnSpc>
              <a:spcPts val="400"/>
            </a:lnSpc>
            <a:defRPr sz="1000"/>
          </a:pPr>
          <a:endParaRPr lang="de-CH" sz="800" b="0" i="0" u="none" strike="noStrike" baseline="0">
            <a:solidFill>
              <a:srgbClr val="000000"/>
            </a:solidFill>
            <a:latin typeface="Arial"/>
            <a:cs typeface="Arial"/>
          </a:endParaRPr>
        </a:p>
        <a:p>
          <a:pPr algn="l" rtl="0">
            <a:lnSpc>
              <a:spcPts val="400"/>
            </a:lnSpc>
            <a:defRPr sz="1000"/>
          </a:pPr>
          <a:endParaRPr lang="de-CH" sz="800" b="0" i="0" u="none" strike="noStrike" baseline="0">
            <a:solidFill>
              <a:srgbClr val="000000"/>
            </a:solidFill>
            <a:latin typeface="Arial"/>
            <a:cs typeface="Arial"/>
          </a:endParaRPr>
        </a:p>
        <a:p>
          <a:pPr algn="l" rtl="0">
            <a:lnSpc>
              <a:spcPts val="300"/>
            </a:lnSpc>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3182</xdr:row>
      <xdr:rowOff>0</xdr:rowOff>
    </xdr:from>
    <xdr:to>
      <xdr:col>8</xdr:col>
      <xdr:colOff>0</xdr:colOff>
      <xdr:row>3185</xdr:row>
      <xdr:rowOff>9525</xdr:rowOff>
    </xdr:to>
    <xdr:sp macro="" textlink="">
      <xdr:nvSpPr>
        <xdr:cNvPr id="224" name="Text Box 9"/>
        <xdr:cNvSpPr txBox="1">
          <a:spLocks noChangeArrowheads="1"/>
        </xdr:cNvSpPr>
      </xdr:nvSpPr>
      <xdr:spPr bwMode="auto">
        <a:xfrm>
          <a:off x="0" y="451456425"/>
          <a:ext cx="6667500" cy="2952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3158</xdr:row>
      <xdr:rowOff>0</xdr:rowOff>
    </xdr:from>
    <xdr:to>
      <xdr:col>8</xdr:col>
      <xdr:colOff>0</xdr:colOff>
      <xdr:row>3160</xdr:row>
      <xdr:rowOff>0</xdr:rowOff>
    </xdr:to>
    <xdr:sp macro="" textlink="">
      <xdr:nvSpPr>
        <xdr:cNvPr id="225" name="Text Box 10"/>
        <xdr:cNvSpPr txBox="1">
          <a:spLocks noChangeArrowheads="1"/>
        </xdr:cNvSpPr>
      </xdr:nvSpPr>
      <xdr:spPr bwMode="auto">
        <a:xfrm>
          <a:off x="0" y="448427475"/>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Verwaltung direktionsintern und direktionsübergreifend, Mitarbeiterinnen und Mitarbeiter der Direktion, Kanton</a:t>
          </a:r>
        </a:p>
      </xdr:txBody>
    </xdr:sp>
    <xdr:clientData/>
  </xdr:twoCellAnchor>
  <xdr:twoCellAnchor>
    <xdr:from>
      <xdr:col>0</xdr:col>
      <xdr:colOff>0</xdr:colOff>
      <xdr:row>3123</xdr:row>
      <xdr:rowOff>0</xdr:rowOff>
    </xdr:from>
    <xdr:to>
      <xdr:col>8</xdr:col>
      <xdr:colOff>0</xdr:colOff>
      <xdr:row>3125</xdr:row>
      <xdr:rowOff>0</xdr:rowOff>
    </xdr:to>
    <xdr:sp macro="" textlink="">
      <xdr:nvSpPr>
        <xdr:cNvPr id="226" name="Text Box 11"/>
        <xdr:cNvSpPr txBox="1">
          <a:spLocks noChangeArrowheads="1"/>
        </xdr:cNvSpPr>
      </xdr:nvSpPr>
      <xdr:spPr bwMode="auto">
        <a:xfrm>
          <a:off x="0" y="445122300"/>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3211</xdr:row>
      <xdr:rowOff>11430</xdr:rowOff>
    </xdr:from>
    <xdr:to>
      <xdr:col>8</xdr:col>
      <xdr:colOff>0</xdr:colOff>
      <xdr:row>3224</xdr:row>
      <xdr:rowOff>28576</xdr:rowOff>
    </xdr:to>
    <xdr:sp macro="" textlink="">
      <xdr:nvSpPr>
        <xdr:cNvPr id="227" name="Text Box 6"/>
        <xdr:cNvSpPr txBox="1">
          <a:spLocks noChangeArrowheads="1"/>
        </xdr:cNvSpPr>
      </xdr:nvSpPr>
      <xdr:spPr bwMode="auto">
        <a:xfrm>
          <a:off x="0" y="455477880"/>
          <a:ext cx="6657975" cy="1845946"/>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ct val="100000"/>
            </a:lnSpc>
            <a:defRPr sz="1000"/>
          </a:pPr>
          <a:r>
            <a:rPr lang="de-CH" sz="800" b="0" i="0" u="none" strike="noStrike" baseline="0">
              <a:solidFill>
                <a:srgbClr val="000000"/>
              </a:solidFill>
              <a:latin typeface="Arial" pitchFamily="34" charset="0"/>
              <a:cs typeface="Arial" pitchFamily="34" charset="0"/>
            </a:rPr>
            <a:t>Die Immigration ausländischer Personen ist nach wie vor gross. Die Migrationsbevölkerung ist je länger desto heterogener. Dies hat zur Folge, dass die Angebotspalette an Integrationsmassnahmen breiter werden muss.</a:t>
          </a:r>
        </a:p>
        <a:p>
          <a:pPr algn="l" rtl="0">
            <a:lnSpc>
              <a:spcPct val="100000"/>
            </a:lnSpc>
            <a:defRPr sz="1000"/>
          </a:pPr>
          <a:endParaRPr lang="de-CH" sz="800" b="0" i="0" u="none" strike="noStrike" baseline="0">
            <a:solidFill>
              <a:srgbClr val="000000"/>
            </a:solidFill>
            <a:latin typeface="Arial" pitchFamily="34" charset="0"/>
            <a:cs typeface="Arial" pitchFamily="34" charset="0"/>
          </a:endParaRPr>
        </a:p>
        <a:p>
          <a:pPr algn="l" rtl="0">
            <a:lnSpc>
              <a:spcPct val="100000"/>
            </a:lnSpc>
            <a:defRPr sz="1000"/>
          </a:pPr>
          <a:r>
            <a:rPr lang="de-CH" sz="800" b="0" i="0" u="none" strike="noStrike" baseline="0">
              <a:solidFill>
                <a:srgbClr val="000000"/>
              </a:solidFill>
              <a:latin typeface="Arial" pitchFamily="34" charset="0"/>
              <a:cs typeface="Arial" pitchFamily="34" charset="0"/>
            </a:rPr>
            <a:t>Der Bund plant eine Neuausrichtung der Integrationspolitik, eine neue Zusammenarbeitsform mit den Kantonen, sowie eine Erhöhung der finanziellen Mittel ab 2014. Die Kantone erarbeiten zusammen mit den Gemeinden kantonale Programme und deren Finanzierung. Eine umfassende Analyse der jetzigen </a:t>
          </a:r>
          <a:r>
            <a:rPr lang="de-CH" sz="800" b="0" i="0" u="none" strike="noStrike" kern="0" baseline="0">
              <a:solidFill>
                <a:srgbClr val="000000"/>
              </a:solidFill>
              <a:latin typeface="Arial" pitchFamily="34" charset="0"/>
              <a:cs typeface="Arial" pitchFamily="34" charset="0"/>
            </a:rPr>
            <a:t>Integrationsarbeit der Stadt und der von ihr subventionierten Institutionen und weiterer in diesem Feld tätigen Organisationen ist notwendig. Die Kostenfolgen sind noch nicht bekannt und demzufolge im vorliegenden Finanzplan nicht berücksichtigt.</a:t>
          </a:r>
        </a:p>
        <a:p>
          <a:pPr algn="l" rtl="0">
            <a:lnSpc>
              <a:spcPts val="800"/>
            </a:lnSpc>
            <a:defRPr sz="1000"/>
          </a:pPr>
          <a:endParaRPr lang="de-CH" sz="800" b="0" i="0" u="none" strike="noStrike" kern="0" baseline="0">
            <a:solidFill>
              <a:srgbClr val="000000"/>
            </a:solidFill>
            <a:latin typeface="Arial" pitchFamily="34" charset="0"/>
            <a:cs typeface="Arial" pitchFamily="34" charset="0"/>
          </a:endParaRPr>
        </a:p>
        <a:p>
          <a:pPr algn="l" rtl="0">
            <a:lnSpc>
              <a:spcPct val="100000"/>
            </a:lnSpc>
            <a:defRPr sz="1000"/>
          </a:pPr>
          <a:r>
            <a:rPr lang="de-CH" sz="800" b="0" i="0" u="none" strike="noStrike" kern="0" baseline="0">
              <a:solidFill>
                <a:srgbClr val="000000"/>
              </a:solidFill>
              <a:latin typeface="Arial" pitchFamily="34" charset="0"/>
              <a:cs typeface="Arial" pitchFamily="34" charset="0"/>
            </a:rPr>
            <a:t>Die Umsetzung des kantonalen Integrationsgesetzes (geplante Inkraftsetzung März 2013) wird Kosten nach si</a:t>
          </a:r>
          <a:r>
            <a:rPr lang="de-CH" sz="800" b="0" i="0" u="none" strike="noStrike" baseline="0">
              <a:solidFill>
                <a:srgbClr val="000000"/>
              </a:solidFill>
              <a:latin typeface="Arial" pitchFamily="34" charset="0"/>
              <a:cs typeface="Arial" pitchFamily="34" charset="0"/>
            </a:rPr>
            <a:t>ch ziehen, welche noch nicht abzuschätzen sind. Die Aufgabenteilung und Zuständigkeiten zwischen der Direktion für Bildung, Soziales und Sport, sowie der Direktion für Sicherheit, Umwelt und Energie sind zum heutigen Zeitpunkt noch nicht klar.</a:t>
          </a:r>
        </a:p>
        <a:p>
          <a:pPr algn="l" rtl="0">
            <a:lnSpc>
              <a:spcPct val="100000"/>
            </a:lnSpc>
            <a:defRPr sz="1000"/>
          </a:pPr>
          <a:endParaRPr lang="de-CH" sz="800" b="0" i="0" u="none" strike="noStrike" baseline="0">
            <a:solidFill>
              <a:srgbClr val="000000"/>
            </a:solidFill>
            <a:latin typeface="Arial" pitchFamily="34" charset="0"/>
            <a:cs typeface="Arial" pitchFamily="34" charset="0"/>
          </a:endParaRPr>
        </a:p>
        <a:p>
          <a:pPr algn="l" rtl="0">
            <a:lnSpc>
              <a:spcPct val="100000"/>
            </a:lnSpc>
            <a:defRPr sz="1000"/>
          </a:pPr>
          <a:r>
            <a:rPr lang="de-CH" sz="800" b="0" i="0" u="none" strike="noStrike" baseline="0">
              <a:solidFill>
                <a:srgbClr val="000000"/>
              </a:solidFill>
              <a:latin typeface="Arial" pitchFamily="34" charset="0"/>
              <a:cs typeface="Arial" pitchFamily="34" charset="0"/>
            </a:rPr>
            <a:t>Ab 2012 wird die kantonale Asylstrategie umgesetzt. Die Abgeltungen des Kantons sind kostendeckend. Dadurch entstehen der Stadt Bern im Asylbereich, 2. Phase, keine Kosten mehr. Im Zuge dieser Umsetzung übernimmt die Stadt Bern das Gemeindegebiet Köniz und Muri im Bereich Unterkunft und Unterstützung für Asylsuchende der 2. Phase. Die Kosten und Erlöse (kostendeckend) sind im Voranschlag 2012 bereits enthalten.</a:t>
          </a:r>
        </a:p>
      </xdr:txBody>
    </xdr:sp>
    <xdr:clientData/>
  </xdr:twoCellAnchor>
  <xdr:twoCellAnchor>
    <xdr:from>
      <xdr:col>0</xdr:col>
      <xdr:colOff>9525</xdr:colOff>
      <xdr:row>3229</xdr:row>
      <xdr:rowOff>0</xdr:rowOff>
    </xdr:from>
    <xdr:to>
      <xdr:col>8</xdr:col>
      <xdr:colOff>0</xdr:colOff>
      <xdr:row>3247</xdr:row>
      <xdr:rowOff>104775</xdr:rowOff>
    </xdr:to>
    <xdr:sp macro="" textlink="">
      <xdr:nvSpPr>
        <xdr:cNvPr id="228" name="Text Box 7"/>
        <xdr:cNvSpPr txBox="1">
          <a:spLocks noChangeArrowheads="1"/>
        </xdr:cNvSpPr>
      </xdr:nvSpPr>
      <xdr:spPr bwMode="auto">
        <a:xfrm>
          <a:off x="9525" y="457695300"/>
          <a:ext cx="6657975" cy="19716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ct val="100000"/>
            </a:lnSpc>
            <a:defRPr sz="1000"/>
          </a:pPr>
          <a:r>
            <a:rPr lang="de-CH" sz="800" b="0" i="0" u="none" strike="noStrike" baseline="0">
              <a:solidFill>
                <a:srgbClr val="000000"/>
              </a:solidFill>
              <a:latin typeface="Arial"/>
              <a:cs typeface="Arial"/>
            </a:rPr>
            <a:t>Umsetzung des überarbeiteten städtischen Integrationsleitbildes gemäss Massnahmenplan 2011 und 2012, sowie die Erarbeitung eines weiterführenden Massnahmenplans mit Einführung ab 2013 (die neue Massnahme wird in der PG300100 kompensiert).</a:t>
          </a:r>
        </a:p>
        <a:p>
          <a:pPr algn="l" rtl="0">
            <a:lnSpc>
              <a:spcPct val="100000"/>
            </a:lnSpc>
            <a:defRPr sz="1000"/>
          </a:pPr>
          <a:endParaRPr lang="de-CH" sz="800" b="0" i="0" u="none" strike="noStrike" baseline="0">
            <a:solidFill>
              <a:srgbClr val="000000"/>
            </a:solidFill>
            <a:latin typeface="Arial"/>
            <a:cs typeface="Arial"/>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de-CH" sz="800" b="0" i="0" u="none" strike="noStrike" baseline="0">
              <a:solidFill>
                <a:srgbClr val="000000"/>
              </a:solidFill>
              <a:latin typeface="Arial"/>
              <a:cs typeface="Arial"/>
            </a:rPr>
            <a:t>Umsetzung des Informationskonzepts 2011 - 2013. </a:t>
          </a:r>
        </a:p>
        <a:p>
          <a:pPr marL="0" marR="0" indent="0" algn="l" defTabSz="914400" rtl="0" eaLnBrk="1" fontAlgn="auto" latinLnBrk="0" hangingPunct="1">
            <a:lnSpc>
              <a:spcPct val="100000"/>
            </a:lnSpc>
            <a:spcBef>
              <a:spcPts val="0"/>
            </a:spcBef>
            <a:spcAft>
              <a:spcPts val="0"/>
            </a:spcAft>
            <a:buClrTx/>
            <a:buSzTx/>
            <a:buFontTx/>
            <a:buNone/>
            <a:tabLst/>
            <a:defRPr sz="1000"/>
          </a:pPr>
          <a:endParaRPr lang="de-CH" sz="800" b="0" i="0" u="none" strike="noStrike" baseline="0">
            <a:solidFill>
              <a:srgbClr val="000000"/>
            </a:solidFill>
            <a:latin typeface="Arial"/>
            <a:cs typeface="Arial"/>
          </a:endParaRPr>
        </a:p>
        <a:p>
          <a:pPr algn="l" rtl="0">
            <a:lnSpc>
              <a:spcPct val="100000"/>
            </a:lnSpc>
            <a:defRPr sz="1000"/>
          </a:pPr>
          <a:r>
            <a:rPr lang="de-CH" sz="800" b="0" i="0" u="none" strike="noStrike" baseline="0">
              <a:solidFill>
                <a:srgbClr val="000000"/>
              </a:solidFill>
              <a:latin typeface="Arial"/>
              <a:cs typeface="Arial"/>
            </a:rPr>
            <a:t>Umsetzung des GRB 0722 vom 18. Mai 2011 in Bezug auf die Integrationsstrategie von nachgezogenen Familienmitgliedern.</a:t>
          </a:r>
        </a:p>
        <a:p>
          <a:pPr algn="l" rtl="0">
            <a:lnSpc>
              <a:spcPct val="100000"/>
            </a:lnSpc>
            <a:defRPr sz="1000"/>
          </a:pPr>
          <a:endParaRPr lang="de-CH" sz="800" b="0" i="0" u="none" strike="noStrike" baseline="0">
            <a:solidFill>
              <a:srgbClr val="000000"/>
            </a:solidFill>
            <a:latin typeface="Arial"/>
            <a:cs typeface="Arial"/>
          </a:endParaRPr>
        </a:p>
        <a:p>
          <a:pPr algn="l" rtl="0">
            <a:lnSpc>
              <a:spcPct val="100000"/>
            </a:lnSpc>
            <a:defRPr sz="1000"/>
          </a:pPr>
          <a:r>
            <a:rPr lang="de-CH" sz="800" b="0" i="0" u="none" strike="noStrike" baseline="0">
              <a:solidFill>
                <a:srgbClr val="000000"/>
              </a:solidFill>
              <a:latin typeface="Arial"/>
              <a:cs typeface="Arial"/>
            </a:rPr>
            <a:t>Massnahmenschwerpunkte sind:</a:t>
          </a:r>
        </a:p>
        <a:p>
          <a:pPr algn="l" rtl="0">
            <a:lnSpc>
              <a:spcPct val="100000"/>
            </a:lnSpc>
            <a:defRPr sz="1000"/>
          </a:pPr>
          <a:r>
            <a:rPr lang="de-CH" sz="800" b="0" i="0" u="none" strike="noStrike" baseline="0">
              <a:solidFill>
                <a:srgbClr val="000000"/>
              </a:solidFill>
              <a:latin typeface="Arial"/>
              <a:cs typeface="Arial"/>
            </a:rPr>
            <a:t>- Finanzierungshilfen und Beiträge an Sprachkurse für Personen mit ungenügendem Einkommen</a:t>
          </a:r>
        </a:p>
        <a:p>
          <a:pPr algn="l" rtl="0">
            <a:lnSpc>
              <a:spcPct val="100000"/>
            </a:lnSpc>
            <a:defRPr sz="1000"/>
          </a:pPr>
          <a:r>
            <a:rPr lang="de-CH" sz="800" b="0" i="0" u="none" strike="noStrike" baseline="0">
              <a:solidFill>
                <a:srgbClr val="000000"/>
              </a:solidFill>
              <a:latin typeface="Arial"/>
              <a:cs typeface="Arial"/>
            </a:rPr>
            <a:t>- Patenschaftsprojekt im Bereich Neuzuziehende, insbesondere im Familiennachzug</a:t>
          </a:r>
        </a:p>
        <a:p>
          <a:pPr algn="l" rtl="0">
            <a:lnSpc>
              <a:spcPct val="100000"/>
            </a:lnSpc>
            <a:defRPr sz="1000"/>
          </a:pPr>
          <a:r>
            <a:rPr lang="de-CH" sz="800" b="0" i="0" u="none" strike="noStrike" baseline="0">
              <a:solidFill>
                <a:srgbClr val="000000"/>
              </a:solidFill>
              <a:latin typeface="Arial"/>
              <a:cs typeface="Arial"/>
            </a:rPr>
            <a:t>- Instrumentarium zur Unterstützung von Migrantinnen- und Migrantenorganisationen bei der Informationserbringung </a:t>
          </a:r>
        </a:p>
        <a:p>
          <a:pPr algn="l" rtl="0">
            <a:lnSpc>
              <a:spcPct val="100000"/>
            </a:lnSpc>
            <a:defRPr sz="1000"/>
          </a:pPr>
          <a:r>
            <a:rPr lang="de-CH" sz="800" b="0" i="0" u="none" strike="noStrike" baseline="0">
              <a:solidFill>
                <a:srgbClr val="000000"/>
              </a:solidFill>
              <a:latin typeface="Arial"/>
              <a:cs typeface="Arial"/>
            </a:rPr>
            <a:t>- Projekt visualisierte Erstinformation für neuzuziehende Migrantinnen und Migranten</a:t>
          </a:r>
        </a:p>
        <a:p>
          <a:pPr algn="l" rtl="0">
            <a:lnSpc>
              <a:spcPct val="100000"/>
            </a:lnSpc>
            <a:defRPr sz="1000"/>
          </a:pPr>
          <a:endParaRPr lang="de-CH" sz="800" b="0" i="0" u="none" strike="noStrike" baseline="0">
            <a:solidFill>
              <a:srgbClr val="000000"/>
            </a:solidFill>
            <a:latin typeface="Arial"/>
            <a:cs typeface="Arial"/>
          </a:endParaRPr>
        </a:p>
        <a:p>
          <a:pPr algn="l" rtl="0">
            <a:lnSpc>
              <a:spcPct val="100000"/>
            </a:lnSpc>
            <a:defRPr sz="1000"/>
          </a:pPr>
          <a:r>
            <a:rPr lang="de-CH" sz="800" b="0" i="0" u="none" strike="noStrike" baseline="0">
              <a:solidFill>
                <a:srgbClr val="000000"/>
              </a:solidFill>
              <a:latin typeface="Arial"/>
              <a:cs typeface="Arial"/>
            </a:rPr>
            <a:t>Die dafür vorgesehenen Kosten betragen Fr. 100'000.00. Diese können voraussichtlich mit Fr. 75'000.00 durch Beiträge von </a:t>
          </a:r>
          <a:r>
            <a:rPr lang="de-CH" sz="800" b="0" i="0" baseline="0">
              <a:effectLst/>
              <a:latin typeface="Arial" pitchFamily="34" charset="0"/>
              <a:ea typeface="+mn-ea"/>
              <a:cs typeface="Arial" pitchFamily="34" charset="0"/>
            </a:rPr>
            <a:t>Bund, Kanton und verschiedenen Organisationen gedeckt werden. Die verbleibenden Fr. 25'000.00 fallen auf die Leistungserbringung durch das Kompetenzzentrum Integration, dessen Mitarbeit in den Projekten Voraussetzung für eine Kostenbeteiligung Dritter ist</a:t>
          </a:r>
          <a:r>
            <a:rPr lang="de-CH" sz="800" b="0" i="0" u="none" strike="noStrike" baseline="0">
              <a:solidFill>
                <a:srgbClr val="000000"/>
              </a:solidFill>
              <a:latin typeface="Arial"/>
              <a:cs typeface="Arial"/>
            </a:rPr>
            <a:t>. </a:t>
          </a:r>
        </a:p>
        <a:p>
          <a:pPr algn="l" rtl="0">
            <a:lnSpc>
              <a:spcPts val="700"/>
            </a:lnSpc>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3280</xdr:row>
      <xdr:rowOff>0</xdr:rowOff>
    </xdr:from>
    <xdr:to>
      <xdr:col>8</xdr:col>
      <xdr:colOff>0</xdr:colOff>
      <xdr:row>3282</xdr:row>
      <xdr:rowOff>0</xdr:rowOff>
    </xdr:to>
    <xdr:sp macro="" textlink="">
      <xdr:nvSpPr>
        <xdr:cNvPr id="229" name="Text Box 9"/>
        <xdr:cNvSpPr txBox="1">
          <a:spLocks noChangeArrowheads="1"/>
        </xdr:cNvSpPr>
      </xdr:nvSpPr>
      <xdr:spPr bwMode="auto">
        <a:xfrm>
          <a:off x="0" y="463400775"/>
          <a:ext cx="6667500" cy="2667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a:p>
          <a:pPr algn="l" rtl="0">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3252</xdr:row>
      <xdr:rowOff>9524</xdr:rowOff>
    </xdr:from>
    <xdr:to>
      <xdr:col>8</xdr:col>
      <xdr:colOff>0</xdr:colOff>
      <xdr:row>3254</xdr:row>
      <xdr:rowOff>219074</xdr:rowOff>
    </xdr:to>
    <xdr:sp macro="" textlink="">
      <xdr:nvSpPr>
        <xdr:cNvPr id="230" name="Text Box 10"/>
        <xdr:cNvSpPr txBox="1">
          <a:spLocks noChangeArrowheads="1"/>
        </xdr:cNvSpPr>
      </xdr:nvSpPr>
      <xdr:spPr bwMode="auto">
        <a:xfrm>
          <a:off x="0" y="460028924"/>
          <a:ext cx="6667500" cy="314326"/>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Gesamtbevölkerung, Migrationsbevölkerung, Personen des Asylbereichs, Wirtschaft, Sozialpartner, Verwaltung, politische Behörden, Quartierorganisationen, Elternräte, Migrantenorganisationen. </a:t>
          </a:r>
        </a:p>
      </xdr:txBody>
    </xdr:sp>
    <xdr:clientData/>
  </xdr:twoCellAnchor>
  <xdr:twoCellAnchor>
    <xdr:from>
      <xdr:col>0</xdr:col>
      <xdr:colOff>0</xdr:colOff>
      <xdr:row>3204</xdr:row>
      <xdr:rowOff>0</xdr:rowOff>
    </xdr:from>
    <xdr:to>
      <xdr:col>8</xdr:col>
      <xdr:colOff>0</xdr:colOff>
      <xdr:row>3208</xdr:row>
      <xdr:rowOff>0</xdr:rowOff>
    </xdr:to>
    <xdr:sp macro="" textlink="">
      <xdr:nvSpPr>
        <xdr:cNvPr id="231" name="Text Box 11"/>
        <xdr:cNvSpPr txBox="1">
          <a:spLocks noChangeArrowheads="1"/>
        </xdr:cNvSpPr>
      </xdr:nvSpPr>
      <xdr:spPr bwMode="auto">
        <a:xfrm>
          <a:off x="0" y="454437750"/>
          <a:ext cx="6658650" cy="6096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Legislaturziel 5.2: Bern eröffnet Lebens- und Entfaltungschanchen für Schichten und Generationen / Massnahmen: Die Stadt Bern fördert die Integration der Migrationsbevölkerung / Indikatoren: 3.1. Die Stadt Bern engagiert sich für die Einführung des Stimm- und Wahlrechts für die niedergelassenen Ausländerinnen und Ausländer / 3.2. Die Massnahmen des Aktionsplans Unesco Städtekoalition gegen Rassismus sind umgesetzt und evaluiert / 3.3. Ein Konzept zur Umsetzung des Informationsauftrags gemäss Ausländergesetz (Art. 56 AuG) ist erarbeitet.</a:t>
          </a:r>
        </a:p>
      </xdr:txBody>
    </xdr:sp>
    <xdr:clientData/>
  </xdr:twoCellAnchor>
  <xdr:twoCellAnchor>
    <xdr:from>
      <xdr:col>0</xdr:col>
      <xdr:colOff>1</xdr:colOff>
      <xdr:row>3306</xdr:row>
      <xdr:rowOff>87631</xdr:rowOff>
    </xdr:from>
    <xdr:to>
      <xdr:col>8</xdr:col>
      <xdr:colOff>0</xdr:colOff>
      <xdr:row>3312</xdr:row>
      <xdr:rowOff>139047</xdr:rowOff>
    </xdr:to>
    <xdr:sp macro="" textlink="">
      <xdr:nvSpPr>
        <xdr:cNvPr id="232" name="Text Box 6"/>
        <xdr:cNvSpPr txBox="1">
          <a:spLocks noChangeArrowheads="1"/>
        </xdr:cNvSpPr>
      </xdr:nvSpPr>
      <xdr:spPr bwMode="auto">
        <a:xfrm>
          <a:off x="1" y="466869781"/>
          <a:ext cx="6657974" cy="908666"/>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P310110: Die Zahl der Menschen mit Wohnproblemen ist steigend. Die Wohn- und Obdachloseneinrichtungen sind gut ausgelastet. </a:t>
          </a:r>
        </a:p>
        <a:p>
          <a:pPr algn="l" rtl="0">
            <a:lnSpc>
              <a:spcPts val="960"/>
            </a:lnSpc>
            <a:defRPr sz="1000"/>
          </a:pPr>
          <a:r>
            <a:rPr lang="de-CH" sz="800" b="0" i="0" u="none" strike="noStrike" baseline="0">
              <a:solidFill>
                <a:srgbClr val="000000"/>
              </a:solidFill>
              <a:latin typeface="Arial"/>
              <a:cs typeface="Arial"/>
            </a:rPr>
            <a:t>Die Ermächtigungen für den Lastenausgleich des Kantons sind bis 2013 bewilligt worden. Die Leistungsverträge für die Laufdauer  2012 - 2013  treten ab 2012 in Kraft. Die Finanzierung Alki-Stübli ist für das Jahr 2012 gesichert (Fonds für Suchtprobleme), für die Folgejahre muss der Beitrag bei der GEF jeweils neu beantragt werden.</a:t>
          </a:r>
        </a:p>
        <a:p>
          <a:pPr algn="l" rtl="0">
            <a:defRPr sz="1000"/>
          </a:pPr>
          <a:r>
            <a:rPr lang="de-CH" sz="800" b="0" i="0" u="none" strike="noStrike" baseline="0">
              <a:solidFill>
                <a:srgbClr val="000000"/>
              </a:solidFill>
              <a:latin typeface="Arial"/>
              <a:cs typeface="Arial"/>
            </a:rPr>
            <a:t>Sparmassnahmen (Portfolioanalyse): </a:t>
          </a:r>
        </a:p>
        <a:p>
          <a:pPr algn="l" rtl="0">
            <a:defRPr sz="1000"/>
          </a:pPr>
          <a:r>
            <a:rPr lang="de-CH" sz="800" b="0" i="0" u="none" strike="noStrike" baseline="0">
              <a:solidFill>
                <a:srgbClr val="000000"/>
              </a:solidFill>
              <a:latin typeface="Arial"/>
              <a:cs typeface="Arial"/>
            </a:rPr>
            <a:t>Die Sparmassnahme aus dem Budget 2012 wurde fortgeschrieben: Fr. 10'000.00 Minderkosten bei den Notwohnungen</a:t>
          </a:r>
        </a:p>
        <a:p>
          <a:pPr algn="l" rtl="0">
            <a:defRPr sz="1000"/>
          </a:pPr>
          <a:endParaRPr lang="de-CH" sz="800" b="0" i="0" u="none" strike="noStrike" baseline="0">
            <a:solidFill>
              <a:srgbClr val="000000"/>
            </a:solidFill>
            <a:latin typeface="Arial"/>
            <a:cs typeface="Arial"/>
          </a:endParaRPr>
        </a:p>
      </xdr:txBody>
    </xdr:sp>
    <xdr:clientData/>
  </xdr:twoCellAnchor>
  <xdr:twoCellAnchor>
    <xdr:from>
      <xdr:col>0</xdr:col>
      <xdr:colOff>1</xdr:colOff>
      <xdr:row>3323</xdr:row>
      <xdr:rowOff>47626</xdr:rowOff>
    </xdr:from>
    <xdr:to>
      <xdr:col>7</xdr:col>
      <xdr:colOff>752475</xdr:colOff>
      <xdr:row>3326</xdr:row>
      <xdr:rowOff>0</xdr:rowOff>
    </xdr:to>
    <xdr:sp macro="" textlink="">
      <xdr:nvSpPr>
        <xdr:cNvPr id="233" name="Text Box 7"/>
        <xdr:cNvSpPr txBox="1">
          <a:spLocks noChangeArrowheads="1"/>
        </xdr:cNvSpPr>
      </xdr:nvSpPr>
      <xdr:spPr bwMode="auto">
        <a:xfrm>
          <a:off x="1" y="468115651"/>
          <a:ext cx="6648449" cy="476249"/>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960"/>
            </a:lnSpc>
            <a:defRPr sz="1000"/>
          </a:pPr>
          <a:r>
            <a:rPr lang="de-CH" sz="800" b="0" i="0" u="none" strike="noStrike" baseline="0">
              <a:solidFill>
                <a:srgbClr val="000000"/>
              </a:solidFill>
              <a:latin typeface="Arial"/>
              <a:cs typeface="Arial"/>
            </a:rPr>
            <a:t>Im 2009 wurden die Liegenschaften Weissensteinstrasse 8 und 10 für das betreute Wohnen Albatros und für WOhnenbern als Ersatz für die Mädergutstrasse 62 und den Freieckweg 2 erworben. Die beiden Liegenschaften werden im 2012 für diesen Zweck umgebaut. Der Umzug soll im 2. Semester 2012 stattfinden.</a:t>
          </a:r>
        </a:p>
        <a:p>
          <a:pPr algn="l" rtl="0">
            <a:lnSpc>
              <a:spcPts val="800"/>
            </a:lnSpc>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3353</xdr:row>
      <xdr:rowOff>0</xdr:rowOff>
    </xdr:from>
    <xdr:to>
      <xdr:col>8</xdr:col>
      <xdr:colOff>0</xdr:colOff>
      <xdr:row>3355</xdr:row>
      <xdr:rowOff>9525</xdr:rowOff>
    </xdr:to>
    <xdr:sp macro="" textlink="">
      <xdr:nvSpPr>
        <xdr:cNvPr id="234" name="Text Box 9"/>
        <xdr:cNvSpPr txBox="1">
          <a:spLocks noChangeArrowheads="1"/>
        </xdr:cNvSpPr>
      </xdr:nvSpPr>
      <xdr:spPr bwMode="auto">
        <a:xfrm>
          <a:off x="0" y="472135200"/>
          <a:ext cx="6657975" cy="2286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1</xdr:colOff>
      <xdr:row>3329</xdr:row>
      <xdr:rowOff>85725</xdr:rowOff>
    </xdr:from>
    <xdr:to>
      <xdr:col>8</xdr:col>
      <xdr:colOff>0</xdr:colOff>
      <xdr:row>3331</xdr:row>
      <xdr:rowOff>28392</xdr:rowOff>
    </xdr:to>
    <xdr:sp macro="" textlink="">
      <xdr:nvSpPr>
        <xdr:cNvPr id="235" name="Text Box 10"/>
        <xdr:cNvSpPr txBox="1">
          <a:spLocks noChangeArrowheads="1"/>
        </xdr:cNvSpPr>
      </xdr:nvSpPr>
      <xdr:spPr bwMode="auto">
        <a:xfrm>
          <a:off x="1" y="468963375"/>
          <a:ext cx="6657975" cy="199842"/>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Institutionen (Leistungsvertragspartner), Obdachlose oder Personen, die auf Wohnbegleitung angewiesen sind.</a:t>
          </a:r>
        </a:p>
      </xdr:txBody>
    </xdr:sp>
    <xdr:clientData/>
  </xdr:twoCellAnchor>
  <xdr:twoCellAnchor>
    <xdr:from>
      <xdr:col>0</xdr:col>
      <xdr:colOff>0</xdr:colOff>
      <xdr:row>3301</xdr:row>
      <xdr:rowOff>110491</xdr:rowOff>
    </xdr:from>
    <xdr:to>
      <xdr:col>8</xdr:col>
      <xdr:colOff>0</xdr:colOff>
      <xdr:row>3303</xdr:row>
      <xdr:rowOff>133376</xdr:rowOff>
    </xdr:to>
    <xdr:sp macro="" textlink="">
      <xdr:nvSpPr>
        <xdr:cNvPr id="236" name="Text Box 11"/>
        <xdr:cNvSpPr txBox="1">
          <a:spLocks noChangeArrowheads="1"/>
        </xdr:cNvSpPr>
      </xdr:nvSpPr>
      <xdr:spPr bwMode="auto">
        <a:xfrm>
          <a:off x="0" y="466035391"/>
          <a:ext cx="6661784" cy="30863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1</xdr:colOff>
      <xdr:row>3382</xdr:row>
      <xdr:rowOff>0</xdr:rowOff>
    </xdr:from>
    <xdr:to>
      <xdr:col>8</xdr:col>
      <xdr:colOff>0</xdr:colOff>
      <xdr:row>3393</xdr:row>
      <xdr:rowOff>502920</xdr:rowOff>
    </xdr:to>
    <xdr:sp macro="" textlink="">
      <xdr:nvSpPr>
        <xdr:cNvPr id="237" name="Text Box 6"/>
        <xdr:cNvSpPr txBox="1">
          <a:spLocks noChangeArrowheads="1"/>
        </xdr:cNvSpPr>
      </xdr:nvSpPr>
      <xdr:spPr bwMode="auto">
        <a:xfrm>
          <a:off x="1" y="475383225"/>
          <a:ext cx="6657974" cy="193167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800" b="0" i="0" u="none" strike="noStrike" kern="0" cap="none" spc="0" normalizeH="0" baseline="0" noProof="0">
              <a:ln>
                <a:noFill/>
              </a:ln>
              <a:solidFill>
                <a:srgbClr val="000000"/>
              </a:solidFill>
              <a:effectLst/>
              <a:uLnTx/>
              <a:uFillTx/>
              <a:latin typeface="Arial"/>
              <a:ea typeface="+mn-ea"/>
              <a:cs typeface="Arial"/>
            </a:rPr>
            <a:t>Der Bereich Inkassodienst wurde per 01. Oktober 2011 in den Sozialdienst integriert; die Produkte werden jedoch wie bis anhin weitergeführt.</a:t>
          </a:r>
        </a:p>
        <a:p>
          <a:pPr marL="0" indent="0" algn="l" rtl="0">
            <a:lnSpc>
              <a:spcPct val="100000"/>
            </a:lnSpc>
            <a:defRPr sz="1000"/>
          </a:pPr>
          <a:r>
            <a:rPr lang="de-CH" sz="800" b="0" i="0" u="none" strike="noStrike" baseline="0">
              <a:solidFill>
                <a:srgbClr val="000000"/>
              </a:solidFill>
              <a:latin typeface="Arial"/>
              <a:ea typeface="+mn-ea"/>
              <a:cs typeface="Arial"/>
            </a:rPr>
            <a:t>Mit der Einführung des neuen Kindes- und Erwachsenenschutzrechts (KESB) per 1. Januar 2013 wird das Gesetz über Inkassohilfe und Bevorschussung von Unterhaltsbeiträgen von Kindern (GIB) reorganisiert. Neu werden voraussichtlich die Sozialdienste die Verfügungshoheit bei der Alimentenhilfe und –bevorschussung gemäss Gesetz über Inkassohilfe und Bevorschussung von Unterhaltsbeiträgen (GIB) haben. Die GEF wird sich unter gewissen Vorgaben  an den Besoldungskosten beteiligen (sprich: diese in den Lastenausgleich nehmen). Gemäss Auskunft des kantonalen Jugendamtes wird im Gegenzug aber das Inkassoprivileg auf familienrechtliche Unterhalts- und Unterstützungsbeiträge entfallen. Die gedeckten Besoldungskosten dürften den Wegfall des Inkassoprivilegs nicht kompensieren können.</a:t>
          </a:r>
        </a:p>
        <a:p>
          <a:pPr marL="0" indent="0" algn="l" rtl="0">
            <a:lnSpc>
              <a:spcPct val="100000"/>
            </a:lnSpc>
            <a:defRPr sz="1000"/>
          </a:pPr>
          <a:r>
            <a:rPr lang="de-CH" sz="800" b="0" i="0" u="none" strike="noStrike" baseline="0">
              <a:solidFill>
                <a:srgbClr val="000000"/>
              </a:solidFill>
              <a:latin typeface="Arial"/>
              <a:ea typeface="+mn-ea"/>
              <a:cs typeface="Arial"/>
            </a:rPr>
            <a:t>Kommt die Verfügungshoheit bei der Alimentenbevorschussung per  1. Januar 2013 vom Behördensekretariat des Amtes für Erwachsenen- und Kindesschutz (EKS) zum Sozialdienst, wird eine Stellenverschiebung vom EKS Behördensekretariat zum Sozialdienst nötig. Es geht um die Beurteilung und Verfügung der Gesuche um Alimentenbevorschussung und um das Beschwerdeverfahren.</a:t>
          </a:r>
        </a:p>
        <a:p>
          <a:pPr marL="0" indent="0" algn="l" rtl="0">
            <a:lnSpc>
              <a:spcPct val="100000"/>
            </a:lnSpc>
            <a:defRPr sz="1000"/>
          </a:pPr>
          <a:r>
            <a:rPr lang="de-CH" sz="800" b="0" i="0" u="none" strike="noStrike" baseline="0">
              <a:solidFill>
                <a:srgbClr val="000000"/>
              </a:solidFill>
              <a:latin typeface="Arial"/>
              <a:ea typeface="+mn-ea"/>
              <a:cs typeface="Arial"/>
            </a:rPr>
            <a:t>Sparmassnahmen (Portfolioanalyse):</a:t>
          </a:r>
        </a:p>
        <a:p>
          <a:pPr marL="0" indent="0" algn="l" rtl="0">
            <a:lnSpc>
              <a:spcPct val="100000"/>
            </a:lnSpc>
            <a:defRPr sz="1000"/>
          </a:pPr>
          <a:r>
            <a:rPr lang="de-CH" sz="800" b="0" i="0" u="none" strike="noStrike" baseline="0">
              <a:solidFill>
                <a:srgbClr val="000000"/>
              </a:solidFill>
              <a:latin typeface="Arial"/>
              <a:ea typeface="+mn-ea"/>
              <a:cs typeface="Arial"/>
            </a:rPr>
            <a:t>Im Planjahr 2013 wurde als Sparmassnahme analog VA 2012 in Abzug gebracht:</a:t>
          </a:r>
        </a:p>
        <a:p>
          <a:pPr marL="0" indent="0" algn="l" rtl="0">
            <a:lnSpc>
              <a:spcPct val="100000"/>
            </a:lnSpc>
            <a:defRPr sz="1000"/>
          </a:pPr>
          <a:r>
            <a:rPr lang="de-CH" sz="800" b="0" i="0" u="none" strike="noStrike" baseline="0">
              <a:solidFill>
                <a:srgbClr val="000000"/>
              </a:solidFill>
              <a:latin typeface="Arial"/>
              <a:ea typeface="+mn-ea"/>
              <a:cs typeface="Arial"/>
            </a:rPr>
            <a:t>Fr. 252'000 Minderkosten im Personalbereich aufgrund Synergien Standort Schwarztorstrasse (Produkte P310310, P310320 und P310330)</a:t>
          </a:r>
        </a:p>
        <a:p>
          <a:pPr algn="l" rtl="0">
            <a:lnSpc>
              <a:spcPts val="700"/>
            </a:lnSpc>
            <a:defRPr sz="1000"/>
          </a:pPr>
          <a:endParaRPr lang="de-CH" sz="800" b="0" i="0" u="none" strike="noStrike" baseline="0">
            <a:solidFill>
              <a:srgbClr val="000000"/>
            </a:solidFill>
            <a:latin typeface="Arial"/>
            <a:cs typeface="Arial"/>
          </a:endParaRPr>
        </a:p>
        <a:p>
          <a:pPr algn="l" rtl="0">
            <a:lnSpc>
              <a:spcPts val="600"/>
            </a:lnSpc>
            <a:defRPr sz="1000"/>
          </a:pPr>
          <a:endParaRPr lang="de-CH" sz="800" b="0" i="0" u="none" strike="noStrike" baseline="0">
            <a:solidFill>
              <a:srgbClr val="000000"/>
            </a:solidFill>
            <a:latin typeface="Arial"/>
            <a:cs typeface="Arial"/>
          </a:endParaRPr>
        </a:p>
      </xdr:txBody>
    </xdr:sp>
    <xdr:clientData/>
  </xdr:twoCellAnchor>
  <xdr:twoCellAnchor>
    <xdr:from>
      <xdr:col>0</xdr:col>
      <xdr:colOff>1</xdr:colOff>
      <xdr:row>3399</xdr:row>
      <xdr:rowOff>49529</xdr:rowOff>
    </xdr:from>
    <xdr:to>
      <xdr:col>8</xdr:col>
      <xdr:colOff>0</xdr:colOff>
      <xdr:row>3404</xdr:row>
      <xdr:rowOff>662940</xdr:rowOff>
    </xdr:to>
    <xdr:sp macro="" textlink="">
      <xdr:nvSpPr>
        <xdr:cNvPr id="238" name="Text Box 7"/>
        <xdr:cNvSpPr txBox="1">
          <a:spLocks noChangeArrowheads="1"/>
        </xdr:cNvSpPr>
      </xdr:nvSpPr>
      <xdr:spPr bwMode="auto">
        <a:xfrm>
          <a:off x="1" y="477652079"/>
          <a:ext cx="6657974" cy="238506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900"/>
            </a:lnSpc>
            <a:defRPr sz="1000"/>
          </a:pPr>
          <a:r>
            <a:rPr lang="de-CH" sz="800" b="0" i="0" u="none" strike="noStrike" baseline="0">
              <a:solidFill>
                <a:srgbClr val="000000"/>
              </a:solidFill>
              <a:latin typeface="Arial"/>
              <a:cs typeface="Arial"/>
            </a:rPr>
            <a:t>Es ist damit zu rechnen, dass die bevorschussten Alimentenbeträge weiter ansteigen. Dies weil in neueren Unterhaltstiteln in der Regel auch eine Alimentenpflicht über die Volljährigkeit der Jugendlichen verbindlich formuliert ist und dadurch länger Alimente geschuldet sind. Auch eine Verschlechterung der allgemeinen Wirtschaftssituation kann zu einer Erhöhung der Alimentenbevorschussung führen, weil mehr Zahlungspflichtige ihrer Alimentenpflicht nicht mehr nachkommen können.</a:t>
          </a:r>
        </a:p>
        <a:p>
          <a:pPr algn="l" rtl="0">
            <a:lnSpc>
              <a:spcPts val="960"/>
            </a:lnSpc>
            <a:defRPr sz="1000"/>
          </a:pPr>
          <a:r>
            <a:rPr lang="de-CH" sz="800" b="0" i="0" u="none" strike="noStrike" baseline="0">
              <a:solidFill>
                <a:srgbClr val="000000"/>
              </a:solidFill>
              <a:latin typeface="Arial"/>
              <a:cs typeface="Arial"/>
            </a:rPr>
            <a:t>Überdurchschnittlich viele Alimentenpflichtige sind beruflich eher schlecht qualifiziert und deshalb bei Wirtschaftskrisen schneller von Einkommenseinbussen betroffen. Die Einnahmen hängen stark von der allgemeinen Wirtschaftsentwicklung und dem Arbeitsmarkt ab.</a:t>
          </a:r>
        </a:p>
        <a:p>
          <a:pPr algn="l" rtl="0">
            <a:lnSpc>
              <a:spcPts val="900"/>
            </a:lnSpc>
            <a:defRPr sz="1000"/>
          </a:pPr>
          <a:r>
            <a:rPr lang="de-CH" sz="800" b="0" i="0" u="none" strike="noStrike" baseline="0">
              <a:solidFill>
                <a:srgbClr val="000000"/>
              </a:solidFill>
              <a:latin typeface="Arial"/>
              <a:cs typeface="Arial"/>
            </a:rPr>
            <a:t>Mit dem neuen Sozialhilfegesetz (SHG) ab 1. Januar 2012 verjährt die Sozialhilfe 10 Jahre (bisher 15 Jahre) nach Ausrichtung der rückerstattungspflichtigen Leistung. Dies führt dazu, dass im Bereich Rückerstattungen weniger Einnahmen erzielt werden. </a:t>
          </a:r>
        </a:p>
        <a:p>
          <a:pPr algn="l" rtl="0">
            <a:lnSpc>
              <a:spcPts val="900"/>
            </a:lnSpc>
            <a:defRPr sz="1000"/>
          </a:pPr>
          <a:r>
            <a:rPr lang="de-CH" sz="800" b="0" i="0" u="none" strike="noStrike" baseline="0">
              <a:solidFill>
                <a:srgbClr val="000000"/>
              </a:solidFill>
              <a:latin typeface="Arial"/>
              <a:cs typeface="Arial"/>
            </a:rPr>
            <a:t>Das Konkursamt hat bei der Nachlassprüfung im Verlaufe des letzten Jahres eine Praxisänderung vorgenommen. Wenn der Sozialdienst eine Forderungseingabe vornimmt, ohne dass eine Vereinbarung oder Verfügung besteht, geht die Forderung in die Klasse 3 im Nachgang. Der Sozialdienst erhält nur dann eine Auszahlung aus dem Nachlass, wenn die Forderungen von sämtlichen Gläubigern gedeckt sind. In Folge dessen werden die Einnahmen aus Nachlassprüfungen sinken.</a:t>
          </a:r>
        </a:p>
        <a:p>
          <a:pPr rtl="0">
            <a:lnSpc>
              <a:spcPts val="900"/>
            </a:lnSpc>
          </a:pPr>
          <a:endParaRPr lang="de-CH" sz="800" b="0" i="0" u="none" strike="noStrike" baseline="0">
            <a:solidFill>
              <a:srgbClr val="000000"/>
            </a:solidFill>
            <a:latin typeface="Arial"/>
            <a:ea typeface="+mn-ea"/>
            <a:cs typeface="Arial"/>
          </a:endParaRPr>
        </a:p>
        <a:p>
          <a:pPr rtl="0">
            <a:lnSpc>
              <a:spcPts val="900"/>
            </a:lnSpc>
          </a:pPr>
          <a:r>
            <a:rPr lang="de-CH" sz="800" b="0" i="0" u="none" strike="noStrike" baseline="0">
              <a:solidFill>
                <a:srgbClr val="000000"/>
              </a:solidFill>
              <a:latin typeface="Arial"/>
              <a:ea typeface="+mn-ea"/>
              <a:cs typeface="Arial"/>
            </a:rPr>
            <a:t>Die Veränderungen beeinflussen die Kosten und Erlöse wie folgt:</a:t>
          </a:r>
        </a:p>
        <a:p>
          <a:pPr rtl="0">
            <a:lnSpc>
              <a:spcPts val="900"/>
            </a:lnSpc>
          </a:pPr>
          <a:r>
            <a:rPr lang="de-CH" sz="800" b="0" i="0" u="none" strike="noStrike" baseline="0">
              <a:solidFill>
                <a:srgbClr val="000000"/>
              </a:solidFill>
              <a:latin typeface="Arial"/>
              <a:ea typeface="+mn-ea"/>
              <a:cs typeface="Arial"/>
            </a:rPr>
            <a:t>Fr. 130'000 Mehrkosten bei der Alimentenbevorschussung</a:t>
          </a:r>
        </a:p>
        <a:p>
          <a:pPr rtl="0">
            <a:lnSpc>
              <a:spcPts val="800"/>
            </a:lnSpc>
          </a:pPr>
          <a:r>
            <a:rPr lang="de-CH" sz="800" b="0" i="0" u="none" strike="noStrike" baseline="0">
              <a:solidFill>
                <a:srgbClr val="000000"/>
              </a:solidFill>
              <a:latin typeface="Arial"/>
              <a:ea typeface="+mn-ea"/>
              <a:cs typeface="Arial"/>
            </a:rPr>
            <a:t>Fr.   20'000 Minderkosten bei der Ablieferung Alimentenvermittlung</a:t>
          </a:r>
        </a:p>
        <a:p>
          <a:pPr rtl="0">
            <a:lnSpc>
              <a:spcPts val="900"/>
            </a:lnSpc>
          </a:pPr>
          <a:r>
            <a:rPr lang="de-CH" sz="800" b="0" i="0" u="none" strike="noStrike" baseline="0">
              <a:solidFill>
                <a:srgbClr val="000000"/>
              </a:solidFill>
              <a:latin typeface="Arial"/>
              <a:ea typeface="+mn-ea"/>
              <a:cs typeface="Arial"/>
            </a:rPr>
            <a:t>Fr. 200'000 Mindererlös bei der Rückerstattung familienrechtlicher Beiträge</a:t>
          </a:r>
        </a:p>
        <a:p>
          <a:pPr rtl="0">
            <a:lnSpc>
              <a:spcPts val="900"/>
            </a:lnSpc>
          </a:pPr>
          <a:r>
            <a:rPr lang="de-CH" sz="800" b="0" i="0" u="none" strike="noStrike" baseline="0">
              <a:solidFill>
                <a:srgbClr val="000000"/>
              </a:solidFill>
              <a:latin typeface="Arial"/>
              <a:ea typeface="+mn-ea"/>
              <a:cs typeface="Arial"/>
            </a:rPr>
            <a:t>Fr.   65'000 Mehrerlös bei der Rückerstattung von Alimenten (mit einer Inkassoquote von 50%)</a:t>
          </a:r>
        </a:p>
        <a:p>
          <a:pPr rtl="0">
            <a:lnSpc>
              <a:spcPts val="900"/>
            </a:lnSpc>
          </a:pPr>
          <a:r>
            <a:rPr lang="de-CH" sz="800" b="0" i="0" u="none" strike="noStrike" baseline="0">
              <a:solidFill>
                <a:srgbClr val="000000"/>
              </a:solidFill>
              <a:latin typeface="Arial"/>
              <a:ea typeface="+mn-ea"/>
              <a:cs typeface="Arial"/>
            </a:rPr>
            <a:t>Fr.   20'000 Mindererlös bei der Alimentenvermittlung</a:t>
          </a:r>
        </a:p>
        <a:p>
          <a:pPr algn="l" rtl="0">
            <a:lnSpc>
              <a:spcPts val="600"/>
            </a:lnSpc>
            <a:defRPr sz="1000"/>
          </a:pPr>
          <a:endParaRPr lang="de-CH" sz="800" b="0" i="0" u="none" strike="noStrike" baseline="0">
            <a:solidFill>
              <a:srgbClr val="000000"/>
            </a:solidFill>
            <a:latin typeface="Arial"/>
            <a:cs typeface="Arial"/>
          </a:endParaRPr>
        </a:p>
        <a:p>
          <a:pPr algn="l" rtl="0">
            <a:lnSpc>
              <a:spcPts val="600"/>
            </a:lnSpc>
            <a:defRPr sz="1000"/>
          </a:pPr>
          <a:endParaRPr lang="de-CH" sz="800" b="0" i="0" u="none" strike="noStrike" baseline="0">
            <a:solidFill>
              <a:srgbClr val="000000"/>
            </a:solidFill>
            <a:latin typeface="Arial"/>
            <a:cs typeface="Arial"/>
          </a:endParaRPr>
        </a:p>
      </xdr:txBody>
    </xdr:sp>
    <xdr:clientData/>
  </xdr:twoCellAnchor>
  <xdr:twoCellAnchor>
    <xdr:from>
      <xdr:col>0</xdr:col>
      <xdr:colOff>1</xdr:colOff>
      <xdr:row>3435</xdr:row>
      <xdr:rowOff>1</xdr:rowOff>
    </xdr:from>
    <xdr:to>
      <xdr:col>8</xdr:col>
      <xdr:colOff>0</xdr:colOff>
      <xdr:row>3437</xdr:row>
      <xdr:rowOff>7621</xdr:rowOff>
    </xdr:to>
    <xdr:sp macro="" textlink="">
      <xdr:nvSpPr>
        <xdr:cNvPr id="239" name="Text Box 9"/>
        <xdr:cNvSpPr txBox="1">
          <a:spLocks noChangeArrowheads="1"/>
        </xdr:cNvSpPr>
      </xdr:nvSpPr>
      <xdr:spPr bwMode="auto">
        <a:xfrm>
          <a:off x="1" y="483955726"/>
          <a:ext cx="6657975" cy="19812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a:p>
          <a:pPr algn="l" rtl="0">
            <a:defRPr sz="1000"/>
          </a:pPr>
          <a:endParaRPr lang="de-CH" sz="800" b="0" i="0" u="none" strike="noStrike" baseline="0">
            <a:solidFill>
              <a:srgbClr val="000000"/>
            </a:solidFill>
            <a:latin typeface="Arial"/>
            <a:cs typeface="Arial"/>
          </a:endParaRPr>
        </a:p>
        <a:p>
          <a:pPr algn="l" rtl="0">
            <a:defRPr sz="1000"/>
          </a:pPr>
          <a:endParaRPr lang="de-CH" sz="800" b="0" i="0" u="none" strike="noStrike" baseline="0">
            <a:solidFill>
              <a:srgbClr val="000000"/>
            </a:solidFill>
            <a:latin typeface="Arial"/>
            <a:cs typeface="Arial"/>
          </a:endParaRPr>
        </a:p>
        <a:p>
          <a:pPr algn="l" rtl="0">
            <a:defRPr sz="1000"/>
          </a:pPr>
          <a:endParaRPr lang="de-CH" sz="800" b="0" i="0" u="none" strike="noStrike" baseline="0">
            <a:solidFill>
              <a:srgbClr val="000000"/>
            </a:solidFill>
            <a:latin typeface="Arial"/>
            <a:cs typeface="Arial"/>
          </a:endParaRPr>
        </a:p>
      </xdr:txBody>
    </xdr:sp>
    <xdr:clientData/>
  </xdr:twoCellAnchor>
  <xdr:twoCellAnchor>
    <xdr:from>
      <xdr:col>0</xdr:col>
      <xdr:colOff>1</xdr:colOff>
      <xdr:row>3408</xdr:row>
      <xdr:rowOff>11430</xdr:rowOff>
    </xdr:from>
    <xdr:to>
      <xdr:col>8</xdr:col>
      <xdr:colOff>0</xdr:colOff>
      <xdr:row>3409</xdr:row>
      <xdr:rowOff>129539</xdr:rowOff>
    </xdr:to>
    <xdr:sp macro="" textlink="">
      <xdr:nvSpPr>
        <xdr:cNvPr id="240" name="Text Box 10"/>
        <xdr:cNvSpPr txBox="1">
          <a:spLocks noChangeArrowheads="1"/>
        </xdr:cNvSpPr>
      </xdr:nvSpPr>
      <xdr:spPr bwMode="auto">
        <a:xfrm>
          <a:off x="1" y="480338130"/>
          <a:ext cx="6657975" cy="26098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Unterhaltspflichtige, Alimentenberechtigte, Rückerstattungspflichtige</a:t>
          </a:r>
        </a:p>
        <a:p>
          <a:pPr algn="l" rtl="0">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3378</xdr:row>
      <xdr:rowOff>7619</xdr:rowOff>
    </xdr:from>
    <xdr:to>
      <xdr:col>7</xdr:col>
      <xdr:colOff>752475</xdr:colOff>
      <xdr:row>3380</xdr:row>
      <xdr:rowOff>9524</xdr:rowOff>
    </xdr:to>
    <xdr:sp macro="" textlink="">
      <xdr:nvSpPr>
        <xdr:cNvPr id="241" name="Text Box 11"/>
        <xdr:cNvSpPr txBox="1">
          <a:spLocks noChangeArrowheads="1"/>
        </xdr:cNvSpPr>
      </xdr:nvSpPr>
      <xdr:spPr bwMode="auto">
        <a:xfrm>
          <a:off x="0" y="474771719"/>
          <a:ext cx="6648450" cy="19240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1</xdr:colOff>
      <xdr:row>3461</xdr:row>
      <xdr:rowOff>47626</xdr:rowOff>
    </xdr:from>
    <xdr:to>
      <xdr:col>8</xdr:col>
      <xdr:colOff>0</xdr:colOff>
      <xdr:row>3485</xdr:row>
      <xdr:rowOff>0</xdr:rowOff>
    </xdr:to>
    <xdr:sp macro="" textlink="">
      <xdr:nvSpPr>
        <xdr:cNvPr id="242" name="Text Box 6"/>
        <xdr:cNvSpPr txBox="1">
          <a:spLocks noChangeArrowheads="1"/>
        </xdr:cNvSpPr>
      </xdr:nvSpPr>
      <xdr:spPr bwMode="auto">
        <a:xfrm>
          <a:off x="1" y="487670476"/>
          <a:ext cx="6657974" cy="334327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overflow" horzOverflow="overflow" lIns="28800" tIns="21600" rIns="0" bIns="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de-CH" sz="800" b="0" i="0" u="none" strike="noStrike" baseline="0">
              <a:solidFill>
                <a:srgbClr val="000000"/>
              </a:solidFill>
              <a:latin typeface="Arial"/>
              <a:ea typeface="+mn-ea"/>
              <a:cs typeface="Arial"/>
            </a:rPr>
            <a:t>Gemäss Prognosen des Bundes verschlechtern sich die Konjunkturperspektiven für die Schweiz. Auch die Arbeitsmarktbehörden stellen sich auf eine schwierige Konjunkturlage ein. Ausschlaggebend dafür sind die aussenwirtschaftlichen Rahmenbedingungen und der hoch bewertete Schweizer Franken. Als Folge der konjunkturellen Schwächephase wird die Arbeitslosigkeit voraussichtlich im kommenden Jahr, erstmals seit 2009, wieder zunehmen. Der erwartete Anstieg der Sozialhilfefälle im 2011, aufgrund der Revision des Arbeitslosenversicherungsgesetzes (AVIG), ist nur bedingt eingetroffen. Insbesondere im Bereich der unter 25-Jährigen (Junge Erwachsene), die nebst den über 55-Jährigen am meisten von der Revision betroffen sind, musste eine Zunahme der Anmeldungen verzeichnet werden. In Zukunft ist mit einer Zunahme von Sozialhilfefällen, die längerfristig unterstützt werden müssen, zu rechnen. Dies ist mit der Konjunkturentwicklung, den Veränderungen resp. Sparmaßnahmen bei den vorgelagerten Systemen im Bereich der Sozialversicherungen, fehlenden nachhaltigen Maßnahmen im Bereich der Familien-, Arbeits- und Wohnpolitik, der Öffnung der Schere zwischen Arm und Reich (Verschwinden des Mittelstandes) und den damit verbundenen zunehmenden Verschuldungssituationen bei Privatpersonen zu begründen. Gemäss der Schweizerischen Sozialhilfestatistik wurde in den letzten Jahren ein Wachstum bei der Altersgruppe der 56 – 64-Jährigen ausgewiesen. Studien belegen, dass ein erhöhtes Risiko besteht, aus gesundheitlichen Gründen aus dem Arbeitsmarkt auszuscheiden. </a:t>
          </a:r>
        </a:p>
        <a:p>
          <a:pPr marL="0" marR="0" lvl="0" indent="0" algn="l" defTabSz="914400" rtl="0" eaLnBrk="1" fontAlgn="auto" latinLnBrk="0" hangingPunct="1">
            <a:lnSpc>
              <a:spcPts val="960"/>
            </a:lnSpc>
            <a:spcBef>
              <a:spcPts val="0"/>
            </a:spcBef>
            <a:spcAft>
              <a:spcPts val="0"/>
            </a:spcAft>
            <a:buClrTx/>
            <a:buSzTx/>
            <a:buFontTx/>
            <a:buNone/>
            <a:tabLst/>
            <a:defRPr/>
          </a:pPr>
          <a:endParaRPr lang="de-CH" sz="800" b="0" i="0" u="none" strike="noStrike" baseline="0">
            <a:solidFill>
              <a:srgbClr val="000000"/>
            </a:solidFill>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de-CH" sz="800" b="0" i="0" u="none" strike="noStrike" baseline="0">
              <a:solidFill>
                <a:srgbClr val="000000"/>
              </a:solidFill>
              <a:latin typeface="Arial"/>
              <a:ea typeface="+mn-ea"/>
              <a:cs typeface="Arial"/>
            </a:rPr>
            <a:t>Im Suchtbereich ist ein Anstieg des Durchschnittsalters der Sozialhilfebezüger/-innen festzustellen. Dies führt zu einer Erhöhung der Gesundheitskosten, die zu einem grossen Teil von der Krankenversicherung abgedeckt werden. In Einzelfällen, bei denen Pflege und betreutes Wohnen notwendig ist und kein Anspruch auf Sozialversicherungsleistungen besteht, erfolgt eine finanzielle Mehrbelastung der Sozialhilfe. Beim Thema Wohnpolitik gibt es zwei verschiedene Aspekte, welche die Fallzahlen beeinflussen können. Aufgrund von fehlendem günstigen Wohnraum, besteht insbesondere bei Familien das Risiko von Sozialhilfeabhängigkeit, was zu einer Zunahme der Anmeldungen beim Sozialdienst führt. Die obengenannte Problematik kann jedoch auch zur Folge haben, dass Einzelpersonen oder Familiensysteme, die keinen geeigneten Wohnraum finden resp. sich diesen nicht leisten können, aus der Stadt in angrenzende Gemeinden ziehen. Auch die kommende 6. IV-Revision wird tendenziell Auswirkungen auf die Anzahl der Unterstützungsfälle haben. Im Zentrum der ersten Etappe, die Anfang 2012 in Kraft tritt, steht die Wiedereingliederung von Rentenbezüger/-innen. Für die jährlich rund 2800 Personen in der Schweiz, die bis zum Jahr 2018 wieder in den Arbeitsmarkt eingegliedert werden sollen, besteht jedoch keine Arbeitsgarantie. In einer nächsten Etappe ist vorgesehen, das vierstufige Rentensystem durch ein stufenloses abzulösen und die Kinder Zusatzrenten zu kürzen. Diese Maßnahmen können zu Verlagerungen in die Sozialhilfe führen.</a:t>
          </a:r>
        </a:p>
        <a:p>
          <a:pPr marL="0" marR="0" lvl="0" indent="0" algn="l" defTabSz="914400" rtl="0" eaLnBrk="1" fontAlgn="auto" latinLnBrk="0" hangingPunct="1">
            <a:lnSpc>
              <a:spcPct val="100000"/>
            </a:lnSpc>
            <a:spcBef>
              <a:spcPts val="0"/>
            </a:spcBef>
            <a:spcAft>
              <a:spcPts val="0"/>
            </a:spcAft>
            <a:buClrTx/>
            <a:buSzTx/>
            <a:buFontTx/>
            <a:buNone/>
            <a:tabLst/>
            <a:defRPr/>
          </a:pPr>
          <a:r>
            <a:rPr lang="de-CH" sz="800" b="0" i="0" u="none" strike="noStrike" baseline="0">
              <a:solidFill>
                <a:srgbClr val="000000"/>
              </a:solidFill>
              <a:latin typeface="Arial"/>
              <a:ea typeface="+mn-ea"/>
              <a:cs typeface="Arial"/>
            </a:rPr>
            <a:t>Sparmassnahmen (Portfolioanalyse): </a:t>
          </a:r>
        </a:p>
        <a:p>
          <a:pPr marL="0" marR="0" lvl="0" indent="0" algn="l" defTabSz="914400" rtl="0" eaLnBrk="1" fontAlgn="auto" latinLnBrk="0" hangingPunct="1">
            <a:lnSpc>
              <a:spcPct val="100000"/>
            </a:lnSpc>
            <a:spcBef>
              <a:spcPts val="0"/>
            </a:spcBef>
            <a:spcAft>
              <a:spcPts val="0"/>
            </a:spcAft>
            <a:buClrTx/>
            <a:buSzTx/>
            <a:buFontTx/>
            <a:buNone/>
            <a:tabLst/>
            <a:defRPr/>
          </a:pPr>
          <a:r>
            <a:rPr lang="de-CH" sz="800" b="0" i="0" u="none" strike="noStrike" baseline="0">
              <a:solidFill>
                <a:srgbClr val="000000"/>
              </a:solidFill>
              <a:latin typeface="Arial"/>
              <a:ea typeface="+mn-ea"/>
              <a:cs typeface="Arial"/>
            </a:rPr>
            <a:t>Im Planjahr 2013 wurde als  Sparmassnahme analog VA 2012 in Abzug gebracht:</a:t>
          </a:r>
        </a:p>
        <a:p>
          <a:pPr marL="0" marR="0" lvl="0" indent="0" algn="l" defTabSz="914400" rtl="0" eaLnBrk="1" fontAlgn="auto" latinLnBrk="0" hangingPunct="1">
            <a:lnSpc>
              <a:spcPct val="100000"/>
            </a:lnSpc>
            <a:spcBef>
              <a:spcPts val="0"/>
            </a:spcBef>
            <a:spcAft>
              <a:spcPts val="0"/>
            </a:spcAft>
            <a:buClrTx/>
            <a:buSzTx/>
            <a:buFontTx/>
            <a:buNone/>
            <a:tabLst/>
            <a:defRPr/>
          </a:pPr>
          <a:r>
            <a:rPr lang="de-CH" sz="800" b="0" i="0" u="none" strike="noStrike" baseline="0">
              <a:solidFill>
                <a:srgbClr val="000000"/>
              </a:solidFill>
              <a:latin typeface="Arial"/>
              <a:ea typeface="+mn-ea"/>
              <a:cs typeface="Arial"/>
            </a:rPr>
            <a:t>Fr. 80'000.00 Minderkosten im Personalbereich aufgrund Synergien Standort Schwarztorstrasse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de-CH" sz="800" b="0" i="0" u="none" strike="noStrike" kern="0" cap="none" spc="0" normalizeH="0" baseline="0" noProof="0">
            <a:ln>
              <a:noFill/>
            </a:ln>
            <a:solidFill>
              <a:srgbClr val="000000"/>
            </a:solidFill>
            <a:effectLst/>
            <a:uLnTx/>
            <a:uFillTx/>
            <a:latin typeface="Arial" pitchFamily="34" charset="0"/>
            <a:ea typeface="+mn-ea"/>
            <a:cs typeface="Arial" pitchFamily="34" charset="0"/>
          </a:endParaRPr>
        </a:p>
        <a:p>
          <a:pPr algn="l">
            <a:lnSpc>
              <a:spcPct val="100000"/>
            </a:lnSpc>
          </a:pPr>
          <a:endParaRPr lang="de-CH" sz="800">
            <a:latin typeface="Arial" pitchFamily="34" charset="0"/>
            <a:cs typeface="Arial" pitchFamily="34" charset="0"/>
          </a:endParaRPr>
        </a:p>
      </xdr:txBody>
    </xdr:sp>
    <xdr:clientData/>
  </xdr:twoCellAnchor>
  <xdr:twoCellAnchor>
    <xdr:from>
      <xdr:col>0</xdr:col>
      <xdr:colOff>1</xdr:colOff>
      <xdr:row>3491</xdr:row>
      <xdr:rowOff>135254</xdr:rowOff>
    </xdr:from>
    <xdr:to>
      <xdr:col>8</xdr:col>
      <xdr:colOff>0</xdr:colOff>
      <xdr:row>3506</xdr:row>
      <xdr:rowOff>609600</xdr:rowOff>
    </xdr:to>
    <xdr:sp macro="" textlink="">
      <xdr:nvSpPr>
        <xdr:cNvPr id="243" name="Text Box 7"/>
        <xdr:cNvSpPr txBox="1">
          <a:spLocks noChangeArrowheads="1"/>
        </xdr:cNvSpPr>
      </xdr:nvSpPr>
      <xdr:spPr bwMode="auto">
        <a:xfrm>
          <a:off x="1" y="491349029"/>
          <a:ext cx="6657974" cy="206502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lvl="0" indent="0" defTabSz="914400" eaLnBrk="1" fontAlgn="auto" latinLnBrk="0" hangingPunct="1">
            <a:lnSpc>
              <a:spcPct val="100000"/>
            </a:lnSpc>
            <a:spcBef>
              <a:spcPts val="0"/>
            </a:spcBef>
            <a:spcAft>
              <a:spcPts val="0"/>
            </a:spcAft>
            <a:buClrTx/>
            <a:buSzTx/>
            <a:buFontTx/>
            <a:buNone/>
            <a:tabLst/>
            <a:defRPr/>
          </a:pPr>
          <a:r>
            <a:rPr lang="de-CH" sz="800" b="0" i="0" u="none" strike="noStrike" baseline="0">
              <a:solidFill>
                <a:srgbClr val="000000"/>
              </a:solidFill>
              <a:latin typeface="Arial"/>
              <a:cs typeface="Arial"/>
            </a:rPr>
            <a:t>Die </a:t>
          </a:r>
          <a:r>
            <a:rPr kumimoji="0" lang="de-DE" sz="800" b="0" i="0" u="none" strike="noStrike" kern="50" cap="none" spc="0" normalizeH="0" baseline="0" noProof="0">
              <a:ln>
                <a:noFill/>
              </a:ln>
              <a:solidFill>
                <a:sysClr val="windowText" lastClr="000000"/>
              </a:solidFill>
              <a:effectLst/>
              <a:uLnTx/>
              <a:uFillTx/>
              <a:latin typeface="Arial"/>
              <a:ea typeface="Times New Roman"/>
              <a:cs typeface="+mn-cs"/>
            </a:rPr>
            <a:t>Zusammenlegung der beiden Standorte des Sozialdienstes (Bern Stadt und Bern West) sowie der Umzug an die Schwarztorstrasse 71 wird im April 2012 stattfinden. </a:t>
          </a:r>
          <a:endParaRPr kumimoji="0" lang="de-CH" sz="800" b="0" i="0" u="none" strike="noStrike" kern="50" cap="none" spc="0" normalizeH="0" baseline="0" noProof="0">
            <a:ln>
              <a:noFill/>
            </a:ln>
            <a:solidFill>
              <a:sysClr val="windowText" lastClr="000000"/>
            </a:solidFill>
            <a:effectLst/>
            <a:uLnTx/>
            <a:uFillTx/>
            <a:latin typeface="Times New Roman"/>
            <a:ea typeface="Times New Roman"/>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0" i="0" u="none" strike="noStrike" kern="50" cap="none" spc="0" normalizeH="0" baseline="0" noProof="0">
              <a:ln>
                <a:noFill/>
              </a:ln>
              <a:solidFill>
                <a:sysClr val="windowText" lastClr="000000"/>
              </a:solidFill>
              <a:effectLst/>
              <a:uLnTx/>
              <a:uFillTx/>
              <a:latin typeface="Arial"/>
              <a:ea typeface="Times New Roman"/>
              <a:cs typeface="+mn-cs"/>
            </a:rPr>
            <a:t>Die Anpassung der Strukturen und damit zusammenhängend der Prozesse und Abläufe sind in Planung und werden schrittweise umgesetzt. Zu den Auswirkungen kann zum jetzigen Zeitpunkt keine Prognose abgegeben werden.</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0" i="0" u="none" strike="noStrike" kern="50" cap="none" spc="0" normalizeH="0" baseline="0" noProof="0">
              <a:ln>
                <a:noFill/>
              </a:ln>
              <a:solidFill>
                <a:sysClr val="windowText" lastClr="000000"/>
              </a:solidFill>
              <a:effectLst/>
              <a:uLnTx/>
              <a:uFillTx/>
              <a:latin typeface="Arial"/>
              <a:ea typeface="Times New Roman"/>
              <a:cs typeface="+mn-cs"/>
            </a:rPr>
            <a:t>Bis anhin vergütete das Amt für Sozialversicherung und Stiftungsaufsicht (ASVS) den Sozialdiensten die KVG-Prämien bis zur Höhe des vom Kanton festgelegten Maximalbetrags. Im Rahmen von FILAG 2012 wird die Finanzierung der KVG-Prämien für Bezügerinnen und Bezüger von Sozialhilfe neu geregelt (BSIG Nr. 8/842.114/2.1). Das ASVS vergütet den Sozialdiensten nur noch die ordentliche maximale Prämienverbilligung der jeweiligen Alterskategorie und Region. Der restliche Teil der KVG-Prämie wird vom Kanton und den Gemeinden über den Lastenausgleich Sozialhilfe (Art. 11 KKVV) finanziert. Dies wirkt sich in der Produktegruppe PG300300 durch einen höheren Lastenanteil und Lastenertrag aus. Die vollen KVG-Prämien, sowie die Rückerstattungen ASVS müssen neu in der Planung berücksichtigt werden (Kosten: + Fr. 16'577'000.00 KVG-Prämien; Erlöse: + Fr. 7'459'650.00 Prämienverbilligung ASVS). </a:t>
          </a:r>
        </a:p>
        <a:p>
          <a:pPr marL="0" marR="0" lvl="0" indent="0" defTabSz="914400" eaLnBrk="1" fontAlgn="auto" latinLnBrk="0" hangingPunct="1">
            <a:lnSpc>
              <a:spcPct val="100000"/>
            </a:lnSpc>
            <a:spcBef>
              <a:spcPts val="0"/>
            </a:spcBef>
            <a:spcAft>
              <a:spcPts val="0"/>
            </a:spcAft>
            <a:buClrTx/>
            <a:buSzTx/>
            <a:buFontTx/>
            <a:buNone/>
            <a:tabLst/>
            <a:defRPr/>
          </a:pPr>
          <a:r>
            <a:rPr kumimoji="0" lang="de-DE" sz="800" b="0" i="0" u="none" strike="noStrike" kern="50" cap="none" spc="0" normalizeH="0" baseline="0" noProof="0">
              <a:ln>
                <a:noFill/>
              </a:ln>
              <a:solidFill>
                <a:sysClr val="windowText" lastClr="000000"/>
              </a:solidFill>
              <a:effectLst/>
              <a:uLnTx/>
              <a:uFillTx/>
              <a:latin typeface="Arial"/>
              <a:ea typeface="Times New Roman"/>
              <a:cs typeface="+mn-cs"/>
            </a:rPr>
            <a:t>Die Entwicklung in den Jahren 2010 und 2011 macht ab Planjahr 2013 Anpassungen notwendig. Nebst den Mehrkosten in Zusammenhang mit FILAG 2012 erhöhen sich die Unterstützungsauslagen (+ Fr. 933'000.00), sowie die Erlöse aus Rückerstattung Sozialversicherungen (+ Fr. 500'000.00).</a:t>
          </a:r>
        </a:p>
        <a:p>
          <a:pPr marL="0" marR="0" lvl="0" indent="0" defTabSz="914400" eaLnBrk="1" fontAlgn="auto" latinLnBrk="0" hangingPunct="1">
            <a:lnSpc>
              <a:spcPct val="100000"/>
            </a:lnSpc>
            <a:spcBef>
              <a:spcPts val="0"/>
            </a:spcBef>
            <a:spcAft>
              <a:spcPts val="0"/>
            </a:spcAft>
            <a:buClrTx/>
            <a:buSzTx/>
            <a:buFontTx/>
            <a:buNone/>
            <a:tabLst/>
            <a:defRPr/>
          </a:pPr>
          <a:r>
            <a:rPr kumimoji="0" lang="de-CH" sz="8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Gemäss den FILAG Übergangsbestimmungen (Ziffer 12) wird bezüglich dem Bonus-Malus-System die erste finanzrelevante Berechnung im Jahr 2014 rückwirkend für die Rechnungsjahre 2012 und 2013 durchgeführt. Die Ergebnisse werden den Gemeinden im Rahmen der Lastenausgleichsabrechnung 2014 kommuniziert. </a:t>
          </a:r>
          <a:endParaRPr kumimoji="0" lang="de-DE" sz="800" b="0" i="0" u="none" strike="noStrike" kern="50" cap="none" spc="0" normalizeH="0" baseline="0" noProof="0">
            <a:ln>
              <a:noFill/>
            </a:ln>
            <a:solidFill>
              <a:sysClr val="windowText" lastClr="000000"/>
            </a:solidFill>
            <a:effectLst/>
            <a:uLnTx/>
            <a:uFillTx/>
            <a:latin typeface="Arial"/>
            <a:ea typeface="Times New Roman"/>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de-DE" sz="800" b="0" i="0" u="none" strike="noStrike" kern="50" cap="none" spc="0" normalizeH="0" baseline="0" noProof="0">
            <a:ln>
              <a:noFill/>
            </a:ln>
            <a:solidFill>
              <a:srgbClr val="000000"/>
            </a:solidFill>
            <a:effectLst/>
            <a:uLnTx/>
            <a:uFillTx/>
            <a:latin typeface="Arial"/>
            <a:ea typeface="+mn-ea"/>
            <a:cs typeface="Arial"/>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de-CH"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CH"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CH"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CH"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CH" sz="800" b="0" i="0" u="none" strike="noStrike" kern="0" cap="none" spc="0" normalizeH="0" baseline="0" noProof="0">
            <a:ln>
              <a:noFill/>
            </a:ln>
            <a:solidFill>
              <a:srgbClr val="0000FF"/>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CH" sz="800" b="0" i="0" u="none" strike="noStrike" kern="0" cap="none" spc="0" normalizeH="0" baseline="0" noProof="0">
            <a:ln>
              <a:noFill/>
            </a:ln>
            <a:solidFill>
              <a:srgbClr val="0000FF"/>
            </a:solidFill>
            <a:effectLst/>
            <a:uLnTx/>
            <a:uFillTx/>
            <a:latin typeface="Arial"/>
            <a:ea typeface="+mn-ea"/>
            <a:cs typeface="Arial"/>
          </a:endParaRPr>
        </a:p>
        <a:p>
          <a:pPr algn="l" rtl="0">
            <a:defRPr sz="1000"/>
          </a:pPr>
          <a:endParaRPr lang="de-CH" sz="800" b="0" i="0" u="none" strike="noStrike" baseline="0">
            <a:solidFill>
              <a:srgbClr val="000000"/>
            </a:solidFill>
            <a:latin typeface="Arial"/>
            <a:cs typeface="Arial"/>
          </a:endParaRPr>
        </a:p>
        <a:p>
          <a:pPr algn="l" rtl="0">
            <a:defRPr sz="1000"/>
          </a:pPr>
          <a:endParaRPr lang="de-CH" sz="800" b="0" i="0" u="none" strike="noStrike" baseline="0">
            <a:solidFill>
              <a:srgbClr val="000000"/>
            </a:solidFill>
            <a:latin typeface="Arial"/>
            <a:cs typeface="Arial"/>
          </a:endParaRPr>
        </a:p>
        <a:p>
          <a:pPr algn="l" rtl="0">
            <a:defRPr sz="1000"/>
          </a:pPr>
          <a:endParaRPr lang="de-CH" sz="800" b="0" i="0" u="none" strike="noStrike" baseline="0">
            <a:solidFill>
              <a:srgbClr val="000000"/>
            </a:solidFill>
            <a:latin typeface="Arial"/>
            <a:cs typeface="Arial"/>
          </a:endParaRPr>
        </a:p>
        <a:p>
          <a:pPr algn="l" rtl="0">
            <a:defRPr sz="1000"/>
          </a:pPr>
          <a:endParaRPr lang="de-CH" sz="800" b="0" i="0" u="none" strike="noStrike" baseline="0">
            <a:solidFill>
              <a:srgbClr val="000000"/>
            </a:solidFill>
            <a:latin typeface="Arial"/>
            <a:cs typeface="Arial"/>
          </a:endParaRPr>
        </a:p>
        <a:p>
          <a:pPr algn="l" rtl="0">
            <a:defRPr sz="1000"/>
          </a:pPr>
          <a:endParaRPr lang="de-CH" sz="800" b="0" i="0" u="none" strike="noStrike" baseline="0">
            <a:solidFill>
              <a:srgbClr val="000000"/>
            </a:solidFill>
            <a:latin typeface="Arial"/>
            <a:cs typeface="Arial"/>
          </a:endParaRPr>
        </a:p>
        <a:p>
          <a:pPr algn="l" rtl="0">
            <a:defRPr sz="1000"/>
          </a:pPr>
          <a:endParaRPr lang="de-CH" sz="800" b="0" i="0" u="none" strike="noStrike" baseline="0">
            <a:solidFill>
              <a:srgbClr val="0000FF"/>
            </a:solidFill>
            <a:latin typeface="Arial"/>
            <a:cs typeface="Arial"/>
          </a:endParaRPr>
        </a:p>
        <a:p>
          <a:pPr algn="l" rtl="0">
            <a:defRPr sz="1000"/>
          </a:pPr>
          <a:endParaRPr lang="de-CH" sz="800" b="0" i="0" u="none" strike="noStrike" baseline="0">
            <a:solidFill>
              <a:srgbClr val="0000FF"/>
            </a:solidFill>
            <a:latin typeface="Arial"/>
            <a:cs typeface="Arial"/>
          </a:endParaRPr>
        </a:p>
      </xdr:txBody>
    </xdr:sp>
    <xdr:clientData/>
  </xdr:twoCellAnchor>
  <xdr:twoCellAnchor>
    <xdr:from>
      <xdr:col>0</xdr:col>
      <xdr:colOff>0</xdr:colOff>
      <xdr:row>3533</xdr:row>
      <xdr:rowOff>47624</xdr:rowOff>
    </xdr:from>
    <xdr:to>
      <xdr:col>8</xdr:col>
      <xdr:colOff>0</xdr:colOff>
      <xdr:row>3539</xdr:row>
      <xdr:rowOff>129540</xdr:rowOff>
    </xdr:to>
    <xdr:sp macro="" textlink="">
      <xdr:nvSpPr>
        <xdr:cNvPr id="244" name="Text Box 9"/>
        <xdr:cNvSpPr txBox="1">
          <a:spLocks noChangeArrowheads="1"/>
        </xdr:cNvSpPr>
      </xdr:nvSpPr>
      <xdr:spPr bwMode="auto">
        <a:xfrm>
          <a:off x="0" y="497462174"/>
          <a:ext cx="6657975" cy="939166"/>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800"/>
            </a:lnSpc>
            <a:defRPr sz="1000"/>
          </a:pPr>
          <a:r>
            <a:rPr lang="de-CH" sz="800" b="0" i="0" u="none" strike="noStrike" baseline="0">
              <a:solidFill>
                <a:srgbClr val="000000"/>
              </a:solidFill>
              <a:latin typeface="Arial"/>
              <a:cs typeface="Arial"/>
            </a:rPr>
            <a:t>Gemäss ILA-Sitzung vom 20.10.2011 wurden die Einzelinvestitionen wie folgt angepasst:</a:t>
          </a:r>
        </a:p>
        <a:p>
          <a:pPr algn="l" rtl="0">
            <a:defRPr sz="1000"/>
          </a:pPr>
          <a:r>
            <a:rPr lang="de-CH" sz="800" b="0" i="0" u="none" strike="noStrike" baseline="0">
              <a:solidFill>
                <a:srgbClr val="000000"/>
              </a:solidFill>
              <a:latin typeface="Arial"/>
              <a:cs typeface="Arial"/>
            </a:rPr>
            <a:t>* Weiterentwicklung KISS I:                          2013 = 400'000 (alt: 800'000); 2014 = 900'000 (alt: 500'000)</a:t>
          </a:r>
        </a:p>
        <a:p>
          <a:pPr algn="l" rtl="0">
            <a:lnSpc>
              <a:spcPts val="800"/>
            </a:lnSpc>
            <a:defRPr sz="1000"/>
          </a:pPr>
          <a:r>
            <a:rPr lang="de-CH" sz="800" b="0" i="0" u="none" strike="noStrike" baseline="0">
              <a:solidFill>
                <a:srgbClr val="000000"/>
              </a:solidFill>
              <a:latin typeface="Arial"/>
              <a:cs typeface="Arial"/>
            </a:rPr>
            <a:t>* Weiterentwicklung KISS II:	     2015 = 660'000; 2016 = 340'000</a:t>
          </a:r>
        </a:p>
        <a:p>
          <a:pPr algn="l" rtl="0">
            <a:defRPr sz="1000"/>
          </a:pPr>
          <a:r>
            <a:rPr lang="de-CH" sz="800" b="0" i="0" u="none" strike="noStrike" baseline="0">
              <a:solidFill>
                <a:srgbClr val="000000"/>
              </a:solidFill>
              <a:latin typeface="Arial"/>
              <a:cs typeface="Arial"/>
            </a:rPr>
            <a:t>*Archivlösung Sozialbereich:                        2013 = 200'000 (alt: 350'000); 2014 = 640'000 (alt: 490'000); 2015 = 450'000</a:t>
          </a:r>
        </a:p>
        <a:p>
          <a:pPr algn="l" rtl="0">
            <a:lnSpc>
              <a:spcPts val="900"/>
            </a:lnSpc>
            <a:defRPr sz="1000"/>
          </a:pPr>
          <a:endParaRPr lang="de-CH" sz="800" b="0" i="0" u="none" strike="noStrike" baseline="0">
            <a:solidFill>
              <a:srgbClr val="000000"/>
            </a:solidFill>
            <a:latin typeface="Arial"/>
            <a:cs typeface="Arial"/>
          </a:endParaRPr>
        </a:p>
        <a:p>
          <a:pPr algn="l" rtl="0">
            <a:lnSpc>
              <a:spcPts val="800"/>
            </a:lnSpc>
            <a:defRPr sz="1000"/>
          </a:pPr>
          <a:r>
            <a:rPr lang="de-CH" sz="800" b="0" i="0" u="none" strike="noStrike" baseline="0">
              <a:solidFill>
                <a:srgbClr val="000000"/>
              </a:solidFill>
              <a:latin typeface="Arial"/>
              <a:cs typeface="Arial"/>
            </a:rPr>
            <a:t>*) Der Einfachheit halber werden die Investitionen gesamthaft dieser Produktegruppe zugeordnet; betroffen sind jedoch diverse Dienststellen</a:t>
          </a:r>
        </a:p>
      </xdr:txBody>
    </xdr:sp>
    <xdr:clientData/>
  </xdr:twoCellAnchor>
  <xdr:twoCellAnchor>
    <xdr:from>
      <xdr:col>0</xdr:col>
      <xdr:colOff>0</xdr:colOff>
      <xdr:row>3508</xdr:row>
      <xdr:rowOff>0</xdr:rowOff>
    </xdr:from>
    <xdr:to>
      <xdr:col>7</xdr:col>
      <xdr:colOff>752475</xdr:colOff>
      <xdr:row>3510</xdr:row>
      <xdr:rowOff>350626</xdr:rowOff>
    </xdr:to>
    <xdr:sp macro="" textlink="">
      <xdr:nvSpPr>
        <xdr:cNvPr id="245" name="Text Box 10"/>
        <xdr:cNvSpPr txBox="1">
          <a:spLocks noChangeArrowheads="1"/>
        </xdr:cNvSpPr>
      </xdr:nvSpPr>
      <xdr:spPr bwMode="auto">
        <a:xfrm>
          <a:off x="0" y="493699800"/>
          <a:ext cx="6648450" cy="55065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ct val="100000"/>
            </a:lnSpc>
            <a:defRPr sz="1000"/>
          </a:pPr>
          <a:r>
            <a:rPr lang="de-CH" sz="800" b="0" i="0" u="none" strike="noStrike" baseline="0">
              <a:solidFill>
                <a:srgbClr val="000000"/>
              </a:solidFill>
              <a:latin typeface="Arial"/>
              <a:cs typeface="Arial"/>
            </a:rPr>
            <a:t>Einwohnerinnen und Einwohner der Stadt Bern, die einen Antrag auf finanzielle Unterstützung (Sozialhilfe) stellen oder Beratung wünschen.</a:t>
          </a:r>
        </a:p>
        <a:p>
          <a:pPr algn="l" rtl="0">
            <a:lnSpc>
              <a:spcPct val="100000"/>
            </a:lnSpc>
            <a:defRPr sz="1000"/>
          </a:pPr>
          <a:r>
            <a:rPr lang="de-CH" sz="800" b="0" i="0" u="none" strike="noStrike" baseline="0">
              <a:solidFill>
                <a:srgbClr val="000000"/>
              </a:solidFill>
              <a:latin typeface="Arial"/>
              <a:cs typeface="Arial"/>
            </a:rPr>
            <a:t>Ansprechpartner: Gesundheits u. Fürsorgedirektion (GEF), Amt für Sozialversicherungen (ASV), Arbeitslosenkasse, Invalidenversicherung, Ausgleichskassen, Krankenversicherer, Steuerverwaltung usw.  </a:t>
          </a:r>
        </a:p>
        <a:p>
          <a:pPr algn="l" rtl="0">
            <a:defRPr sz="1000"/>
          </a:pPr>
          <a:r>
            <a:rPr lang="de-CH" sz="800" b="0" i="0" u="none" strike="noStrike" baseline="0">
              <a:solidFill>
                <a:srgbClr val="000000"/>
              </a:solidFill>
              <a:latin typeface="Arial"/>
              <a:cs typeface="Arial"/>
            </a:rPr>
            <a:t>Weiter werden Kontakte zu Beratungsstellen, Kirchgemeinden, Ärztinnen, Ärzten usw. vermittelt.</a:t>
          </a:r>
        </a:p>
      </xdr:txBody>
    </xdr:sp>
    <xdr:clientData/>
  </xdr:twoCellAnchor>
  <xdr:twoCellAnchor>
    <xdr:from>
      <xdr:col>0</xdr:col>
      <xdr:colOff>0</xdr:colOff>
      <xdr:row>3457</xdr:row>
      <xdr:rowOff>9526</xdr:rowOff>
    </xdr:from>
    <xdr:to>
      <xdr:col>7</xdr:col>
      <xdr:colOff>761999</xdr:colOff>
      <xdr:row>3458</xdr:row>
      <xdr:rowOff>129540</xdr:rowOff>
    </xdr:to>
    <xdr:sp macro="" textlink="">
      <xdr:nvSpPr>
        <xdr:cNvPr id="246" name="Text Box 11"/>
        <xdr:cNvSpPr txBox="1">
          <a:spLocks noChangeArrowheads="1"/>
        </xdr:cNvSpPr>
      </xdr:nvSpPr>
      <xdr:spPr bwMode="auto">
        <a:xfrm>
          <a:off x="0" y="486918001"/>
          <a:ext cx="6657974" cy="262889"/>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3572</xdr:row>
      <xdr:rowOff>1</xdr:rowOff>
    </xdr:from>
    <xdr:to>
      <xdr:col>7</xdr:col>
      <xdr:colOff>742949</xdr:colOff>
      <xdr:row>3607</xdr:row>
      <xdr:rowOff>85726</xdr:rowOff>
    </xdr:to>
    <xdr:sp macro="" textlink="">
      <xdr:nvSpPr>
        <xdr:cNvPr id="247" name="Text Box 6"/>
        <xdr:cNvSpPr txBox="1">
          <a:spLocks noChangeArrowheads="1"/>
        </xdr:cNvSpPr>
      </xdr:nvSpPr>
      <xdr:spPr bwMode="auto">
        <a:xfrm>
          <a:off x="0" y="502358025"/>
          <a:ext cx="6638924" cy="480060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lang="de-CH" sz="800" b="0" i="0" u="none" strike="noStrike" baseline="0">
              <a:solidFill>
                <a:srgbClr val="000000"/>
              </a:solidFill>
              <a:latin typeface="Arial"/>
              <a:cs typeface="Arial"/>
            </a:rPr>
            <a:t>Die </a:t>
          </a:r>
          <a:r>
            <a:rPr kumimoji="0" lang="de-CH" sz="800" b="0" i="0" u="none" strike="noStrike" kern="0" cap="none" spc="0" normalizeH="0" baseline="0" noProof="0">
              <a:ln>
                <a:noFill/>
              </a:ln>
              <a:solidFill>
                <a:srgbClr val="000000"/>
              </a:solidFill>
              <a:effectLst/>
              <a:uLnTx/>
              <a:uFillTx/>
              <a:latin typeface="Arial"/>
              <a:ea typeface="+mn-ea"/>
              <a:cs typeface="Arial"/>
            </a:rPr>
            <a:t>Volkswirtschaftsdirektion des Kantons hat aufgrund der Arbeitslosengesetzesrevision und wegen der rückläufigen Arbeitslosenzahlen die finanziellen Ressourcen für das Jahr 2012 reduziert. Davon betroffen sind vor allem die Bereiche "Abklärung und Qualifizierung für Erwachsene" und "Abklärung und Qualifizierung junge Erwachsene". In diesem Zusammenhang kommt es zu Entlassungen von fünf Mitarbeitenden. Für weitere Mitarbeitende konnten interne Lösungen gefunden werden. Der Standort an der Freiburgstrasse 139c wurde aufgehoben und die dortigen Mitarbeitenden und Dienstleistungen am Standort Lorrainestrasse 52 integriert. Für die von der Gesundheits- und Fürsorgedirektion des Kantons (GEF) auf das Jahr 2012 geplante "Direktfinanzierung der Beschäftigungs- und Integrationsangebote der Sozialhilfe, BIAS"  ist das Kompetenzzentrum Arbeit (KA) mit der Caritas Bern eine Bietergemeinschaft eingegangen und hat der GEF im Juni 2011 eine gemeinsame Offerte unterbreitet. Diese wird von der GEF geprüft. Gestützt darauf wird Ende 2011 ein Leistungsvertrag für das Jahr 2012 ausgestellt. inizio ging vom KA in die Pro Berufsbildung GmbH über und heisst neu Pro Lehrstelle.</a:t>
          </a:r>
        </a:p>
        <a:p>
          <a:pPr marL="0" marR="0" lvl="0" indent="0" defTabSz="914400" eaLnBrk="1" fontAlgn="auto" latinLnBrk="0" hangingPunct="1">
            <a:lnSpc>
              <a:spcPts val="900"/>
            </a:lnSpc>
            <a:spcBef>
              <a:spcPts val="0"/>
            </a:spcBef>
            <a:spcAft>
              <a:spcPts val="0"/>
            </a:spcAft>
            <a:buClrTx/>
            <a:buSzTx/>
            <a:buFontTx/>
            <a:buNone/>
            <a:tabLst/>
            <a:defRPr/>
          </a:pPr>
          <a:r>
            <a:rPr kumimoji="0" lang="de-CH" sz="800" b="1" i="0" u="none" strike="noStrike" kern="0" cap="none" spc="0" normalizeH="0" baseline="0" noProof="0">
              <a:ln>
                <a:noFill/>
              </a:ln>
              <a:solidFill>
                <a:srgbClr val="000000"/>
              </a:solidFill>
              <a:effectLst/>
              <a:uLnTx/>
              <a:uFillTx/>
              <a:latin typeface="Arial"/>
              <a:ea typeface="+mn-ea"/>
              <a:cs typeface="Arial"/>
            </a:rPr>
            <a:t>Ausbildungslosigkeit</a:t>
          </a:r>
        </a:p>
        <a:p>
          <a:pPr marL="0" marR="0" lvl="0" indent="0" defTabSz="914400" eaLnBrk="1" fontAlgn="auto" latinLnBrk="0" hangingPunct="1">
            <a:lnSpc>
              <a:spcPct val="100000"/>
            </a:lnSpc>
            <a:spcBef>
              <a:spcPts val="0"/>
            </a:spcBef>
            <a:spcAft>
              <a:spcPts val="0"/>
            </a:spcAft>
            <a:buClrTx/>
            <a:buSzTx/>
            <a:buFontTx/>
            <a:buNone/>
            <a:tabLst/>
            <a:defRPr/>
          </a:pPr>
          <a:r>
            <a:rPr kumimoji="0" lang="de-CH" sz="800" b="0" i="0" u="none" strike="noStrike" kern="0" cap="none" spc="0" normalizeH="0" baseline="0" noProof="0">
              <a:ln>
                <a:noFill/>
              </a:ln>
              <a:solidFill>
                <a:srgbClr val="000000"/>
              </a:solidFill>
              <a:effectLst/>
              <a:uLnTx/>
              <a:uFillTx/>
              <a:latin typeface="Arial"/>
              <a:ea typeface="+mn-ea"/>
              <a:cs typeface="Arial"/>
            </a:rPr>
            <a:t>Der Lehrstellenmarkt hat sich weiterhin entspannt. Trotzdem haben gewisse Jugendliche nach wie vor Schwierigkeiten eine Lehrstelle zu finden. Gründe sind die zunehmenden Mehrfachprobleme bei den Jugendlichen und steigende Anforderungen von Seiten der Wirtschaft und der Berufsbildung.</a:t>
          </a:r>
        </a:p>
        <a:p>
          <a:pPr marL="0" marR="0" lvl="0" indent="0" defTabSz="914400" eaLnBrk="1" fontAlgn="auto" latinLnBrk="0" hangingPunct="1">
            <a:lnSpc>
              <a:spcPct val="100000"/>
            </a:lnSpc>
            <a:spcBef>
              <a:spcPts val="0"/>
            </a:spcBef>
            <a:spcAft>
              <a:spcPts val="0"/>
            </a:spcAft>
            <a:buClrTx/>
            <a:buSzTx/>
            <a:buFontTx/>
            <a:buNone/>
            <a:tabLst/>
            <a:defRPr/>
          </a:pPr>
          <a:r>
            <a:rPr kumimoji="0" lang="de-CH" sz="800" b="0" i="0" u="none" strike="noStrike" kern="0" cap="none" spc="0" normalizeH="0" baseline="0" noProof="0">
              <a:ln>
                <a:noFill/>
              </a:ln>
              <a:solidFill>
                <a:srgbClr val="000000"/>
              </a:solidFill>
              <a:effectLst/>
              <a:uLnTx/>
              <a:uFillTx/>
              <a:latin typeface="Arial"/>
              <a:ea typeface="+mn-ea"/>
              <a:cs typeface="Arial"/>
            </a:rPr>
            <a:t>In das [to do] treten vermehrt junge Erwachsene ein, welche die Voraussetzungen für eine Berufsausbildung wegen schulischen Schwierigkeiten oder wegen ihrem Arbeitsverhalten noch nicht erfüllen. Diese Gruppe muss mit gezielten, stark individualisierten Massnahmen unterstützt werden, damit eine berufliche Integration möglich wird. </a:t>
          </a:r>
        </a:p>
        <a:p>
          <a:pPr marL="0" marR="0" lvl="0" indent="0" defTabSz="914400" eaLnBrk="1" fontAlgn="auto" latinLnBrk="0" hangingPunct="1">
            <a:lnSpc>
              <a:spcPct val="100000"/>
            </a:lnSpc>
            <a:spcBef>
              <a:spcPts val="0"/>
            </a:spcBef>
            <a:spcAft>
              <a:spcPts val="0"/>
            </a:spcAft>
            <a:buClrTx/>
            <a:buSzTx/>
            <a:buFontTx/>
            <a:buNone/>
            <a:tabLst/>
            <a:defRPr/>
          </a:pPr>
          <a:r>
            <a:rPr kumimoji="0" lang="de-CH" sz="800" b="0" i="0" u="none" strike="noStrike" kern="0" cap="none" spc="0" normalizeH="0" baseline="0" noProof="0">
              <a:ln>
                <a:noFill/>
              </a:ln>
              <a:solidFill>
                <a:srgbClr val="000000"/>
              </a:solidFill>
              <a:effectLst/>
              <a:uLnTx/>
              <a:uFillTx/>
              <a:latin typeface="Arial"/>
              <a:ea typeface="+mn-ea"/>
              <a:cs typeface="Arial"/>
            </a:rPr>
            <a:t>Am 1. Mai 2011 hat das KA erfolgreich ein Projekt für junge, sozialhilfeberechtigte Mütter ohne berufliche Grundbildung lanciert. Das neue Angebot soll die Chance der jungen Frauen erhöhen, in den Arbeitsmarkt integriert zu werden. Es ist Teil der Strategien zur Förderung der beruflichen und sozialen Integration der Stadt Bern von 2010 bis 2013. Das Angebot ermöglicht jungen Müttern zwischen 16 und 25 Jahren den Einstieg in die Berufswelt mit dem Ziel, sich von der Sozialhilfe zu lösen und langfristig ein finanziell eigenständiges Leben zu führen. Das Projekt wurde in enger Zusammenarbeit mit bereits bestehenden Angeboten der beruflichen Integration und der Elternunterstützung entwickelt.</a:t>
          </a:r>
        </a:p>
        <a:p>
          <a:pPr marL="0" marR="0" lvl="0" indent="0" defTabSz="914400" eaLnBrk="1" fontAlgn="auto" latinLnBrk="0" hangingPunct="1">
            <a:lnSpc>
              <a:spcPts val="960"/>
            </a:lnSpc>
            <a:spcBef>
              <a:spcPts val="0"/>
            </a:spcBef>
            <a:spcAft>
              <a:spcPts val="0"/>
            </a:spcAft>
            <a:buClrTx/>
            <a:buSzTx/>
            <a:buFontTx/>
            <a:buNone/>
            <a:tabLst/>
            <a:defRPr/>
          </a:pPr>
          <a:r>
            <a:rPr kumimoji="0" lang="de-CH" sz="800" b="1" i="0" u="none" strike="noStrike" kern="0" cap="none" spc="0" normalizeH="0" baseline="0" noProof="0">
              <a:ln>
                <a:noFill/>
              </a:ln>
              <a:solidFill>
                <a:srgbClr val="000000"/>
              </a:solidFill>
              <a:effectLst/>
              <a:uLnTx/>
              <a:uFillTx/>
              <a:latin typeface="Arial"/>
              <a:ea typeface="+mn-ea"/>
              <a:cs typeface="Arial"/>
            </a:rPr>
            <a:t>Arbeitslosigkeit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800" b="0" i="0" u="none" strike="noStrike" kern="0" cap="none" spc="0" normalizeH="0" baseline="0" noProof="0">
              <a:ln>
                <a:noFill/>
              </a:ln>
              <a:solidFill>
                <a:srgbClr val="000000"/>
              </a:solidFill>
              <a:effectLst/>
              <a:uLnTx/>
              <a:uFillTx/>
              <a:latin typeface="Arial"/>
              <a:ea typeface="+mn-ea"/>
              <a:cs typeface="Arial"/>
            </a:rPr>
            <a:t>Aufgrund der AVIG-Revision vom April 2011 und den damit rückläufigen Arbeitslosenzahlen, nahm die Belegung bei den "Programmen zur vorübergehenden Beschäftigung (PvB)" vorübergehend stark ab. Die Lage hat sich im Monat Juni stabilisiert. Die konjunkturelle Entwicklung für das Jahr 2012 wird eher wieder pessimistisch beurteilt. </a:t>
          </a:r>
          <a:br>
            <a:rPr kumimoji="0" lang="de-CH" sz="800" b="0" i="0" u="none" strike="noStrike" kern="0" cap="none" spc="0" normalizeH="0" baseline="0" noProof="0">
              <a:ln>
                <a:noFill/>
              </a:ln>
              <a:solidFill>
                <a:srgbClr val="000000"/>
              </a:solidFill>
              <a:effectLst/>
              <a:uLnTx/>
              <a:uFillTx/>
              <a:latin typeface="Arial"/>
              <a:ea typeface="+mn-ea"/>
              <a:cs typeface="Arial"/>
            </a:rPr>
          </a:br>
          <a:r>
            <a:rPr kumimoji="0" lang="de-CH" sz="800" b="1" i="0" u="none" strike="noStrike" kern="0" cap="none" spc="0" normalizeH="0" baseline="0" noProof="0">
              <a:ln>
                <a:noFill/>
              </a:ln>
              <a:solidFill>
                <a:srgbClr val="000000"/>
              </a:solidFill>
              <a:effectLst/>
              <a:uLnTx/>
              <a:uFillTx/>
              <a:latin typeface="Arial"/>
              <a:ea typeface="+mn-ea"/>
              <a:cs typeface="Arial"/>
            </a:rPr>
            <a:t>Langzeitarbeitslosigkeit</a:t>
          </a:r>
        </a:p>
        <a:p>
          <a:pPr marL="0" marR="0" lvl="0" indent="0" defTabSz="914400" eaLnBrk="1" fontAlgn="auto" latinLnBrk="0" hangingPunct="1">
            <a:lnSpc>
              <a:spcPct val="100000"/>
            </a:lnSpc>
            <a:spcBef>
              <a:spcPts val="0"/>
            </a:spcBef>
            <a:spcAft>
              <a:spcPts val="0"/>
            </a:spcAft>
            <a:buClrTx/>
            <a:buSzTx/>
            <a:buFontTx/>
            <a:buNone/>
            <a:tabLst/>
            <a:defRPr/>
          </a:pPr>
          <a:r>
            <a:rPr kumimoji="0" lang="de-CH" sz="800" b="0" i="0" u="none" strike="noStrike" kern="0" cap="none" spc="0" normalizeH="0" baseline="0" noProof="0">
              <a:ln>
                <a:noFill/>
              </a:ln>
              <a:solidFill>
                <a:srgbClr val="000000"/>
              </a:solidFill>
              <a:effectLst/>
              <a:uLnTx/>
              <a:uFillTx/>
              <a:latin typeface="Arial"/>
              <a:ea typeface="+mn-ea"/>
              <a:cs typeface="Arial"/>
            </a:rPr>
            <a:t>In diesem Bereich sind die Halbjahreszahlen der Teilnehmenden an den Beschäftigungs- und Integrationsangeboten der Sozialhilfe (BIAS) vergleichbar mit jenen vor einem Jahr. Dies deutet darauf hin, dass die Zunahme der aufgrund der AVIG-Revision ausgesteuerten Personen bis zu einem gewissen Grad durch die positiven konjunkturellen Entwicklungen aufgefangen wird. Die Arbeits- und Langzeitarbeitslosen finden eher wieder eine Stelle im Arbeitsmarkt. Über die Auswirkungen der AVIG-Revision kann Ende 2011 Bilanz gezogen werden.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800" b="0" i="0" u="none" strike="noStrike" kern="0" cap="none" spc="0" normalizeH="0" baseline="0" noProof="0">
              <a:ln>
                <a:noFill/>
              </a:ln>
              <a:solidFill>
                <a:srgbClr val="000000"/>
              </a:solidFill>
              <a:effectLst/>
              <a:uLnTx/>
              <a:uFillTx/>
              <a:latin typeface="Arial"/>
              <a:ea typeface="+mn-ea"/>
              <a:cs typeface="Arial"/>
            </a:rPr>
            <a:t>Es ist weiterhin damit zu rechnen, dass durch die globale Konkurrenz und die Positionierung der Schweizer Wirtschaft im Bereich qualitativ hochstehender Produkte und Dienstleistungen, Menschen mit geringer beruflicher Qualifikation grössere Schwierigkeiten haben, ihre Arbeitsstellen zu halten oder neue Anstellungen zu finden. </a:t>
          </a:r>
          <a:endParaRPr kumimoji="0" lang="de-CH" sz="8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kumimoji="0" lang="de-CH" sz="8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Sparmassnahmen (Portfolioanalyse): </a:t>
          </a:r>
        </a:p>
        <a:p>
          <a:pPr marL="0" marR="0" lvl="0" indent="0" defTabSz="914400" eaLnBrk="1" fontAlgn="auto" latinLnBrk="0" hangingPunct="1">
            <a:lnSpc>
              <a:spcPct val="100000"/>
            </a:lnSpc>
            <a:spcBef>
              <a:spcPts val="0"/>
            </a:spcBef>
            <a:spcAft>
              <a:spcPts val="0"/>
            </a:spcAft>
            <a:buClrTx/>
            <a:buSzTx/>
            <a:buFontTx/>
            <a:buNone/>
            <a:tabLst/>
            <a:defRPr/>
          </a:pPr>
          <a:r>
            <a:rPr kumimoji="0" lang="de-CH" sz="8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Die Sparmassnahmen aus dem Budget 2012 wurden im Planjahr 2013 fortgeschrieben: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800" b="0" i="0" u="none" strike="noStrike" kern="0" cap="none" spc="0" normalizeH="0" baseline="0" noProof="0">
              <a:ln>
                <a:noFill/>
              </a:ln>
              <a:solidFill>
                <a:srgbClr val="000000"/>
              </a:solidFill>
              <a:effectLst/>
              <a:uLnTx/>
              <a:uFillTx/>
              <a:latin typeface="Arial"/>
              <a:ea typeface="+mn-ea"/>
              <a:cs typeface="Arial"/>
            </a:rPr>
            <a:t>Die Sparvorgabe von Fr. 80'000.00 im Bereich der Jungen Erwachsenen erfordert zusätzliche Drittmittel. Ohne diese, wird aufgrund der Arbeitsmarktlage, der Entwicklung des Lehrstellenmarkts und der Arbeitslosenzahlen bei jungen Erwachsenen entschieden, welche der geplanten Massnahmen und Angebote gestrichen werden. </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CH" sz="8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800" b="0" i="0" u="none" strike="noStrike" kern="0" cap="none" spc="0" normalizeH="0" baseline="0" noProof="0">
              <a:ln>
                <a:noFill/>
              </a:ln>
              <a:solidFill>
                <a:sysClr val="windowText" lastClr="000000"/>
              </a:solidFill>
              <a:effectLst/>
              <a:uLnTx/>
              <a:uFillTx/>
              <a:latin typeface="Arial"/>
              <a:ea typeface="+mn-ea"/>
              <a:cs typeface="Arial"/>
            </a:rPr>
            <a:t>Das Projekt Testarbeitsplätze (TAP) wird im Auftrag der GEF realisiert und wird durch den Kanton Bern direkt finanziert. </a:t>
          </a:r>
          <a:endParaRPr lang="de-CH" sz="800" b="0" i="0" u="none" strike="noStrike" baseline="0">
            <a:solidFill>
              <a:srgbClr val="000000"/>
            </a:solidFill>
            <a:latin typeface="Arial"/>
            <a:cs typeface="Arial"/>
          </a:endParaRPr>
        </a:p>
      </xdr:txBody>
    </xdr:sp>
    <xdr:clientData/>
  </xdr:twoCellAnchor>
  <xdr:twoCellAnchor>
    <xdr:from>
      <xdr:col>0</xdr:col>
      <xdr:colOff>1</xdr:colOff>
      <xdr:row>3610</xdr:row>
      <xdr:rowOff>104776</xdr:rowOff>
    </xdr:from>
    <xdr:to>
      <xdr:col>8</xdr:col>
      <xdr:colOff>0</xdr:colOff>
      <xdr:row>3624</xdr:row>
      <xdr:rowOff>133322</xdr:rowOff>
    </xdr:to>
    <xdr:sp macro="" textlink="">
      <xdr:nvSpPr>
        <xdr:cNvPr id="248" name="Text Box 7"/>
        <xdr:cNvSpPr txBox="1">
          <a:spLocks noChangeArrowheads="1"/>
        </xdr:cNvSpPr>
      </xdr:nvSpPr>
      <xdr:spPr bwMode="auto">
        <a:xfrm>
          <a:off x="1" y="507606301"/>
          <a:ext cx="6657974" cy="200022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lang="de-CH" sz="800" b="0" i="0" u="none" strike="noStrike" baseline="0">
              <a:solidFill>
                <a:srgbClr val="000000"/>
              </a:solidFill>
              <a:latin typeface="Arial"/>
              <a:cs typeface="Arial"/>
            </a:rPr>
            <a:t>Gezielte </a:t>
          </a:r>
          <a:r>
            <a:rPr kumimoji="0" lang="de-CH" sz="800" b="0" i="0" u="none" strike="noStrike" kern="0" cap="none" spc="0" normalizeH="0" baseline="0" noProof="0">
              <a:ln>
                <a:noFill/>
              </a:ln>
              <a:solidFill>
                <a:srgbClr val="000000"/>
              </a:solidFill>
              <a:effectLst/>
              <a:uLnTx/>
              <a:uFillTx/>
              <a:latin typeface="Arial"/>
              <a:ea typeface="+mn-ea"/>
              <a:cs typeface="Arial"/>
            </a:rPr>
            <a:t>Massnahmen für ausbildungs- und arbeitslose Jugendliche und junge Erwachsene mit dem Ziel der nachhaltigen beruflichen Integration; Institutionalisierung spezifischer Aktivierungs- und Integrationsmassnahmen für junge Erwachsene (18 - 25-Jährige), welche über einen längeren Zeitraum erwerbslos waren, sowie Ausbau des ergänzenden Arbeitsmarktes für Sozialhilfeempfangende mit dem Ziel der beruflichen und/oder sozialen Integration. Diese Massnahmen werden in enger Zusammenarbeit mit dem Sozialdienst und aufgrund einer Bedarfsanalyse entwickelt und umgesetzt.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800" b="0" i="0" u="none" strike="noStrike" kern="0" cap="none" spc="0" normalizeH="0" baseline="0" noProof="0">
              <a:ln>
                <a:noFill/>
              </a:ln>
              <a:solidFill>
                <a:srgbClr val="000000"/>
              </a:solidFill>
              <a:effectLst/>
              <a:uLnTx/>
              <a:uFillTx/>
              <a:latin typeface="Arial"/>
              <a:ea typeface="+mn-ea"/>
              <a:cs typeface="Arial"/>
            </a:rPr>
            <a:t>Im Rahmen der aktuell laufenden Revision des Gesetzes betreffend Finanz- und Lastenausgleich (FILAG) und der indirekten Änderungen des Sozialhilfe-Gesetzes (SHG) plant die Gesundheits- und Fürsorgedirektion des Kantons Bern (GEF) die Beschäftigungs- und Integrationsangebote der Sozialhilfe ab 2012 direkt zu finanzieren. Die konkreten Auswirkungen der Einführung der Direktfinanzierung durch den Kanton werden sich bei der Umsetzung ab Januar 2012 zeigen. Für den Voranschlag 2012 wurde ein Kantonsbeitrag der GEF von Fr. 5'258'000.00 eingestellt. Dieser Betrag entspricht der bisherigen Abrechnung (Basis 2010) mit einer zusätzlichen erwarteten Teuerung von 1%.</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800" b="0" i="0" u="none" strike="noStrike" kern="0" cap="none" spc="0" normalizeH="0" baseline="0" noProof="0">
              <a:ln>
                <a:noFill/>
              </a:ln>
              <a:solidFill>
                <a:srgbClr val="000000"/>
              </a:solidFill>
              <a:effectLst/>
              <a:uLnTx/>
              <a:uFillTx/>
              <a:latin typeface="Arial"/>
              <a:ea typeface="+mn-ea"/>
              <a:cs typeface="Arial"/>
            </a:rPr>
            <a:t>Die Kosten und Erlöse für die Testarbeitsplätze (TAP) werden gemäss Voranschlag 2012 mit je Fr. 677'365.00 fortgeschrieben.</a:t>
          </a:r>
          <a:endParaRPr kumimoji="0" lang="de-CH" sz="800" b="1" i="0" u="none" strike="noStrike" kern="0" cap="none" spc="0" normalizeH="0" baseline="0" noProof="0">
            <a:ln>
              <a:noFill/>
            </a:ln>
            <a:solidFill>
              <a:srgbClr val="C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800" b="0" i="0" u="none" strike="noStrike" kern="0" cap="none" spc="0" normalizeH="0" baseline="0" noProof="0">
              <a:ln>
                <a:noFill/>
              </a:ln>
              <a:solidFill>
                <a:srgbClr val="000000"/>
              </a:solidFill>
              <a:effectLst/>
              <a:uLnTx/>
              <a:uFillTx/>
              <a:latin typeface="Arial"/>
              <a:ea typeface="+mn-ea"/>
              <a:cs typeface="Arial"/>
            </a:rPr>
            <a:t>Die Massnahmen im Rahmen der Strategien zur Förderung der beruflichen und sozialen Integration in der Stadt Bern 2010-2013 sind im vorliegenden IAFP enthalten.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800" b="0" i="0" u="none" strike="noStrike" kern="0" cap="none" spc="0" normalizeH="0" baseline="0" noProof="0">
              <a:ln>
                <a:noFill/>
              </a:ln>
              <a:solidFill>
                <a:srgbClr val="000000"/>
              </a:solidFill>
              <a:effectLst/>
              <a:uLnTx/>
              <a:uFillTx/>
              <a:latin typeface="Arial"/>
              <a:ea typeface="+mn-ea"/>
              <a:cs typeface="Arial"/>
            </a:rPr>
            <a:t>Ab dem Planjahr 2015 wird eine Velostation bei der neuen Schanzenpost in Betrieb genommen. Die Betriebskosten werden Fr. 318'000.00 betragen und der internen Verrechnung an die Direktion für Tiefbau, Verkehr und Stadtgrün entsprechen.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CH" sz="800" b="0" i="0" u="none" strike="noStrike" kern="0" cap="none" spc="0" normalizeH="0" baseline="0" noProof="0">
            <a:ln>
              <a:noFill/>
            </a:ln>
            <a:solidFill>
              <a:srgbClr val="000000"/>
            </a:solidFill>
            <a:effectLst/>
            <a:uLnTx/>
            <a:uFillTx/>
            <a:latin typeface="Arial"/>
            <a:ea typeface="+mn-ea"/>
            <a:cs typeface="Arial"/>
          </a:endParaRPr>
        </a:p>
        <a:p>
          <a:pPr algn="l" rtl="0">
            <a:lnSpc>
              <a:spcPts val="800"/>
            </a:lnSpc>
            <a:defRPr sz="1000"/>
          </a:pPr>
          <a:endParaRPr lang="de-CH" sz="800" b="0" i="0" u="none" strike="noStrike" baseline="0">
            <a:solidFill>
              <a:srgbClr val="000000"/>
            </a:solidFill>
            <a:latin typeface="Arial"/>
            <a:cs typeface="Arial"/>
          </a:endParaRPr>
        </a:p>
      </xdr:txBody>
    </xdr:sp>
    <xdr:clientData/>
  </xdr:twoCellAnchor>
  <xdr:twoCellAnchor>
    <xdr:from>
      <xdr:col>0</xdr:col>
      <xdr:colOff>9525</xdr:colOff>
      <xdr:row>3664</xdr:row>
      <xdr:rowOff>9526</xdr:rowOff>
    </xdr:from>
    <xdr:to>
      <xdr:col>8</xdr:col>
      <xdr:colOff>0</xdr:colOff>
      <xdr:row>3666</xdr:row>
      <xdr:rowOff>7620</xdr:rowOff>
    </xdr:to>
    <xdr:sp macro="" textlink="">
      <xdr:nvSpPr>
        <xdr:cNvPr id="249" name="Text Box 9"/>
        <xdr:cNvSpPr txBox="1">
          <a:spLocks noChangeArrowheads="1"/>
        </xdr:cNvSpPr>
      </xdr:nvSpPr>
      <xdr:spPr bwMode="auto">
        <a:xfrm>
          <a:off x="9525" y="513997576"/>
          <a:ext cx="6648450" cy="28384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3636</xdr:row>
      <xdr:rowOff>0</xdr:rowOff>
    </xdr:from>
    <xdr:to>
      <xdr:col>8</xdr:col>
      <xdr:colOff>0</xdr:colOff>
      <xdr:row>3640</xdr:row>
      <xdr:rowOff>167640</xdr:rowOff>
    </xdr:to>
    <xdr:sp macro="" textlink="">
      <xdr:nvSpPr>
        <xdr:cNvPr id="250" name="Text Box 10"/>
        <xdr:cNvSpPr txBox="1">
          <a:spLocks noChangeArrowheads="1"/>
        </xdr:cNvSpPr>
      </xdr:nvSpPr>
      <xdr:spPr bwMode="auto">
        <a:xfrm>
          <a:off x="0" y="509901825"/>
          <a:ext cx="6657975" cy="67246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960"/>
            </a:lnSpc>
            <a:defRPr sz="1000"/>
          </a:pPr>
          <a:r>
            <a:rPr lang="de-CH" sz="800" b="0" i="0" u="none" strike="noStrike" baseline="0">
              <a:solidFill>
                <a:srgbClr val="000000"/>
              </a:solidFill>
              <a:latin typeface="Arial"/>
              <a:cs typeface="Arial"/>
            </a:rPr>
            <a:t>Bund: Bundesamt für Berufsbildung und Technologie (BBT); Kanton: Volkswirtschaftsdirektion / Berner Wirtschaft beco / RAV Region Bern-Mittelland; Gesundheits- und Fürsorgedirektion (GEF) / Sozialamt; Erziehungsdirektion / Mittelschul- und Berufsbildungsamt; IV Invalidenversicherung; Gemeinden: Sozialdienste Stadt Bern und Region Bern-Mittelland; Sozialpartner; Organisationen der Arbeitswelt; KlientInnen: ausbildungs- und arbeitslose Menschen (Zuweisungen RAV und Sozialdienste)</a:t>
          </a:r>
        </a:p>
      </xdr:txBody>
    </xdr:sp>
    <xdr:clientData/>
  </xdr:twoCellAnchor>
  <xdr:twoCellAnchor>
    <xdr:from>
      <xdr:col>0</xdr:col>
      <xdr:colOff>0</xdr:colOff>
      <xdr:row>3566</xdr:row>
      <xdr:rowOff>0</xdr:rowOff>
    </xdr:from>
    <xdr:to>
      <xdr:col>8</xdr:col>
      <xdr:colOff>0</xdr:colOff>
      <xdr:row>3570</xdr:row>
      <xdr:rowOff>0</xdr:rowOff>
    </xdr:to>
    <xdr:sp macro="" textlink="">
      <xdr:nvSpPr>
        <xdr:cNvPr id="251" name="Text Box 11"/>
        <xdr:cNvSpPr txBox="1">
          <a:spLocks noChangeArrowheads="1"/>
        </xdr:cNvSpPr>
      </xdr:nvSpPr>
      <xdr:spPr bwMode="auto">
        <a:xfrm>
          <a:off x="0" y="501224550"/>
          <a:ext cx="6657975" cy="7048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rtl="0"/>
          <a:r>
            <a:rPr lang="de-CH" sz="800" b="0" i="0" baseline="0">
              <a:effectLst/>
              <a:latin typeface="Arial" pitchFamily="34" charset="0"/>
              <a:ea typeface="+mn-ea"/>
              <a:cs typeface="Arial" pitchFamily="34" charset="0"/>
            </a:rPr>
            <a:t>Legislaturziel 5.2: Bern eröffnet Lebens- und Entfaltungschanchen für Schichten und Generationen / Massnahme 1: / Indikatoren: 1.1 Neue niederschwellige Ausbildungsangebote (Bekämpfung Jugendarbeitslosigkeit) sind entwickelt / 1.2 Die Stadt Bern schafft mind. 10 Praktikumsplätze für BerufseinsteigerInnen, falls notwendig / 1.3 Die Strategie zur Förderung beruflicher und sozialer Integration ist verabschiedet / 1.4 Es stehen bedarfsgerechte Angebote zur beruflichen Integration zur Verfügung</a:t>
          </a:r>
          <a:endParaRPr lang="de-CH" sz="800">
            <a:effectLst/>
            <a:latin typeface="Arial" pitchFamily="34" charset="0"/>
            <a:cs typeface="Arial" pitchFamily="34" charset="0"/>
          </a:endParaRPr>
        </a:p>
      </xdr:txBody>
    </xdr:sp>
    <xdr:clientData/>
  </xdr:twoCellAnchor>
  <xdr:twoCellAnchor>
    <xdr:from>
      <xdr:col>0</xdr:col>
      <xdr:colOff>0</xdr:colOff>
      <xdr:row>3694</xdr:row>
      <xdr:rowOff>0</xdr:rowOff>
    </xdr:from>
    <xdr:to>
      <xdr:col>8</xdr:col>
      <xdr:colOff>0</xdr:colOff>
      <xdr:row>3708</xdr:row>
      <xdr:rowOff>0</xdr:rowOff>
    </xdr:to>
    <xdr:sp macro="" textlink="">
      <xdr:nvSpPr>
        <xdr:cNvPr id="252" name="Text Box 6"/>
        <xdr:cNvSpPr txBox="1">
          <a:spLocks noChangeArrowheads="1"/>
        </xdr:cNvSpPr>
      </xdr:nvSpPr>
      <xdr:spPr bwMode="auto">
        <a:xfrm>
          <a:off x="0" y="518407650"/>
          <a:ext cx="6667500" cy="30861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Die Volksschule hat sich als Abbild unserer Gesellschaft den stetigen Veränderungen anzupassen. Das Ziel der Chancengleichheit der Schülerinnen und Schüler ist  nach wie vor zentral.  Umfassende und systematische Frühförderung ist gerade in diesem Zusammenhang sehr wichtig. Die Sprache ist der Schlüssel zur Integration. Es besteht zudem ein enger Zusammenhang zwischen sozialer Herkunft und schulischer Leistung.  </a:t>
          </a:r>
        </a:p>
        <a:p>
          <a:pPr algn="l" rtl="0">
            <a:defRPr sz="1000"/>
          </a:pPr>
          <a:r>
            <a:rPr lang="de-CH" sz="800" b="0" i="0" u="none" strike="noStrike" baseline="0">
              <a:solidFill>
                <a:srgbClr val="000000"/>
              </a:solidFill>
              <a:latin typeface="Arial"/>
              <a:cs typeface="Arial"/>
            </a:rPr>
            <a:t>In den kommenden Jahren werden verschiedene grundlegende Änderungen im Volksschulbereich realisiert werden. Das interkantonale Konkordat zur Harmonisierung der Volksschule, dem der Kanton Bern beigetreten ist, führt dazu, dass der Kindergarten ab Schuljahr 2013 obligatorisch wird. Ab Schuljahr 2014 soll ausserdem der neue deutschsprachige Lehrplan 21 in Kraft gesetzt werden. Aus diesen Gründen wird das kantonale Volksschulgesetz teilrevidiert. Im August 2013 sollen die Änderungen in Kraft gesetzt werden. Wichtigste Elemente davon sind die Einführung des Kindergartenobligatoriums, die Möglichkeit für Gemeinden, die Basisstufe einzuführen, sowie eine gesetzliche Grundlage für Staatsbeiträge an die Schulsozialarbeit.</a:t>
          </a:r>
        </a:p>
        <a:p>
          <a:pPr algn="l" rtl="0">
            <a:defRPr sz="1000"/>
          </a:pPr>
          <a:r>
            <a:rPr lang="de-CH" sz="800" b="0" i="0" u="none" strike="noStrike" baseline="0">
              <a:solidFill>
                <a:srgbClr val="000000"/>
              </a:solidFill>
              <a:latin typeface="Arial"/>
              <a:cs typeface="Arial"/>
            </a:rPr>
            <a:t>Im Zusammenhang mit der Inkraftsetzung des teilrevidierten Gesetzes über den Finanz- und Lastenausgleich haben die Gemeinden</a:t>
          </a:r>
        </a:p>
        <a:p>
          <a:pPr algn="l" rtl="0">
            <a:defRPr sz="1000"/>
          </a:pPr>
          <a:r>
            <a:rPr lang="de-CH" sz="800" b="0" i="0" u="none" strike="noStrike" baseline="0">
              <a:solidFill>
                <a:srgbClr val="000000"/>
              </a:solidFill>
              <a:latin typeface="Arial"/>
              <a:cs typeface="Arial"/>
            </a:rPr>
            <a:t>ab 1. August 2012 mehr Verantwortung in der Finanzierung der Volksschule zu übernehmen. Entgegen der Tendenz im übrigen Kanton ist in der Stadt Bern in den kommenden Jahren mit steigenden Schülerinnen- und Schülerzahlen zu rechnen. Mit der Einführung des obligatorischen Kindergartens und der gleichzeitigen Verschiebung des Stichdatums für den Kindergarteneintritt um 3 Monate werden sich die Schülerinnen- und Schülerzahlen zusätzlich erhöhen. Mit der Einführung des Frühfremdsprachenunterrichts ab Schuljahr 2011 wird die Lektionenzahl für Schülerinnen und Schüler um 2 Lektionen erhöht. Damit verbunden ist die Erhöhung des Sachaufwands für Einweglehrmittel.</a:t>
          </a:r>
        </a:p>
        <a:p>
          <a:pPr algn="l" rtl="0">
            <a:defRPr sz="1000"/>
          </a:pPr>
          <a:endParaRPr lang="de-CH" sz="800" b="0" i="0" u="none" strike="noStrike" baseline="0">
            <a:solidFill>
              <a:srgbClr val="000000"/>
            </a:solidFill>
            <a:latin typeface="Arial"/>
            <a:cs typeface="Arial"/>
          </a:endParaRPr>
        </a:p>
        <a:p>
          <a:pPr algn="l" rtl="0">
            <a:defRPr sz="1000"/>
          </a:pPr>
          <a:r>
            <a:rPr lang="de-CH" sz="800" b="0" i="0" u="none" strike="noStrike" baseline="0">
              <a:solidFill>
                <a:srgbClr val="000000"/>
              </a:solidFill>
              <a:latin typeface="Arial"/>
              <a:cs typeface="Arial"/>
            </a:rPr>
            <a:t>Sämtliche Massnahmen aus der Portfolioanalyse wurden wie geplant im 2012 umgesetzt. Die Einsparungen aus dem FILAG werden untenstehend aufgezeigt.</a:t>
          </a:r>
        </a:p>
        <a:p>
          <a:pPr algn="l" rtl="0">
            <a:defRPr sz="1000"/>
          </a:pPr>
          <a:endParaRPr lang="de-CH" sz="800" b="0" i="0" u="none" strike="noStrike" baseline="0">
            <a:solidFill>
              <a:srgbClr val="000000"/>
            </a:solidFill>
            <a:latin typeface="Arial"/>
            <a:cs typeface="Arial"/>
          </a:endParaRPr>
        </a:p>
        <a:p>
          <a:pPr algn="l" rtl="0">
            <a:defRPr sz="1000"/>
          </a:pPr>
          <a:r>
            <a:rPr lang="de-CH" sz="800" b="0" i="0" u="none" strike="noStrike" baseline="0">
              <a:solidFill>
                <a:srgbClr val="000000"/>
              </a:solidFill>
              <a:latin typeface="Arial"/>
              <a:cs typeface="Arial"/>
            </a:rPr>
            <a:t>Die Folgen der durch den Grossen Rat im Rahmen des Entlastungspakets im November 2011 beschlossenen Reduktion der Lektionenzahl in der Volksschule wurden mit jährlich geschätzten Fr. 730'000 berücksichtigt.</a:t>
          </a:r>
        </a:p>
        <a:p>
          <a:pPr algn="l" rtl="0">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3710</xdr:row>
      <xdr:rowOff>0</xdr:rowOff>
    </xdr:from>
    <xdr:to>
      <xdr:col>8</xdr:col>
      <xdr:colOff>0</xdr:colOff>
      <xdr:row>3736</xdr:row>
      <xdr:rowOff>123825</xdr:rowOff>
    </xdr:to>
    <xdr:sp macro="" textlink="">
      <xdr:nvSpPr>
        <xdr:cNvPr id="253" name="Text Box 7"/>
        <xdr:cNvSpPr txBox="1">
          <a:spLocks noChangeArrowheads="1"/>
        </xdr:cNvSpPr>
      </xdr:nvSpPr>
      <xdr:spPr bwMode="auto">
        <a:xfrm>
          <a:off x="0" y="521798550"/>
          <a:ext cx="6662738" cy="36957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Die Volksschulen (VS) der Stadt Bern stehen inmitten von grossen Herausforderungen, wie der Umsetzung des Integrationsartikels (Artikel 17 Volksschulgesetz), der Einführung des Frühfremdsprachenunterrichts (Frühfranzösisch ab dem 3. Schuljahr, Frühenglisch ab dem 5. Schuljahr), der Einführung des Kindergartenobligatoriums und der Einführung der Basisstufe. Ausserdem hat der Stadtrat den Auftrag erteilt, ihm vor den Sommerferien eine Schulreglementsrevision mit einer Einheitskommission resp. einer Zentralschulkommission vorzulegen.</a:t>
          </a:r>
        </a:p>
        <a:p>
          <a:pPr algn="l" rtl="0">
            <a:defRPr sz="1000"/>
          </a:pPr>
          <a:r>
            <a:rPr lang="de-CH" sz="800" b="0" i="0" u="none" strike="noStrike" baseline="0">
              <a:solidFill>
                <a:srgbClr val="000000"/>
              </a:solidFill>
              <a:latin typeface="Arial"/>
              <a:cs typeface="Arial"/>
            </a:rPr>
            <a:t>Die Weiterentwicklung der Volksschule orientiert sich an der  Umsetzung der städtischen Bildungsstrategie. Das Integrationskonzept bildet die Grundlage für die Umsetzung einer integrativen Schule. Ab Schuljahr 2011/12 wurde Frühfranzösisch ab dem 3. Schuljahr eingeführt. base4kids bildet die Grundlage für die systematische Einführung der IC-Technologie in der Schule zur Stärkung der Medienkompetenzen. Ziel der Volksschule ist, dass alle Schülerinnen und Schüler am Ende der obligatorischen Schulzeit eine Anschlusslösung haben. Die Stadt engagiert sich hier für besondere Begleitangebote wie incluso und Kamäleon. </a:t>
          </a:r>
        </a:p>
        <a:p>
          <a:pPr algn="l" rtl="0">
            <a:defRPr sz="1000"/>
          </a:pPr>
          <a:endParaRPr lang="de-CH" sz="800" b="0" i="0" u="none" strike="noStrike" baseline="0">
            <a:solidFill>
              <a:srgbClr val="000000"/>
            </a:solidFill>
            <a:latin typeface="Arial"/>
            <a:cs typeface="Arial"/>
          </a:endParaRPr>
        </a:p>
        <a:p>
          <a:pPr algn="l" rtl="0">
            <a:defRPr sz="1000"/>
          </a:pPr>
          <a:r>
            <a:rPr lang="de-CH" sz="800" b="0" i="0" u="none" strike="noStrike" baseline="0">
              <a:solidFill>
                <a:srgbClr val="000000"/>
              </a:solidFill>
              <a:latin typeface="Arial"/>
              <a:cs typeface="Arial"/>
            </a:rPr>
            <a:t>Neue Aufgaben: Zusätzliche Mietfolgekosten, inklusive Heiz- und Betriebskosten, auf Neubestellungen wurden von den Stadtbauten Bern ab 2013 errechnet. Es handelt sich um die folgenden Projekte: Neubau VS und KG Brünnen, 2015 Fr. 908'523.00, 2016 Fr. 1'090'228.00; Neubau Turnhalle Bitzius, 2015 Fr. 85'833.00, 2016 Fr. 206'000.00; Dachausbau VS Munzinger 2013 Fr. 31'375.00, 2014-16 Fr. 75'300.00; Raumoptimierungen VS Länggasse 2015-16 Fr. 232'690.00; VS Matte, Kündigung Mietverhältnisse nach Auszug der Sprachheilschule 2016 - Fr. 90'000.00; Mehrbedarf VS Marzili, 2016: Fr. 450'000.00; Raumbedarf VS Wylergut 2013 Fr. 3'500.00, 2014-16 Fr. 42'000.00; Ersatzneubau KG Haspelweg, 2013-16 Fr. 32'233.00; </a:t>
          </a:r>
          <a:r>
            <a:rPr lang="de-CH" sz="800" b="0" i="0" baseline="0">
              <a:effectLst/>
              <a:latin typeface="Arial" pitchFamily="34" charset="0"/>
              <a:ea typeface="+mn-ea"/>
              <a:cs typeface="Arial" pitchFamily="34" charset="0"/>
            </a:rPr>
            <a:t>Mehrbedarf VS Rossfeld 2013 Fr. 17'806.00, 2014-16 Fr. 213'667.00; </a:t>
          </a:r>
          <a:r>
            <a:rPr lang="de-CH" sz="800" b="0" i="0" u="none" strike="noStrike" baseline="0">
              <a:solidFill>
                <a:srgbClr val="000000"/>
              </a:solidFill>
              <a:latin typeface="Arial"/>
              <a:cs typeface="Arial"/>
            </a:rPr>
            <a:t>Mehrbedarf Kindergarten Länggassquartier 2016 Fr. 35'052.00.Gemäss Gemeinderatsbeschluss vom 23. August 2011 wurde an der Laubeggstrasse 23  anstelle von Wohnraum für Asylsuchende, einer befristeten Nutzung (bis Mitte 2016) als Schulhaus zugestimmt.</a:t>
          </a:r>
        </a:p>
        <a:p>
          <a:pPr algn="l" rtl="0">
            <a:defRPr sz="1000"/>
          </a:pPr>
          <a:endParaRPr lang="de-CH" sz="800" b="0" i="0" u="none" strike="noStrike" baseline="0">
            <a:solidFill>
              <a:srgbClr val="000000"/>
            </a:solidFill>
            <a:latin typeface="Arial"/>
            <a:cs typeface="Arial"/>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de-CH" sz="800" b="0" i="0" u="none" strike="noStrike" baseline="0">
              <a:solidFill>
                <a:srgbClr val="000000"/>
              </a:solidFill>
              <a:latin typeface="Arial"/>
              <a:cs typeface="Arial"/>
            </a:rPr>
            <a:t>Wegen steigender Schülerinnen- und Schülerzahlen und mit dem im kantonalen Volksschulgesetz zu erwartenden Kindergartenobligatorium per 1. August 2013 ist eine Erhöhung des Sachaufwands in Kindergärten und Volksschulen und die Ausstattung von zusätzlichen Kindergärten unumgänglich. Die (voraussichtliche freiwillige) Einführung der Basisstufe wird ab 2013 weitere Kosten verursachen. </a:t>
          </a:r>
          <a:r>
            <a:rPr lang="de-CH" sz="800" b="0" i="0" u="none" strike="noStrike" baseline="0">
              <a:solidFill>
                <a:srgbClr val="000000"/>
              </a:solidFill>
              <a:latin typeface="Arial"/>
              <a:ea typeface="+mn-ea"/>
              <a:cs typeface="Arial"/>
            </a:rPr>
            <a:t>Im Rahmen der gesamtstädtischen Qualitätsentwicklung sollen für die Weiterbildung der Lehrpersonen ab 2015 Ressourcen zur Verfügung gestellt werden (pro Klasse Fr. 200.00). </a:t>
          </a:r>
        </a:p>
        <a:p>
          <a:pPr marL="0" marR="0" indent="0" algn="l" defTabSz="914400" rtl="0" eaLnBrk="1" fontAlgn="auto" latinLnBrk="0" hangingPunct="1">
            <a:lnSpc>
              <a:spcPct val="100000"/>
            </a:lnSpc>
            <a:spcBef>
              <a:spcPts val="0"/>
            </a:spcBef>
            <a:spcAft>
              <a:spcPts val="0"/>
            </a:spcAft>
            <a:buClrTx/>
            <a:buSzTx/>
            <a:buFontTx/>
            <a:buNone/>
            <a:tabLst/>
            <a:defRPr sz="1000"/>
          </a:pPr>
          <a:endParaRPr lang="de-CH" sz="800" b="0" i="0" u="none" strike="noStrike" baseline="0">
            <a:solidFill>
              <a:srgbClr val="000000"/>
            </a:solidFill>
            <a:latin typeface="Arial"/>
            <a:ea typeface="+mn-ea"/>
            <a:cs typeface="Arial"/>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de-CH" sz="800" b="0" i="0" u="none" strike="noStrike" baseline="0">
              <a:solidFill>
                <a:srgbClr val="000000"/>
              </a:solidFill>
              <a:latin typeface="Arial"/>
              <a:ea typeface="+mn-ea"/>
              <a:cs typeface="Arial"/>
            </a:rPr>
            <a:t>Weiter entstehen ab 1. August 2014 Mietkosten für die neuerstellte Turn- und Sportanlage Weissenstein, in der eine Halle für die Volksschule gemietet wird. </a:t>
          </a:r>
          <a:r>
            <a:rPr lang="de-CH" sz="800" b="0" i="0" u="none" strike="noStrike" baseline="0">
              <a:solidFill>
                <a:srgbClr val="000000"/>
              </a:solidFill>
              <a:latin typeface="Arial"/>
              <a:cs typeface="Arial"/>
            </a:rPr>
            <a:t> </a:t>
          </a:r>
        </a:p>
      </xdr:txBody>
    </xdr:sp>
    <xdr:clientData/>
  </xdr:twoCellAnchor>
  <xdr:twoCellAnchor>
    <xdr:from>
      <xdr:col>0</xdr:col>
      <xdr:colOff>0</xdr:colOff>
      <xdr:row>3781</xdr:row>
      <xdr:rowOff>0</xdr:rowOff>
    </xdr:from>
    <xdr:to>
      <xdr:col>8</xdr:col>
      <xdr:colOff>0</xdr:colOff>
      <xdr:row>3783</xdr:row>
      <xdr:rowOff>119909</xdr:rowOff>
    </xdr:to>
    <xdr:sp macro="" textlink="">
      <xdr:nvSpPr>
        <xdr:cNvPr id="254" name="Text Box 9"/>
        <xdr:cNvSpPr txBox="1">
          <a:spLocks noChangeArrowheads="1"/>
        </xdr:cNvSpPr>
      </xdr:nvSpPr>
      <xdr:spPr bwMode="auto">
        <a:xfrm>
          <a:off x="0" y="531342600"/>
          <a:ext cx="6667500" cy="26278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Informatikplattform Volksschule/base4kids: Projekt Aufwand: Fr. 8'504'000. </a:t>
          </a:r>
        </a:p>
        <a:p>
          <a:pPr algn="l" rtl="0">
            <a:defRPr sz="1000"/>
          </a:pPr>
          <a:endParaRPr lang="de-CH" sz="800" b="0" i="0" u="none" strike="noStrike" baseline="0">
            <a:solidFill>
              <a:srgbClr val="000000"/>
            </a:solidFill>
            <a:latin typeface="Arial"/>
            <a:cs typeface="Arial"/>
          </a:endParaRPr>
        </a:p>
        <a:p>
          <a:pPr algn="l" rtl="0">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3755</xdr:row>
      <xdr:rowOff>0</xdr:rowOff>
    </xdr:from>
    <xdr:to>
      <xdr:col>8</xdr:col>
      <xdr:colOff>0</xdr:colOff>
      <xdr:row>3758</xdr:row>
      <xdr:rowOff>0</xdr:rowOff>
    </xdr:to>
    <xdr:sp macro="" textlink="">
      <xdr:nvSpPr>
        <xdr:cNvPr id="255" name="Text Box 10"/>
        <xdr:cNvSpPr txBox="1">
          <a:spLocks noChangeArrowheads="1"/>
        </xdr:cNvSpPr>
      </xdr:nvSpPr>
      <xdr:spPr bwMode="auto">
        <a:xfrm>
          <a:off x="0" y="527799300"/>
          <a:ext cx="6667500"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ct val="100000"/>
            </a:lnSpc>
            <a:defRPr sz="1000"/>
          </a:pPr>
          <a:r>
            <a:rPr lang="de-CH" sz="800" b="0" i="0" u="none" strike="noStrike" baseline="0">
              <a:solidFill>
                <a:srgbClr val="000000"/>
              </a:solidFill>
              <a:latin typeface="Arial"/>
              <a:ea typeface="+mn-ea"/>
              <a:cs typeface="Arial"/>
            </a:rPr>
            <a:t>Schülerinnen und Schüler / Eltern und Erziehungsberechtigte / Schulleitungen / Schulkommissionen / Lehrpersonen / Kanton (ERZ, Schulinspektorat, GEF) / Stadtbauten / Fachinstanzen / Bildungsinstitutionen Sekstufe II / Regions- und andere Partnergemeinden / Sozialpartner.</a:t>
          </a:r>
        </a:p>
      </xdr:txBody>
    </xdr:sp>
    <xdr:clientData/>
  </xdr:twoCellAnchor>
  <xdr:twoCellAnchor>
    <xdr:from>
      <xdr:col>0</xdr:col>
      <xdr:colOff>0</xdr:colOff>
      <xdr:row>3689</xdr:row>
      <xdr:rowOff>0</xdr:rowOff>
    </xdr:from>
    <xdr:to>
      <xdr:col>8</xdr:col>
      <xdr:colOff>0</xdr:colOff>
      <xdr:row>3692</xdr:row>
      <xdr:rowOff>0</xdr:rowOff>
    </xdr:to>
    <xdr:sp macro="" textlink="">
      <xdr:nvSpPr>
        <xdr:cNvPr id="256" name="Text Box 11"/>
        <xdr:cNvSpPr txBox="1">
          <a:spLocks noChangeArrowheads="1"/>
        </xdr:cNvSpPr>
      </xdr:nvSpPr>
      <xdr:spPr bwMode="auto">
        <a:xfrm>
          <a:off x="0" y="517417050"/>
          <a:ext cx="6667500" cy="5619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Legislaturziel 5.1: Bern ist für Familien, Kinder und Jugendliche noch attraktiver / Massnahmen: Die Stadt Bern sorgt für die optimale Bildung und Betreuung von Kindern im Volksschulalter / Indikatoren: 2.1 Die Umsetzung des städtischen Integrationsleitbilds (Art. 17 VSG) ist abgeschlossen und evaluiert.</a:t>
          </a:r>
        </a:p>
      </xdr:txBody>
    </xdr:sp>
    <xdr:clientData/>
  </xdr:twoCellAnchor>
  <xdr:twoCellAnchor>
    <xdr:from>
      <xdr:col>0</xdr:col>
      <xdr:colOff>0</xdr:colOff>
      <xdr:row>3737</xdr:row>
      <xdr:rowOff>114300</xdr:rowOff>
    </xdr:from>
    <xdr:to>
      <xdr:col>8</xdr:col>
      <xdr:colOff>0</xdr:colOff>
      <xdr:row>3752</xdr:row>
      <xdr:rowOff>137159</xdr:rowOff>
    </xdr:to>
    <xdr:sp macro="" textlink="">
      <xdr:nvSpPr>
        <xdr:cNvPr id="257" name="Text Box 12"/>
        <xdr:cNvSpPr txBox="1">
          <a:spLocks noChangeArrowheads="1"/>
        </xdr:cNvSpPr>
      </xdr:nvSpPr>
      <xdr:spPr bwMode="auto">
        <a:xfrm>
          <a:off x="0" y="525627600"/>
          <a:ext cx="6667500" cy="188023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Der neue Finanz- und Lastenausgleich des Kantons führt zu einer Entlastung bei den Lehrergehältern. Die neue Berechnungsmethode, die die Anzahl Schülerinnen und Schüler und die tatsächlichen Vollzeiteinheiten der Lehrpersonen einer Gemeinde berücksichtigt und nicht mehr wie bis anhin vorab die Einwohnerzahl als wichtigstes Kriterium für die Kostenverteilung zu Grunde legt, entlastet die Stadt Bern merklich. Die neue Berechnungsmethode soll das Kostenbewusstsein der Gemeinden stärken. Das Inkrafttreten auf das Schuljahr 2012/13 führt bereits im 2012 zu Minderkosten von rund 1,3 Mio. Franken. Für die Finanzplanjahre 2013 bis 2016 wird mit den folgenden Einsparungen im Vergleich zu 2012 gerechnet: 2013: - Fr. 4'153'437.00, 2014: - Fr. 2'696'042.00, 2015: - Fr. 1'592'042.00, 2016: - Fr. 1'536'042.00.</a:t>
          </a:r>
        </a:p>
        <a:p>
          <a:pPr algn="l" rtl="0">
            <a:lnSpc>
              <a:spcPts val="800"/>
            </a:lnSpc>
            <a:defRPr sz="1000"/>
          </a:pPr>
          <a:endParaRPr lang="de-CH" sz="800" b="0" i="0" u="none" strike="noStrike" baseline="0">
            <a:solidFill>
              <a:srgbClr val="000000"/>
            </a:solidFill>
            <a:latin typeface="Arial"/>
            <a:cs typeface="Arial"/>
          </a:endParaRPr>
        </a:p>
        <a:p>
          <a:pPr algn="l" rtl="0">
            <a:lnSpc>
              <a:spcPts val="800"/>
            </a:lnSpc>
            <a:defRPr sz="1000"/>
          </a:pPr>
          <a:r>
            <a:rPr lang="de-CH" sz="800" b="0" i="0" u="none" strike="noStrike" baseline="0">
              <a:solidFill>
                <a:srgbClr val="000000"/>
              </a:solidFill>
              <a:latin typeface="Arial"/>
              <a:cs typeface="Arial"/>
            </a:rPr>
            <a:t>Durch die vom Grossen Rat des Kantons Bern beschlossene Reduktion der Lektionenzahlen wird der Lehrerbesoldungspool jährlich um zusätzliche Fr. 730'000.00 entlastet (in der Finanzplanungshilfe des Kantons noch nicht berücksichtigt).</a:t>
          </a:r>
        </a:p>
        <a:p>
          <a:pPr algn="l" rtl="0">
            <a:lnSpc>
              <a:spcPts val="800"/>
            </a:lnSpc>
            <a:defRPr sz="1000"/>
          </a:pPr>
          <a:endParaRPr lang="de-CH" sz="800" b="0" i="0" u="none" strike="noStrike" baseline="0">
            <a:solidFill>
              <a:srgbClr val="000000"/>
            </a:solidFill>
            <a:latin typeface="Arial"/>
            <a:cs typeface="Arial"/>
          </a:endParaRPr>
        </a:p>
        <a:p>
          <a:pPr algn="l" rtl="0">
            <a:lnSpc>
              <a:spcPts val="800"/>
            </a:lnSpc>
            <a:defRPr sz="1000"/>
          </a:pPr>
          <a:r>
            <a:rPr lang="de-CH" sz="800" b="0" i="0" u="none" strike="noStrike" baseline="0">
              <a:solidFill>
                <a:srgbClr val="000000"/>
              </a:solidFill>
              <a:latin typeface="Arial"/>
              <a:cs typeface="Arial"/>
            </a:rPr>
            <a:t>Weitere zum Teil kleinere Veränderungen im IAFP mit finanziellen Folgen im Jahr 2013: + Fr. 131'600.00 Kauf Einweglehrmittel Frühfranzösisch (3 Jahrgänge) und Englisch (1 Jahrgang) gemäss Vorgaben der Erziehungsdirektion des Kantons Bern (pro Schuljahr Kosten für 40 Klassen); + Fr. 193'798.00 zusätzliche Abschreibungskosten für base4kids</a:t>
          </a:r>
          <a:r>
            <a:rPr lang="de-CH" sz="800" b="0" i="0" u="none" strike="noStrike" baseline="0">
              <a:solidFill>
                <a:srgbClr val="000000"/>
              </a:solidFill>
              <a:latin typeface="Arial"/>
              <a:ea typeface="+mn-ea"/>
              <a:cs typeface="Arial"/>
            </a:rPr>
            <a:t>; - Fr. 144'000.00 </a:t>
          </a:r>
          <a:r>
            <a:rPr lang="de-CH" sz="800" b="0" i="0" u="none" strike="noStrike" baseline="0">
              <a:solidFill>
                <a:srgbClr val="000000"/>
              </a:solidFill>
              <a:latin typeface="Arial"/>
              <a:cs typeface="Arial"/>
            </a:rPr>
            <a:t>Ablösung der Schulsoftware Evento durch Scolaris (Einführung geplant im Herbst 2012) führt zu jährlichen Einsparungen bei Lizenzen und Programmanpassungen.</a:t>
          </a:r>
        </a:p>
        <a:p>
          <a:pPr algn="l" rtl="0">
            <a:defRPr sz="1000"/>
          </a:pPr>
          <a:endParaRPr lang="de-CH" sz="800" b="0" i="0" u="none" strike="noStrike" baseline="0">
            <a:solidFill>
              <a:srgbClr val="000000"/>
            </a:solidFill>
            <a:latin typeface="Arial"/>
            <a:cs typeface="Arial"/>
          </a:endParaRPr>
        </a:p>
        <a:p>
          <a:pPr algn="l" rtl="0">
            <a:lnSpc>
              <a:spcPts val="700"/>
            </a:lnSpc>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3818</xdr:row>
      <xdr:rowOff>0</xdr:rowOff>
    </xdr:from>
    <xdr:to>
      <xdr:col>8</xdr:col>
      <xdr:colOff>0</xdr:colOff>
      <xdr:row>3825</xdr:row>
      <xdr:rowOff>476250</xdr:rowOff>
    </xdr:to>
    <xdr:sp macro="" textlink="">
      <xdr:nvSpPr>
        <xdr:cNvPr id="258" name="Text Box 6"/>
        <xdr:cNvSpPr txBox="1">
          <a:spLocks noChangeArrowheads="1"/>
        </xdr:cNvSpPr>
      </xdr:nvSpPr>
      <xdr:spPr bwMode="auto">
        <a:xfrm>
          <a:off x="0" y="536057475"/>
          <a:ext cx="6667500" cy="14763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Das Volksschulgesetz gibt den Eltern seit 2008 einen Rechtsanspruch auf Tagesschulangebote. Diese leisten einen wichtigen Beitrag zum sozialen Ausgleich und zur Integration und fördern die bessere Vereinbarkeit von Familie und Beruf. Tagesschulen sind volkswirtschaftlich von Bedeutung, da sie ein wichtiger Wirtschaftsfaktor sind und auch einen Standortvorteil bringen.</a:t>
          </a:r>
        </a:p>
        <a:p>
          <a:pPr algn="l" rtl="0">
            <a:defRPr sz="1000"/>
          </a:pPr>
          <a:r>
            <a:rPr lang="de-CH" sz="800" b="0" i="0" u="none" strike="noStrike" baseline="0">
              <a:solidFill>
                <a:srgbClr val="000000"/>
              </a:solidFill>
              <a:latin typeface="Arial"/>
              <a:cs typeface="Arial"/>
            </a:rPr>
            <a:t>Tagesschulen sind eine Verbundaufgabe von Kanton und Gemeinden. Deshalb beteiligt sich der Kanton über den Lastenausgleich an der Finanzierung der Personalkosten. Die Bereitstellung der Infrastrukturen ist alleinige Aufgabe der Gemeinden. </a:t>
          </a:r>
        </a:p>
        <a:p>
          <a:pPr algn="l" rtl="0">
            <a:defRPr sz="1000"/>
          </a:pPr>
          <a:r>
            <a:rPr lang="de-CH" sz="800" b="0" i="0" u="none" strike="noStrike" baseline="0">
              <a:solidFill>
                <a:srgbClr val="000000"/>
              </a:solidFill>
              <a:latin typeface="Arial"/>
              <a:cs typeface="Arial"/>
            </a:rPr>
            <a:t>In den nächsten Jahren ist weiterhin mit einer steigenden Nachfrage zu rechnen. </a:t>
          </a:r>
        </a:p>
        <a:p>
          <a:pPr algn="l" rtl="0">
            <a:defRPr sz="1000"/>
          </a:pPr>
          <a:r>
            <a:rPr lang="de-CH" sz="800" b="0" i="0" u="none" strike="noStrike" baseline="0">
              <a:solidFill>
                <a:srgbClr val="000000"/>
              </a:solidFill>
              <a:latin typeface="Arial"/>
              <a:cs typeface="Arial"/>
            </a:rPr>
            <a:t>Die Tagesschulen bieten nur ein Betreuungsangebot während den 39 Schulwochen. Ergänzend dazu gibt es in der Stadt Bern Ferieninseln. Sie bieten familienergänzende Betreuungsstrukturen für weitere 11 Wochen. Damit verfügen die Eltern insgesamt über 50 Wochen Betreuungsangebote. Nach wie vor beteiligt sich der Kanton nicht an der Finanzierung der Ferieninseln. Obschon er anlässlich der städtischen Gesuche mehrmals den Nutzen und die Wichtigkeit dieses Angebots bestätigt hat, gehört dieses nicht zu den in der kantonalen Verordnung über die Angebote zur Integration (ASIV) subventionierten Betreuungsangeboten.</a:t>
          </a:r>
        </a:p>
        <a:p>
          <a:pPr algn="l" rtl="0">
            <a:defRPr sz="1000"/>
          </a:pPr>
          <a:r>
            <a:rPr lang="de-CH" sz="800" b="0" i="0" u="none" strike="noStrike" baseline="0">
              <a:solidFill>
                <a:srgbClr val="000000"/>
              </a:solidFill>
              <a:latin typeface="Arial"/>
              <a:ea typeface="+mn-ea"/>
              <a:cs typeface="Arial"/>
            </a:rPr>
            <a:t>Sämtliche Massnahmen aus der Portfolioanalyse wurden wie geplant im 2012 umgesetzt. </a:t>
          </a:r>
        </a:p>
      </xdr:txBody>
    </xdr:sp>
    <xdr:clientData/>
  </xdr:twoCellAnchor>
  <xdr:twoCellAnchor>
    <xdr:from>
      <xdr:col>0</xdr:col>
      <xdr:colOff>0</xdr:colOff>
      <xdr:row>3831</xdr:row>
      <xdr:rowOff>0</xdr:rowOff>
    </xdr:from>
    <xdr:to>
      <xdr:col>8</xdr:col>
      <xdr:colOff>0</xdr:colOff>
      <xdr:row>3845</xdr:row>
      <xdr:rowOff>0</xdr:rowOff>
    </xdr:to>
    <xdr:sp macro="" textlink="">
      <xdr:nvSpPr>
        <xdr:cNvPr id="259" name="Text Box 7"/>
        <xdr:cNvSpPr txBox="1">
          <a:spLocks noChangeArrowheads="1"/>
        </xdr:cNvSpPr>
      </xdr:nvSpPr>
      <xdr:spPr bwMode="auto">
        <a:xfrm>
          <a:off x="0" y="537791025"/>
          <a:ext cx="6667500" cy="14097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ct val="100000"/>
            </a:lnSpc>
            <a:defRPr sz="1000"/>
          </a:pPr>
          <a:r>
            <a:rPr lang="de-CH" sz="800" b="0" i="0" u="none" strike="noStrike" baseline="0">
              <a:solidFill>
                <a:srgbClr val="000000"/>
              </a:solidFill>
              <a:latin typeface="Arial"/>
              <a:cs typeface="Arial"/>
            </a:rPr>
            <a:t>Die Tagesschulangebote werden seit dem 1.8.2008 als schulergänzende Massnahme konzipiert und sind im kantonalen Volksschulgesetz geregelt.  Trotz Verbundaufgabe von Kanton und Gemeinden werden die Tagesschulen als gemeindeeigene Angebote verstanden. Die Personalkosten für die Betreuung durch Lehrpersonen und die Tagesschulleitungen werden über den kantonalen Lastenausgleich Lehrergehälter abgerechnet - dies im Sinn einer Dienstleistung des Kantons. Betreuungspersonen ohne Lehrverpflichtung werden nach städtischem Recht entschädigt. Der Kanton gibt Lohnnormkosten vor, als Bemessungsgrundlagen für die Subventionierung. Der Rechtsanspruch für Eltern bedeutet, dass die Gemeinden verpflichtet sind, ein Tagesschulangebot zu errichten, wenn eine genügende Nachfrage nach Tagesschulstrukturen besteht. Konkret ist diese Pflicht der Gemeinden gegeben, wenn 10 Kinder ein Betreuungsangebot beanspruchen, unabhängig davon, wo diese Angebote innerhalb der Gemeinde tatsächlich stattfinden.  </a:t>
          </a:r>
          <a:r>
            <a:rPr lang="de-CH" sz="800" b="0" i="0" u="none" strike="noStrike" baseline="0">
              <a:solidFill>
                <a:sysClr val="windowText" lastClr="000000"/>
              </a:solidFill>
              <a:latin typeface="Arial"/>
              <a:cs typeface="Arial"/>
            </a:rPr>
            <a:t>Die Teuerung auf den Lehrerbesoldungen ist gemäss kantonalen Vorgaben berücksichtigt (2013-16 Fr. 63'000.00). </a:t>
          </a:r>
        </a:p>
        <a:p>
          <a:pPr algn="l" rtl="0">
            <a:lnSpc>
              <a:spcPct val="100000"/>
            </a:lnSpc>
            <a:defRPr sz="1000"/>
          </a:pPr>
          <a:r>
            <a:rPr lang="de-CH" sz="800" b="0" i="0" u="none" strike="noStrike" baseline="0">
              <a:solidFill>
                <a:srgbClr val="000000"/>
              </a:solidFill>
              <a:latin typeface="Arial"/>
              <a:cs typeface="Arial"/>
            </a:rPr>
            <a:t>Neue Aufgaben: Die steigende Inanspruchnahme des Tagesschulangebots wird auf jährlich 3% berechnet. Mietfolgekosten ab 2016 wurden für die Tagesschule Muesmatt mit Fr. 39'000.00 und für die Tagesschule Wysslochpark Laubeggstrasse mit Fr. 67'667.00 aufgenommen.</a:t>
          </a:r>
        </a:p>
        <a:p>
          <a:pPr algn="l" rtl="0">
            <a:lnSpc>
              <a:spcPts val="1000"/>
            </a:lnSpc>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3872</xdr:row>
      <xdr:rowOff>0</xdr:rowOff>
    </xdr:from>
    <xdr:to>
      <xdr:col>8</xdr:col>
      <xdr:colOff>0</xdr:colOff>
      <xdr:row>3874</xdr:row>
      <xdr:rowOff>0</xdr:rowOff>
    </xdr:to>
    <xdr:sp macro="" textlink="">
      <xdr:nvSpPr>
        <xdr:cNvPr id="260" name="Text Box 9"/>
        <xdr:cNvSpPr txBox="1">
          <a:spLocks noChangeArrowheads="1"/>
        </xdr:cNvSpPr>
      </xdr:nvSpPr>
      <xdr:spPr bwMode="auto">
        <a:xfrm>
          <a:off x="0" y="543058350"/>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3847</xdr:row>
      <xdr:rowOff>0</xdr:rowOff>
    </xdr:from>
    <xdr:to>
      <xdr:col>8</xdr:col>
      <xdr:colOff>0</xdr:colOff>
      <xdr:row>3850</xdr:row>
      <xdr:rowOff>0</xdr:rowOff>
    </xdr:to>
    <xdr:sp macro="" textlink="">
      <xdr:nvSpPr>
        <xdr:cNvPr id="261" name="Text Box 10"/>
        <xdr:cNvSpPr txBox="1">
          <a:spLocks noChangeArrowheads="1"/>
        </xdr:cNvSpPr>
      </xdr:nvSpPr>
      <xdr:spPr bwMode="auto">
        <a:xfrm>
          <a:off x="0" y="539486475"/>
          <a:ext cx="6667500"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Schülerinnen und Schüler / Eltern- und Erziehungsberechtigte / Schulleitungen / Schulkommissionen / Lehrpersonen / Kanton (ERZ, Schulinspektorat) / Stadtbauten / Fachinstanzen / Regions- und andere Partnergemeinden / Sozialpartner.</a:t>
          </a:r>
        </a:p>
      </xdr:txBody>
    </xdr:sp>
    <xdr:clientData/>
  </xdr:twoCellAnchor>
  <xdr:twoCellAnchor>
    <xdr:from>
      <xdr:col>0</xdr:col>
      <xdr:colOff>0</xdr:colOff>
      <xdr:row>3813</xdr:row>
      <xdr:rowOff>0</xdr:rowOff>
    </xdr:from>
    <xdr:to>
      <xdr:col>8</xdr:col>
      <xdr:colOff>0</xdr:colOff>
      <xdr:row>3816</xdr:row>
      <xdr:rowOff>0</xdr:rowOff>
    </xdr:to>
    <xdr:sp macro="" textlink="">
      <xdr:nvSpPr>
        <xdr:cNvPr id="262" name="Text Box 11"/>
        <xdr:cNvSpPr txBox="1">
          <a:spLocks noChangeArrowheads="1"/>
        </xdr:cNvSpPr>
      </xdr:nvSpPr>
      <xdr:spPr bwMode="auto">
        <a:xfrm>
          <a:off x="0" y="535200225"/>
          <a:ext cx="6667500"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Legislaturziel 5.1: Bern ist für Familien, Kinder und Jugendliche noch attraktiver / Massnahmen: Die Stadt Bern sorgt für die optimale Bildung und Betreuung von Kindern im Volksschulalter</a:t>
          </a:r>
        </a:p>
      </xdr:txBody>
    </xdr:sp>
    <xdr:clientData/>
  </xdr:twoCellAnchor>
  <xdr:twoCellAnchor>
    <xdr:from>
      <xdr:col>0</xdr:col>
      <xdr:colOff>0</xdr:colOff>
      <xdr:row>3905</xdr:row>
      <xdr:rowOff>0</xdr:rowOff>
    </xdr:from>
    <xdr:to>
      <xdr:col>8</xdr:col>
      <xdr:colOff>0</xdr:colOff>
      <xdr:row>3911</xdr:row>
      <xdr:rowOff>0</xdr:rowOff>
    </xdr:to>
    <xdr:sp macro="" textlink="">
      <xdr:nvSpPr>
        <xdr:cNvPr id="263" name="Text Box 6"/>
        <xdr:cNvSpPr txBox="1">
          <a:spLocks noChangeArrowheads="1"/>
        </xdr:cNvSpPr>
      </xdr:nvSpPr>
      <xdr:spPr bwMode="auto">
        <a:xfrm>
          <a:off x="0" y="547201725"/>
          <a:ext cx="6667500" cy="12573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Die Stadt Bern engagiert sich auch im ausserobligatorischen Bildungsbereich und leistet damit einen Beitrag zum sozialen Ausgleich und zur Verbesserung der Chancengleichheit. Beiträge werden geleistet an die Kornhaus-Bibliotheken, an Ludotheken und an die Volkshochschule. Gesetzliche Bestimmungen dafür sind das kantonale Kulturförderungsgesetz und das Gesetz über die Berufsbildung, Weiterbildung und Berufsberatung. Gemäss kantonalem Musikschuldekret ist sie auch an der Führung der Musikschule Konservatorium beteiligt. Dieses Dekret wurde durch ein neues Musikschulgesetz ersetzt. Gemäss diesem beteiligt sich der Kanton an der Finanzierung der Musikschulen stärker. Die Kosten wurden in die Gesamtbilanz des Lastenausgleichs gemäss kantonalem Gesetz über den Finanz- und Lastenausgleich aufgenommen. </a:t>
          </a:r>
        </a:p>
        <a:p>
          <a:pPr algn="l" rtl="0">
            <a:defRPr sz="1000"/>
          </a:pPr>
          <a:r>
            <a:rPr lang="de-CH" sz="800" b="0" i="0" u="none" strike="noStrike" baseline="0">
              <a:solidFill>
                <a:srgbClr val="000000"/>
              </a:solidFill>
              <a:latin typeface="Arial"/>
              <a:cs typeface="Arial"/>
            </a:rPr>
            <a:t>Portfolioanalyse: Die Massnahme </a:t>
          </a:r>
          <a:r>
            <a:rPr lang="de-CH" sz="800" b="0" i="0" u="none" strike="noStrike" baseline="0">
              <a:solidFill>
                <a:srgbClr val="000000"/>
              </a:solidFill>
              <a:latin typeface="Arial"/>
              <a:ea typeface="+mn-ea"/>
              <a:cs typeface="Arial"/>
            </a:rPr>
            <a:t>P320340: Volle Kostendeckung Gfellerfonds 2012 - 2015: Fr. -11'000.00 konnte im 2012 umgesetzt werden. Die Massnahme P320350: Streichung Beitrag Volkshochschule 2012 - 2015: Fr. 95'000.00 wurde aufgrund der Planungserklärung vom Stadtrat durch den Gemeinderat rückgängig gemacht.</a:t>
          </a:r>
        </a:p>
        <a:p>
          <a:pPr algn="l" rtl="0">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3913</xdr:row>
      <xdr:rowOff>0</xdr:rowOff>
    </xdr:from>
    <xdr:to>
      <xdr:col>8</xdr:col>
      <xdr:colOff>0</xdr:colOff>
      <xdr:row>3918</xdr:row>
      <xdr:rowOff>0</xdr:rowOff>
    </xdr:to>
    <xdr:sp macro="" textlink="">
      <xdr:nvSpPr>
        <xdr:cNvPr id="264" name="Text Box 7"/>
        <xdr:cNvSpPr txBox="1">
          <a:spLocks noChangeArrowheads="1"/>
        </xdr:cNvSpPr>
      </xdr:nvSpPr>
      <xdr:spPr bwMode="auto">
        <a:xfrm>
          <a:off x="0" y="548763825"/>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Von den Stipendien für den Musikunterricht werden ab 2013 jährlich Fr. 180'000.00 über den Fonds für Kinder und Jugendliche finanziert.</a:t>
          </a:r>
        </a:p>
      </xdr:txBody>
    </xdr:sp>
    <xdr:clientData/>
  </xdr:twoCellAnchor>
  <xdr:twoCellAnchor>
    <xdr:from>
      <xdr:col>0</xdr:col>
      <xdr:colOff>0</xdr:colOff>
      <xdr:row>3945</xdr:row>
      <xdr:rowOff>0</xdr:rowOff>
    </xdr:from>
    <xdr:to>
      <xdr:col>8</xdr:col>
      <xdr:colOff>0</xdr:colOff>
      <xdr:row>3948</xdr:row>
      <xdr:rowOff>0</xdr:rowOff>
    </xdr:to>
    <xdr:sp macro="" textlink="">
      <xdr:nvSpPr>
        <xdr:cNvPr id="265" name="Text Box 9"/>
        <xdr:cNvSpPr txBox="1">
          <a:spLocks noChangeArrowheads="1"/>
        </xdr:cNvSpPr>
      </xdr:nvSpPr>
      <xdr:spPr bwMode="auto">
        <a:xfrm>
          <a:off x="0" y="552764325"/>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3921</xdr:row>
      <xdr:rowOff>0</xdr:rowOff>
    </xdr:from>
    <xdr:to>
      <xdr:col>8</xdr:col>
      <xdr:colOff>0</xdr:colOff>
      <xdr:row>3923</xdr:row>
      <xdr:rowOff>0</xdr:rowOff>
    </xdr:to>
    <xdr:sp macro="" textlink="">
      <xdr:nvSpPr>
        <xdr:cNvPr id="266" name="Text Box 10"/>
        <xdr:cNvSpPr txBox="1">
          <a:spLocks noChangeArrowheads="1"/>
        </xdr:cNvSpPr>
      </xdr:nvSpPr>
      <xdr:spPr bwMode="auto">
        <a:xfrm>
          <a:off x="0" y="549335325"/>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Trägerschaften und Organe der bildungsnahen Institutionen, Gesuchstellende, Kanton.</a:t>
          </a:r>
        </a:p>
      </xdr:txBody>
    </xdr:sp>
    <xdr:clientData/>
  </xdr:twoCellAnchor>
  <xdr:twoCellAnchor>
    <xdr:from>
      <xdr:col>0</xdr:col>
      <xdr:colOff>0</xdr:colOff>
      <xdr:row>3897</xdr:row>
      <xdr:rowOff>0</xdr:rowOff>
    </xdr:from>
    <xdr:to>
      <xdr:col>8</xdr:col>
      <xdr:colOff>0</xdr:colOff>
      <xdr:row>3900</xdr:row>
      <xdr:rowOff>0</xdr:rowOff>
    </xdr:to>
    <xdr:sp macro="" textlink="">
      <xdr:nvSpPr>
        <xdr:cNvPr id="267" name="Text Box 11"/>
        <xdr:cNvSpPr txBox="1">
          <a:spLocks noChangeArrowheads="1"/>
        </xdr:cNvSpPr>
      </xdr:nvSpPr>
      <xdr:spPr bwMode="auto">
        <a:xfrm>
          <a:off x="0" y="546487350"/>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3980</xdr:row>
      <xdr:rowOff>1</xdr:rowOff>
    </xdr:from>
    <xdr:to>
      <xdr:col>7</xdr:col>
      <xdr:colOff>708659</xdr:colOff>
      <xdr:row>3988</xdr:row>
      <xdr:rowOff>7620</xdr:rowOff>
    </xdr:to>
    <xdr:sp macro="" textlink="">
      <xdr:nvSpPr>
        <xdr:cNvPr id="268" name="Text Box 6"/>
        <xdr:cNvSpPr txBox="1">
          <a:spLocks noChangeArrowheads="1"/>
        </xdr:cNvSpPr>
      </xdr:nvSpPr>
      <xdr:spPr bwMode="auto">
        <a:xfrm>
          <a:off x="0" y="556888651"/>
          <a:ext cx="6604634" cy="922019"/>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8800" tIns="0" rIns="18000" bIns="0" anchor="t" upright="1">
          <a:noAutofit/>
        </a:bodyPr>
        <a:lstStyle/>
        <a:p>
          <a:pPr algn="l" rtl="0">
            <a:lnSpc>
              <a:spcPct val="100000"/>
            </a:lnSpc>
            <a:defRPr sz="1000"/>
          </a:pPr>
          <a:r>
            <a:rPr lang="de-CH" sz="800" b="0" i="0" u="none" strike="noStrike" baseline="0">
              <a:solidFill>
                <a:srgbClr val="000000"/>
              </a:solidFill>
              <a:latin typeface="Arial"/>
              <a:cs typeface="Arial"/>
            </a:rPr>
            <a:t>Der Bedarf für die ausserschulische Förderung von Kindern/Jugendlichen und für die Gemeinwesenarbeit ist unverändert hoch. Jugendliche sind den Anforderungen der Ausbildung und gleichzeitig vielfältigen Optionen und Risiken in Freizeit und Nachtleben ausgesetzt. Die Intensität der Präsenz Jugendlicher im öffentlichen Raum ist konfliktanfällig. Für die professionelle gemeinwesenorientierte Quartierarbeit zeigen sozialraumorientierte Erhebungen vor allem in benachteiligten Quartieren einen Bedarf für Intervention und  Kooperation mit freiwillig Engagierten. Die kantonale Ermächtigung für die Gemeinwesenarbeit liegt bis 2013 vor. Für die offene Arbeit mit Kindern und Jugendlichen erfolgt die Gesuchseingabe für 2013 - 2016 im Juli 2012.  </a:t>
          </a:r>
        </a:p>
      </xdr:txBody>
    </xdr:sp>
    <xdr:clientData/>
  </xdr:twoCellAnchor>
  <xdr:twoCellAnchor>
    <xdr:from>
      <xdr:col>0</xdr:col>
      <xdr:colOff>0</xdr:colOff>
      <xdr:row>3990</xdr:row>
      <xdr:rowOff>1</xdr:rowOff>
    </xdr:from>
    <xdr:to>
      <xdr:col>8</xdr:col>
      <xdr:colOff>0</xdr:colOff>
      <xdr:row>4001</xdr:row>
      <xdr:rowOff>7621</xdr:rowOff>
    </xdr:to>
    <xdr:sp macro="" textlink="">
      <xdr:nvSpPr>
        <xdr:cNvPr id="269" name="Text Box 7"/>
        <xdr:cNvSpPr txBox="1">
          <a:spLocks noChangeArrowheads="1"/>
        </xdr:cNvSpPr>
      </xdr:nvSpPr>
      <xdr:spPr bwMode="auto">
        <a:xfrm>
          <a:off x="0" y="558098326"/>
          <a:ext cx="6657975" cy="128397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ct val="100000"/>
            </a:lnSpc>
            <a:defRPr sz="1000"/>
          </a:pPr>
          <a:r>
            <a:rPr lang="de-CH" sz="800" b="0" i="0" u="none" strike="noStrike" baseline="0">
              <a:solidFill>
                <a:srgbClr val="000000"/>
              </a:solidFill>
              <a:latin typeface="Arial"/>
              <a:ea typeface="+mn-ea"/>
              <a:cs typeface="Arial"/>
            </a:rPr>
            <a:t>Die Angebote der Produktegruppe werden weitgehend im bisherigen Umfang weitergeführt. Der Gaskessel und der Verein SpielRaum werden ab 2013 direkt durch den Kanton finanziert (Fr. 571'600.00 mit entsprechenden Mindererlösen im Lastenausgleich, PG300300). Ab 2014 werden die bisher über Fonds finanzierten erfolgreichen Midnight-Projekte (Bern-West und Fischermätteli) in die Planung aufgenommen. </a:t>
          </a:r>
        </a:p>
        <a:p>
          <a:pPr algn="l" rtl="0">
            <a:lnSpc>
              <a:spcPct val="100000"/>
            </a:lnSpc>
            <a:defRPr sz="1000"/>
          </a:pPr>
          <a:r>
            <a:rPr lang="de-CH" sz="800" b="0" i="0" u="none" strike="noStrike" baseline="0">
              <a:solidFill>
                <a:srgbClr val="000000"/>
              </a:solidFill>
              <a:latin typeface="Arial"/>
              <a:ea typeface="+mn-ea"/>
              <a:cs typeface="Arial"/>
            </a:rPr>
            <a:t>Durch die Teuerung auf den Personalkosten erhöhen sich die Beiträge für die Gemeinwesenarbeit (Planjahr 2014 Fr. 6'690.00; Planjahr 2015 Fr. 53'566.00; Planjahr 2016 Fr. 50'205.00).</a:t>
          </a:r>
          <a:r>
            <a:rPr lang="de-CH" sz="800" b="0" i="0" u="none" strike="noStrike" baseline="0">
              <a:solidFill>
                <a:srgbClr val="000000"/>
              </a:solidFill>
              <a:latin typeface="Arial"/>
              <a:cs typeface="Arial"/>
            </a:rPr>
            <a:t> Der Verein Mütterzentrum Bern-West und der Verein Familientreff Bern übernehmen ab 2013 neue Aufgaben im Rahmen der Frühförderung Primano (</a:t>
          </a:r>
          <a:r>
            <a:rPr lang="de-CH" sz="800" b="0" i="0" u="none" strike="noStrike" baseline="0">
              <a:solidFill>
                <a:srgbClr val="000000"/>
              </a:solidFill>
              <a:latin typeface="Arial"/>
              <a:ea typeface="+mn-ea"/>
              <a:cs typeface="Arial"/>
            </a:rPr>
            <a:t>als Teil des Gesamtprojekes des Gesundheitsdienstes). Die dafür geplanten jährlichen Kosten von Fr. 40'000.00 werden über den Lastenertrag (Produktegruppe PG300300) abgerechnet und sind daher kostenneutral.  </a:t>
          </a:r>
          <a:endParaRPr lang="de-CH" sz="800" b="0" i="0" u="none" strike="noStrike" baseline="0">
            <a:solidFill>
              <a:srgbClr val="000000"/>
            </a:solidFill>
            <a:latin typeface="Arial"/>
            <a:cs typeface="Arial"/>
          </a:endParaRPr>
        </a:p>
      </xdr:txBody>
    </xdr:sp>
    <xdr:clientData/>
  </xdr:twoCellAnchor>
  <xdr:twoCellAnchor>
    <xdr:from>
      <xdr:col>0</xdr:col>
      <xdr:colOff>0</xdr:colOff>
      <xdr:row>4029</xdr:row>
      <xdr:rowOff>0</xdr:rowOff>
    </xdr:from>
    <xdr:to>
      <xdr:col>8</xdr:col>
      <xdr:colOff>0</xdr:colOff>
      <xdr:row>4032</xdr:row>
      <xdr:rowOff>0</xdr:rowOff>
    </xdr:to>
    <xdr:sp macro="" textlink="">
      <xdr:nvSpPr>
        <xdr:cNvPr id="270" name="Text Box 9"/>
        <xdr:cNvSpPr txBox="1">
          <a:spLocks noChangeArrowheads="1"/>
        </xdr:cNvSpPr>
      </xdr:nvSpPr>
      <xdr:spPr bwMode="auto">
        <a:xfrm>
          <a:off x="0" y="563508525"/>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4003</xdr:row>
      <xdr:rowOff>0</xdr:rowOff>
    </xdr:from>
    <xdr:to>
      <xdr:col>7</xdr:col>
      <xdr:colOff>752475</xdr:colOff>
      <xdr:row>4006</xdr:row>
      <xdr:rowOff>129540</xdr:rowOff>
    </xdr:to>
    <xdr:sp macro="" textlink="">
      <xdr:nvSpPr>
        <xdr:cNvPr id="271" name="Text Box 10"/>
        <xdr:cNvSpPr txBox="1">
          <a:spLocks noChangeArrowheads="1"/>
        </xdr:cNvSpPr>
      </xdr:nvSpPr>
      <xdr:spPr bwMode="auto">
        <a:xfrm>
          <a:off x="0" y="559660425"/>
          <a:ext cx="6648450" cy="64389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lang="de-CH" sz="800" b="0" i="0" u="none" strike="noStrike" baseline="0">
              <a:solidFill>
                <a:srgbClr val="000000"/>
              </a:solidFill>
              <a:latin typeface="Arial"/>
              <a:cs typeface="Arial"/>
            </a:rPr>
            <a:t>Kinder, Jugendliche und Familien. Leistungsvertragspartner: Produkt P330120 und P330140 DOK (Dachverband für die offene Arbeit mit Kindern) bzw.  TOJ (Trägerverein für die offene Jugendarbeit), Gaskessel und Verein SpielRaum (bis 2012), Produkt </a:t>
          </a:r>
          <a:r>
            <a:rPr kumimoji="0" lang="de-CH" sz="800" b="0" i="0" u="none" strike="noStrike" kern="0" cap="none" spc="0" normalizeH="0" baseline="0" noProof="0">
              <a:ln>
                <a:noFill/>
              </a:ln>
              <a:solidFill>
                <a:srgbClr val="000000"/>
              </a:solidFill>
              <a:effectLst/>
              <a:uLnTx/>
              <a:uFillTx/>
              <a:latin typeface="Arial"/>
              <a:ea typeface="+mn-ea"/>
              <a:cs typeface="Arial"/>
            </a:rPr>
            <a:t>P330160 VBG (Vereinigung für Beratung, Integrationshilfe und Gemeinwesenarbeit) und die Vereine Familientreff Bern, Mütterzentrum Bern-West und Verein Westkreis 6 (Projekt Westwind). Im Produkt P330110 Ferien und Feizeitprojekte (Fäger) sind 30 Regionsgemeinden sowie ca. 200 Veranstaltende beteiligt.  </a:t>
          </a:r>
          <a:endParaRPr lang="de-CH" sz="800" b="0" i="0" u="none" strike="noStrike" baseline="0">
            <a:solidFill>
              <a:srgbClr val="000000"/>
            </a:solidFill>
            <a:latin typeface="Arial"/>
            <a:cs typeface="Arial"/>
          </a:endParaRPr>
        </a:p>
      </xdr:txBody>
    </xdr:sp>
    <xdr:clientData/>
  </xdr:twoCellAnchor>
  <xdr:twoCellAnchor>
    <xdr:from>
      <xdr:col>0</xdr:col>
      <xdr:colOff>0</xdr:colOff>
      <xdr:row>3972</xdr:row>
      <xdr:rowOff>0</xdr:rowOff>
    </xdr:from>
    <xdr:to>
      <xdr:col>8</xdr:col>
      <xdr:colOff>0</xdr:colOff>
      <xdr:row>3974</xdr:row>
      <xdr:rowOff>0</xdr:rowOff>
    </xdr:to>
    <xdr:sp macro="" textlink="">
      <xdr:nvSpPr>
        <xdr:cNvPr id="272" name="Text Box 11"/>
        <xdr:cNvSpPr txBox="1">
          <a:spLocks noChangeArrowheads="1"/>
        </xdr:cNvSpPr>
      </xdr:nvSpPr>
      <xdr:spPr bwMode="auto">
        <a:xfrm>
          <a:off x="0" y="556202850"/>
          <a:ext cx="6659595" cy="2571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4066</xdr:row>
      <xdr:rowOff>0</xdr:rowOff>
    </xdr:from>
    <xdr:to>
      <xdr:col>8</xdr:col>
      <xdr:colOff>0</xdr:colOff>
      <xdr:row>4071</xdr:row>
      <xdr:rowOff>0</xdr:rowOff>
    </xdr:to>
    <xdr:sp macro="" textlink="">
      <xdr:nvSpPr>
        <xdr:cNvPr id="273" name="Text Box 6"/>
        <xdr:cNvSpPr txBox="1">
          <a:spLocks noChangeArrowheads="1"/>
        </xdr:cNvSpPr>
      </xdr:nvSpPr>
      <xdr:spPr bwMode="auto">
        <a:xfrm>
          <a:off x="0" y="567994800"/>
          <a:ext cx="6659595" cy="6286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Anzahl, Komplexität und Intensität der Fälle in der ambulanten Jugendhilfe bleiben hoch. Die erfolgten Anpassungen beim Beratungskonzept und die standardisierte elektronisch gestützte Fallführung (KISS) ermöglichen, mit den zu erwartenden Entwicklungen Schritt zu halten.  </a:t>
          </a:r>
        </a:p>
        <a:p>
          <a:pPr algn="l" rtl="0">
            <a:defRPr sz="1000"/>
          </a:pPr>
          <a:r>
            <a:rPr lang="de-CH" sz="800" b="0" i="0" u="none" strike="noStrike" baseline="0">
              <a:solidFill>
                <a:srgbClr val="000000"/>
              </a:solidFill>
              <a:latin typeface="Arial"/>
              <a:cs typeface="Arial"/>
            </a:rPr>
            <a:t>Der Ausbau von PINTO um 2.4 Stellen nach der Annahme des Gegenvorschlags zur Sicherheitsinitiative zur Erhöhung der Präsenz im öffentlichen Raum wurde 2011 abgeschlossen.  </a:t>
          </a:r>
        </a:p>
      </xdr:txBody>
    </xdr:sp>
    <xdr:clientData/>
  </xdr:twoCellAnchor>
  <xdr:twoCellAnchor>
    <xdr:from>
      <xdr:col>0</xdr:col>
      <xdr:colOff>0</xdr:colOff>
      <xdr:row>4073</xdr:row>
      <xdr:rowOff>0</xdr:rowOff>
    </xdr:from>
    <xdr:to>
      <xdr:col>8</xdr:col>
      <xdr:colOff>0</xdr:colOff>
      <xdr:row>4078</xdr:row>
      <xdr:rowOff>28575</xdr:rowOff>
    </xdr:to>
    <xdr:sp macro="" textlink="">
      <xdr:nvSpPr>
        <xdr:cNvPr id="274" name="Text Box 7"/>
        <xdr:cNvSpPr txBox="1">
          <a:spLocks noChangeArrowheads="1"/>
        </xdr:cNvSpPr>
      </xdr:nvSpPr>
      <xdr:spPr bwMode="auto">
        <a:xfrm>
          <a:off x="0" y="568909200"/>
          <a:ext cx="6659595" cy="3143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kumimoji="0" lang="de-CH" sz="800" b="0" i="0" u="none" strike="noStrike" kern="0" cap="none" spc="0" normalizeH="0" baseline="0" noProof="0">
              <a:ln>
                <a:noFill/>
              </a:ln>
              <a:solidFill>
                <a:srgbClr val="000000"/>
              </a:solidFill>
              <a:effectLst/>
              <a:uLnTx/>
              <a:uFillTx/>
              <a:latin typeface="Arial"/>
              <a:ea typeface="+mn-ea"/>
              <a:cs typeface="Arial"/>
            </a:rPr>
            <a:t>Zur Klärung der mehrfachen Zuständigkeiten im Kindesschutz ist die Prüfung der organisatorischen Zuordnung der ambulanten Jugendhilfe im Gange. </a:t>
          </a:r>
          <a:endParaRPr lang="de-CH" sz="800" b="0" i="0" u="none" strike="noStrike" baseline="0">
            <a:solidFill>
              <a:srgbClr val="000000"/>
            </a:solidFill>
            <a:latin typeface="Arial"/>
            <a:cs typeface="Arial"/>
          </a:endParaRPr>
        </a:p>
      </xdr:txBody>
    </xdr:sp>
    <xdr:clientData/>
  </xdr:twoCellAnchor>
  <xdr:twoCellAnchor>
    <xdr:from>
      <xdr:col>0</xdr:col>
      <xdr:colOff>0</xdr:colOff>
      <xdr:row>4104</xdr:row>
      <xdr:rowOff>0</xdr:rowOff>
    </xdr:from>
    <xdr:to>
      <xdr:col>8</xdr:col>
      <xdr:colOff>0</xdr:colOff>
      <xdr:row>4107</xdr:row>
      <xdr:rowOff>0</xdr:rowOff>
    </xdr:to>
    <xdr:sp macro="" textlink="">
      <xdr:nvSpPr>
        <xdr:cNvPr id="275" name="Text Box 9"/>
        <xdr:cNvSpPr txBox="1">
          <a:spLocks noChangeArrowheads="1"/>
        </xdr:cNvSpPr>
      </xdr:nvSpPr>
      <xdr:spPr bwMode="auto">
        <a:xfrm>
          <a:off x="0" y="572766825"/>
          <a:ext cx="6659595"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4080</xdr:row>
      <xdr:rowOff>0</xdr:rowOff>
    </xdr:from>
    <xdr:to>
      <xdr:col>8</xdr:col>
      <xdr:colOff>0</xdr:colOff>
      <xdr:row>4082</xdr:row>
      <xdr:rowOff>0</xdr:rowOff>
    </xdr:to>
    <xdr:sp macro="" textlink="">
      <xdr:nvSpPr>
        <xdr:cNvPr id="276" name="Text Box 10"/>
        <xdr:cNvSpPr txBox="1">
          <a:spLocks noChangeArrowheads="1"/>
        </xdr:cNvSpPr>
      </xdr:nvSpPr>
      <xdr:spPr bwMode="auto">
        <a:xfrm>
          <a:off x="0" y="569480700"/>
          <a:ext cx="6659595"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Kinder, Jugendliche, Eltern und Bezugspersonen in schwierigen Situationen sowie Fachstellen.</a:t>
          </a:r>
        </a:p>
      </xdr:txBody>
    </xdr:sp>
    <xdr:clientData/>
  </xdr:twoCellAnchor>
  <xdr:twoCellAnchor>
    <xdr:from>
      <xdr:col>0</xdr:col>
      <xdr:colOff>0</xdr:colOff>
      <xdr:row>4059</xdr:row>
      <xdr:rowOff>0</xdr:rowOff>
    </xdr:from>
    <xdr:to>
      <xdr:col>8</xdr:col>
      <xdr:colOff>0</xdr:colOff>
      <xdr:row>4064</xdr:row>
      <xdr:rowOff>0</xdr:rowOff>
    </xdr:to>
    <xdr:sp macro="" textlink="">
      <xdr:nvSpPr>
        <xdr:cNvPr id="277" name="Text Box 11"/>
        <xdr:cNvSpPr txBox="1">
          <a:spLocks noChangeArrowheads="1"/>
        </xdr:cNvSpPr>
      </xdr:nvSpPr>
      <xdr:spPr bwMode="auto">
        <a:xfrm>
          <a:off x="0" y="566937525"/>
          <a:ext cx="6659595" cy="6286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Legislaturziel 5.1: Bern ist für Familien, Kinder und Jugendliche noch attraktiver / Massnahme 1: Die Stadt Bern verbessert die Rahmenbedingungen für Familien und Kinder im Vorschulalter / Indikator 1.3: An der Frankenstrasse 1 ist ein "Familienhaus" realisiert.</a:t>
          </a:r>
        </a:p>
        <a:p>
          <a:pPr algn="l" rtl="0">
            <a:defRPr sz="1000"/>
          </a:pPr>
          <a:r>
            <a:rPr lang="de-CH" sz="800" b="0" i="0" u="none" strike="noStrike" baseline="0">
              <a:solidFill>
                <a:srgbClr val="000000"/>
              </a:solidFill>
              <a:latin typeface="Arial"/>
              <a:cs typeface="Arial"/>
            </a:rPr>
            <a:t>Legislaturziel 1.2: Lebenswerte Quartiere, Freiflächen und sichere Stadträume / Massnahme 2: Die Stadt Bern sorgt dafür, dass sie als sicher wahrgenommen wird / Indikator 2.1: Die präventive sichtbare Präsenz von Sicherheitskräften und PINTO wird erhöht.</a:t>
          </a:r>
        </a:p>
        <a:p>
          <a:pPr algn="l" rtl="0">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4136</xdr:row>
      <xdr:rowOff>0</xdr:rowOff>
    </xdr:from>
    <xdr:to>
      <xdr:col>8</xdr:col>
      <xdr:colOff>0</xdr:colOff>
      <xdr:row>4142</xdr:row>
      <xdr:rowOff>9525</xdr:rowOff>
    </xdr:to>
    <xdr:sp macro="" textlink="">
      <xdr:nvSpPr>
        <xdr:cNvPr id="278" name="Text Box 6"/>
        <xdr:cNvSpPr txBox="1">
          <a:spLocks noChangeArrowheads="1"/>
        </xdr:cNvSpPr>
      </xdr:nvSpPr>
      <xdr:spPr bwMode="auto">
        <a:xfrm>
          <a:off x="0" y="576843525"/>
          <a:ext cx="6659595" cy="5810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Das Kompetenzzentrum Jugend und Familie Schlossmatt bietet stationäre Plätze für Kinder, Jugendliche und junge Mütter mit Kleinkindern sowie ambulante Familienbegleitung an. Die stationären Plätze werden wie bisher über einen Leistungsvertrag vollumfänglich direkt vom Kanton finanziert. Die Familienbegleitung wird auftragsweise mit den zuweisenden Stellen abgerechnet und bleibt für die Produktegruppe kostenneutral.</a:t>
          </a:r>
        </a:p>
      </xdr:txBody>
    </xdr:sp>
    <xdr:clientData/>
  </xdr:twoCellAnchor>
  <xdr:twoCellAnchor>
    <xdr:from>
      <xdr:col>0</xdr:col>
      <xdr:colOff>0</xdr:colOff>
      <xdr:row>4144</xdr:row>
      <xdr:rowOff>0</xdr:rowOff>
    </xdr:from>
    <xdr:to>
      <xdr:col>8</xdr:col>
      <xdr:colOff>0</xdr:colOff>
      <xdr:row>4148</xdr:row>
      <xdr:rowOff>11533</xdr:rowOff>
    </xdr:to>
    <xdr:sp macro="" textlink="">
      <xdr:nvSpPr>
        <xdr:cNvPr id="279" name="Text Box 7"/>
        <xdr:cNvSpPr txBox="1">
          <a:spLocks noChangeArrowheads="1"/>
        </xdr:cNvSpPr>
      </xdr:nvSpPr>
      <xdr:spPr bwMode="auto">
        <a:xfrm>
          <a:off x="0" y="577700775"/>
          <a:ext cx="6659595" cy="29728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600"/>
            </a:lnSpc>
            <a:defRPr sz="1000"/>
          </a:pPr>
          <a:endParaRPr lang="de-CH" sz="800" b="0" i="0" u="none" strike="noStrike" baseline="0">
            <a:solidFill>
              <a:srgbClr val="000000"/>
            </a:solidFill>
            <a:latin typeface="Arial"/>
            <a:cs typeface="Arial"/>
          </a:endParaRPr>
        </a:p>
        <a:p>
          <a:pPr algn="l" rtl="0">
            <a:lnSpc>
              <a:spcPts val="600"/>
            </a:lnSpc>
            <a:defRPr sz="1000"/>
          </a:pPr>
          <a:r>
            <a:rPr lang="de-CH" sz="800" b="0" i="0" u="none" strike="noStrike" baseline="0">
              <a:solidFill>
                <a:srgbClr val="000000"/>
              </a:solidFill>
              <a:latin typeface="Arial"/>
              <a:cs typeface="Arial"/>
            </a:rPr>
            <a:t>Keine</a:t>
          </a:r>
        </a:p>
        <a:p>
          <a:pPr algn="l" rtl="0">
            <a:lnSpc>
              <a:spcPts val="700"/>
            </a:lnSpc>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4175</xdr:row>
      <xdr:rowOff>0</xdr:rowOff>
    </xdr:from>
    <xdr:to>
      <xdr:col>8</xdr:col>
      <xdr:colOff>0</xdr:colOff>
      <xdr:row>4178</xdr:row>
      <xdr:rowOff>0</xdr:rowOff>
    </xdr:to>
    <xdr:sp macro="" textlink="">
      <xdr:nvSpPr>
        <xdr:cNvPr id="280" name="Text Box 9"/>
        <xdr:cNvSpPr txBox="1">
          <a:spLocks noChangeArrowheads="1"/>
        </xdr:cNvSpPr>
      </xdr:nvSpPr>
      <xdr:spPr bwMode="auto">
        <a:xfrm>
          <a:off x="0" y="581844150"/>
          <a:ext cx="6659595"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4150</xdr:row>
      <xdr:rowOff>0</xdr:rowOff>
    </xdr:from>
    <xdr:to>
      <xdr:col>8</xdr:col>
      <xdr:colOff>0</xdr:colOff>
      <xdr:row>4153</xdr:row>
      <xdr:rowOff>0</xdr:rowOff>
    </xdr:to>
    <xdr:sp macro="" textlink="">
      <xdr:nvSpPr>
        <xdr:cNvPr id="281" name="Text Box 10"/>
        <xdr:cNvSpPr txBox="1">
          <a:spLocks noChangeArrowheads="1"/>
        </xdr:cNvSpPr>
      </xdr:nvSpPr>
      <xdr:spPr bwMode="auto">
        <a:xfrm>
          <a:off x="0" y="578272275"/>
          <a:ext cx="6659595"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Kinder, Jugendliche und ihre Familiensysteme in akut oder chronisch schwierigen Situationen, die einen stationären Aufenthalt oder eine Familienbegleitung erfordern. Zuweisung durch Sozialdienste und Fachstellen.</a:t>
          </a:r>
        </a:p>
      </xdr:txBody>
    </xdr:sp>
    <xdr:clientData/>
  </xdr:twoCellAnchor>
  <xdr:twoCellAnchor>
    <xdr:from>
      <xdr:col>0</xdr:col>
      <xdr:colOff>0</xdr:colOff>
      <xdr:row>4130</xdr:row>
      <xdr:rowOff>0</xdr:rowOff>
    </xdr:from>
    <xdr:to>
      <xdr:col>8</xdr:col>
      <xdr:colOff>0</xdr:colOff>
      <xdr:row>4134</xdr:row>
      <xdr:rowOff>0</xdr:rowOff>
    </xdr:to>
    <xdr:sp macro="" textlink="">
      <xdr:nvSpPr>
        <xdr:cNvPr id="282" name="Text Box 11"/>
        <xdr:cNvSpPr txBox="1">
          <a:spLocks noChangeArrowheads="1"/>
        </xdr:cNvSpPr>
      </xdr:nvSpPr>
      <xdr:spPr bwMode="auto">
        <a:xfrm>
          <a:off x="0" y="576129150"/>
          <a:ext cx="6659595"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4205</xdr:row>
      <xdr:rowOff>0</xdr:rowOff>
    </xdr:from>
    <xdr:to>
      <xdr:col>8</xdr:col>
      <xdr:colOff>0</xdr:colOff>
      <xdr:row>4214</xdr:row>
      <xdr:rowOff>11456</xdr:rowOff>
    </xdr:to>
    <xdr:sp macro="" textlink="">
      <xdr:nvSpPr>
        <xdr:cNvPr id="283" name="Text Box 6"/>
        <xdr:cNvSpPr txBox="1">
          <a:spLocks noChangeArrowheads="1"/>
        </xdr:cNvSpPr>
      </xdr:nvSpPr>
      <xdr:spPr bwMode="auto">
        <a:xfrm>
          <a:off x="0" y="585425550"/>
          <a:ext cx="6659595" cy="1002056"/>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21600" anchor="t" upright="1"/>
        <a:lstStyle/>
        <a:p>
          <a:pPr algn="l" rtl="0">
            <a:lnSpc>
              <a:spcPct val="100000"/>
            </a:lnSpc>
            <a:defRPr sz="1000"/>
          </a:pPr>
          <a:r>
            <a:rPr lang="de-CH" sz="800" b="0" i="0" u="none" strike="noStrike" baseline="0">
              <a:solidFill>
                <a:srgbClr val="000000"/>
              </a:solidFill>
              <a:latin typeface="Arial"/>
              <a:cs typeface="Arial"/>
            </a:rPr>
            <a:t>Das Jugendamt (JA) hat von 2002 bis 2011 510 neue Plätze geschaffen, 2011 sind es 40. Auf der Anmeldeliste waren im Mai 2011 1'175 Kinder im Vorschulalter (2010: 894). Die Zunahme erklärt sich teilweise durch das veränderte Anmeldeverhalten der Eltern. Nach der Abstimmung über die Kita-Initiative im Frühjahr 2011 und der Annahme des Gegenvorschlages für die Einführung von Betreuungsgutscheinen steht auf 1. Januar 2013 ein grundlegender Systemwechsel in der Finanzierung und Steuerung des Angebotes bevor. Künftig werden anstelle der Betriebe die Eltern finanziell unterstützt. Mit dem Übergang von der Objekt- zur Subjektfinanzierung  sind  umfassende Veränderungen der Aufgaben und  Zuständigkeiten des Jugendamtes verbunden. Die Anpassung von Organisation und Abläufen sowie der kommunalen und kantonalen Rechtsgrundlagen ist im Gang.</a:t>
          </a:r>
        </a:p>
        <a:p>
          <a:pPr algn="l" rtl="0">
            <a:lnSpc>
              <a:spcPct val="100000"/>
            </a:lnSpc>
            <a:defRPr sz="1000"/>
          </a:pPr>
          <a:r>
            <a:rPr lang="de-CH" sz="800" b="0" i="0" u="none" strike="noStrike" baseline="0">
              <a:solidFill>
                <a:srgbClr val="000000"/>
              </a:solidFill>
              <a:latin typeface="Arial"/>
              <a:cs typeface="Arial"/>
            </a:rPr>
            <a:t>Die Mobiliar-Ausstattung mehrerer Tagesstätten muss in den nächsten Jahren an veränderte Rahmenbedingungen angepasst werden.  </a:t>
          </a:r>
        </a:p>
      </xdr:txBody>
    </xdr:sp>
    <xdr:clientData/>
  </xdr:twoCellAnchor>
  <xdr:twoCellAnchor>
    <xdr:from>
      <xdr:col>0</xdr:col>
      <xdr:colOff>1</xdr:colOff>
      <xdr:row>4216</xdr:row>
      <xdr:rowOff>1</xdr:rowOff>
    </xdr:from>
    <xdr:to>
      <xdr:col>8</xdr:col>
      <xdr:colOff>0</xdr:colOff>
      <xdr:row>4232</xdr:row>
      <xdr:rowOff>7620</xdr:rowOff>
    </xdr:to>
    <xdr:sp macro="" textlink="">
      <xdr:nvSpPr>
        <xdr:cNvPr id="284" name="Text Box 7"/>
        <xdr:cNvSpPr txBox="1">
          <a:spLocks noChangeArrowheads="1"/>
        </xdr:cNvSpPr>
      </xdr:nvSpPr>
      <xdr:spPr bwMode="auto">
        <a:xfrm>
          <a:off x="1" y="586692376"/>
          <a:ext cx="6659595" cy="194119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800" b="0" i="0" u="none" strike="noStrike" kern="0" cap="none" spc="0" normalizeH="0" baseline="0" noProof="0">
              <a:ln>
                <a:noFill/>
              </a:ln>
              <a:solidFill>
                <a:sysClr val="windowText" lastClr="000000"/>
              </a:solidFill>
              <a:effectLst/>
              <a:uLnTx/>
              <a:uFillTx/>
              <a:latin typeface="Arial"/>
              <a:ea typeface="+mn-ea"/>
              <a:cs typeface="Arial"/>
            </a:rPr>
            <a:t>Vor dem Systemwechsel auf Nachfragesteuerung initiiert das Jugendamt 2012 letztmals einen Ausbau um 20 Plätze. Der durch eine überwiesene Motion verlangte Ausbau von Spielgruppen ist davon nicht betroffen und wird fortgesetzt. Mit der Umstellung auf Betreuungsgutscheine fallen im Planjahr 2013 voraussichtlich Mehrkosten für die Administration von etwa Fr. 300'000.00 für 3 neue Stellen an, davon Fr. 30'000.00 als einmalige Kosten für die Büroinfrastruktur. Die Administration der Betreuungsgutscheine wird mit einer Spezialsoftware abgewickelt. Der Investitionskredit für die Beschaffung ist noch nicht beantragt. Die Planung geht davon aus, dass die Betreuungsgutscheine die Stadt Bern gleich viel kosten, wie das bisherige Angebot in den städtischen und städtisch subventionierten Tagesstätten. Wie genau die Gutscheine budgetiert und gebucht werden, kann erst im Voranschlag 2013 festgelegt werden. Im IAFP werden deshalb die bisherigen Kosten fortgeschrieben. Mehrkosten in noch unbekannter Höhe entstehen ab 2013 für Betreuungsgutscheine an Eltern, die ihre Kinder bisher nicht, oder in einer privaten, von der Stadt nicht subventionierten Tagesstätte betreuen liessen. Für schätzungsweise  200 zusätzliche Plätze muss mit Kosten von ca. 2</a:t>
          </a:r>
          <a:r>
            <a:rPr kumimoji="0" lang="de-CH" sz="800" b="0" i="0" u="none" strike="noStrike" kern="0" cap="none" spc="0" normalizeH="0" baseline="0">
              <a:ln>
                <a:noFill/>
              </a:ln>
              <a:solidFill>
                <a:sysClr val="windowText" lastClr="000000"/>
              </a:solidFill>
              <a:effectLst/>
              <a:uLnTx/>
              <a:uFillTx/>
              <a:latin typeface="Arial"/>
              <a:ea typeface="+mn-ea"/>
              <a:cs typeface="Arial"/>
            </a:rPr>
            <a:t> Mio. Fr. gerechnet werden.</a:t>
          </a:r>
          <a:r>
            <a:rPr kumimoji="0" lang="de-CH" sz="800" b="0" i="0" u="none" strike="noStrike" kern="0" cap="none" spc="0" normalizeH="0" baseline="0" noProof="0">
              <a:ln>
                <a:noFill/>
              </a:ln>
              <a:solidFill>
                <a:sysClr val="windowText" lastClr="000000"/>
              </a:solidFill>
              <a:effectLst/>
              <a:uLnTx/>
              <a:uFillTx/>
              <a:latin typeface="Arial"/>
              <a:ea typeface="+mn-ea"/>
              <a:cs typeface="Arial"/>
            </a:rPr>
            <a:t> Eine genauere Prognose aufgrund aktueller Steuerdaten ist erst für den Voranschlag 2013 möglich.</a:t>
          </a:r>
          <a:br>
            <a:rPr kumimoji="0" lang="de-CH" sz="800" b="0" i="0" u="none" strike="noStrike" kern="0" cap="none" spc="0" normalizeH="0" baseline="0" noProof="0">
              <a:ln>
                <a:noFill/>
              </a:ln>
              <a:solidFill>
                <a:sysClr val="windowText" lastClr="000000"/>
              </a:solidFill>
              <a:effectLst/>
              <a:uLnTx/>
              <a:uFillTx/>
              <a:latin typeface="Arial"/>
              <a:ea typeface="+mn-ea"/>
              <a:cs typeface="Arial"/>
            </a:rPr>
          </a:br>
          <a:r>
            <a:rPr lang="de-CH" sz="800" b="0" i="0" u="none" strike="noStrike" baseline="0">
              <a:solidFill>
                <a:sysClr val="windowText" lastClr="000000"/>
              </a:solidFill>
              <a:latin typeface="Arial"/>
              <a:cs typeface="Arial"/>
            </a:rPr>
            <a:t>Für Neumöblierungen der Kita Tscharnergut und des Tagis Kleefeld sind 2014 Fr. 50'000.00 geplant. Für die Möblierung Neubauten der Tagesstätte Aaregg  und des Tagi Lorraine sowie Mietfolgekosten und Heiz- und Betriebskosten (Aaregg für 2015 und 2016 je Fr. 47'000.00, Lorraine ab 2016: Fr. 60'750.00). Ab 2013 fallen wegen dem Systemwechsel die Startbeiträge des Bundes für neue Plätze weg, was den Rückgang der Erlöse von 2012 zu 2013 erklärt.</a:t>
          </a:r>
          <a:endParaRPr lang="de-CH" sz="800" b="0" i="1" u="none" strike="noStrike" baseline="0">
            <a:solidFill>
              <a:sysClr val="windowText" lastClr="000000"/>
            </a:solidFill>
            <a:latin typeface="Arial"/>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de-CH" sz="800" b="0" i="0" u="none" strike="noStrike" baseline="0">
            <a:solidFill>
              <a:sysClr val="windowText" lastClr="000000"/>
            </a:solidFill>
            <a:latin typeface="Arial"/>
            <a:cs typeface="Arial"/>
          </a:endParaRPr>
        </a:p>
      </xdr:txBody>
    </xdr:sp>
    <xdr:clientData/>
  </xdr:twoCellAnchor>
  <xdr:twoCellAnchor>
    <xdr:from>
      <xdr:col>0</xdr:col>
      <xdr:colOff>1</xdr:colOff>
      <xdr:row>4259</xdr:row>
      <xdr:rowOff>1</xdr:rowOff>
    </xdr:from>
    <xdr:to>
      <xdr:col>8</xdr:col>
      <xdr:colOff>0</xdr:colOff>
      <xdr:row>4261</xdr:row>
      <xdr:rowOff>9526</xdr:rowOff>
    </xdr:to>
    <xdr:sp macro="" textlink="">
      <xdr:nvSpPr>
        <xdr:cNvPr id="285" name="Text Box 9"/>
        <xdr:cNvSpPr txBox="1">
          <a:spLocks noChangeArrowheads="1"/>
        </xdr:cNvSpPr>
      </xdr:nvSpPr>
      <xdr:spPr bwMode="auto">
        <a:xfrm>
          <a:off x="1" y="592483576"/>
          <a:ext cx="6659595" cy="2952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lIns="28800"/>
        <a:lstStyle/>
        <a:p>
          <a:r>
            <a:rPr lang="de-CH" sz="800">
              <a:latin typeface="Arial" pitchFamily="34" charset="0"/>
              <a:cs typeface="Arial" pitchFamily="34" charset="0"/>
            </a:rPr>
            <a:t>Ersatzbeschaffung</a:t>
          </a:r>
          <a:r>
            <a:rPr lang="de-CH" sz="800" baseline="0">
              <a:latin typeface="Arial" pitchFamily="34" charset="0"/>
              <a:cs typeface="Arial" pitchFamily="34" charset="0"/>
            </a:rPr>
            <a:t> von Mobiliar in 10 bestehenden Tagesstätten</a:t>
          </a:r>
          <a:r>
            <a:rPr lang="de-CH" sz="900" baseline="0">
              <a:latin typeface="Arial" pitchFamily="34" charset="0"/>
              <a:cs typeface="Arial" pitchFamily="34" charset="0"/>
            </a:rPr>
            <a:t>.</a:t>
          </a:r>
          <a:endParaRPr lang="de-CH" sz="900">
            <a:latin typeface="Arial" pitchFamily="34" charset="0"/>
            <a:cs typeface="Arial" pitchFamily="34" charset="0"/>
          </a:endParaRPr>
        </a:p>
      </xdr:txBody>
    </xdr:sp>
    <xdr:clientData/>
  </xdr:twoCellAnchor>
  <xdr:twoCellAnchor>
    <xdr:from>
      <xdr:col>0</xdr:col>
      <xdr:colOff>0</xdr:colOff>
      <xdr:row>4234</xdr:row>
      <xdr:rowOff>0</xdr:rowOff>
    </xdr:from>
    <xdr:to>
      <xdr:col>8</xdr:col>
      <xdr:colOff>0</xdr:colOff>
      <xdr:row>4237</xdr:row>
      <xdr:rowOff>1758</xdr:rowOff>
    </xdr:to>
    <xdr:sp macro="" textlink="">
      <xdr:nvSpPr>
        <xdr:cNvPr id="286" name="Text Box 10"/>
        <xdr:cNvSpPr txBox="1">
          <a:spLocks noChangeArrowheads="1"/>
        </xdr:cNvSpPr>
      </xdr:nvSpPr>
      <xdr:spPr bwMode="auto">
        <a:xfrm>
          <a:off x="0" y="588911700"/>
          <a:ext cx="6659595" cy="43038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Kinder im Vorschulalter und Jugendliche im Schulalter, ihre Eltern und sonstigen Bezugspersonen, die auf familienergänzende Betreuung angewiesen sind oder in Spielgruppen teilnehmen. </a:t>
          </a:r>
        </a:p>
      </xdr:txBody>
    </xdr:sp>
    <xdr:clientData/>
  </xdr:twoCellAnchor>
  <xdr:twoCellAnchor>
    <xdr:from>
      <xdr:col>0</xdr:col>
      <xdr:colOff>0</xdr:colOff>
      <xdr:row>4198</xdr:row>
      <xdr:rowOff>0</xdr:rowOff>
    </xdr:from>
    <xdr:to>
      <xdr:col>8</xdr:col>
      <xdr:colOff>0</xdr:colOff>
      <xdr:row>4201</xdr:row>
      <xdr:rowOff>129353</xdr:rowOff>
    </xdr:to>
    <xdr:sp macro="" textlink="">
      <xdr:nvSpPr>
        <xdr:cNvPr id="287" name="Text Box 11"/>
        <xdr:cNvSpPr txBox="1">
          <a:spLocks noChangeArrowheads="1"/>
        </xdr:cNvSpPr>
      </xdr:nvSpPr>
      <xdr:spPr bwMode="auto">
        <a:xfrm>
          <a:off x="0" y="584568300"/>
          <a:ext cx="6659595" cy="41510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Legislaturziel 5.1: Bern ist für Kinder, Familien und Jugendliche noch attraktiver / Massnahme: Rahmenbedingungen für Familien und Kinder im Vorschulalter verbessern / Indikator 1.1: Die Stadt Bern hat für jedes Kind, das eine familienergänzende Kinderbetreuung braucht, einen Platz.</a:t>
          </a:r>
        </a:p>
      </xdr:txBody>
    </xdr:sp>
    <xdr:clientData/>
  </xdr:twoCellAnchor>
  <xdr:twoCellAnchor>
    <xdr:from>
      <xdr:col>0</xdr:col>
      <xdr:colOff>9525</xdr:colOff>
      <xdr:row>4293</xdr:row>
      <xdr:rowOff>0</xdr:rowOff>
    </xdr:from>
    <xdr:to>
      <xdr:col>8</xdr:col>
      <xdr:colOff>0</xdr:colOff>
      <xdr:row>4313</xdr:row>
      <xdr:rowOff>0</xdr:rowOff>
    </xdr:to>
    <xdr:sp macro="" textlink="">
      <xdr:nvSpPr>
        <xdr:cNvPr id="288" name="Text Box 6"/>
        <xdr:cNvSpPr txBox="1">
          <a:spLocks noChangeArrowheads="1"/>
        </xdr:cNvSpPr>
      </xdr:nvSpPr>
      <xdr:spPr bwMode="auto">
        <a:xfrm>
          <a:off x="9525" y="596950800"/>
          <a:ext cx="6659595" cy="20002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a:r>
            <a:rPr lang="de-CH" sz="800" b="0" i="0" u="none" strike="noStrike" baseline="0">
              <a:solidFill>
                <a:srgbClr val="000000"/>
              </a:solidFill>
              <a:latin typeface="Arial"/>
              <a:cs typeface="Arial"/>
            </a:rPr>
            <a:t>Die Gemeindebeiträge für die Ergänzungsleistungen der AHV und IV richten sich nach den Planvorgaben des Kantons. Sie erhöhen sich im Jahr 2013 gegenüber dem Budget 2012 um 0.8 Mio. Fr. und steigen jährlich an (2014  um 1,3 Mio. Fr., 2015 um 1,15 Mio. Fr., 2016 um 1,35 Mio.Fr.). </a:t>
          </a:r>
        </a:p>
        <a:p>
          <a:pPr algn="l"/>
          <a:r>
            <a:rPr lang="de-CH" sz="800" b="0" i="0" u="none" strike="noStrike" baseline="0">
              <a:solidFill>
                <a:srgbClr val="000000"/>
              </a:solidFill>
              <a:latin typeface="Arial"/>
              <a:cs typeface="Arial"/>
            </a:rPr>
            <a:t>Die Einführung des FILAG 2012 hat folgende Auswirkungen:</a:t>
          </a:r>
        </a:p>
        <a:p>
          <a:pPr algn="l"/>
          <a:endParaRPr lang="de-CH" sz="800" b="0" i="0" u="none" strike="noStrike" baseline="0">
            <a:solidFill>
              <a:srgbClr val="000000"/>
            </a:solidFill>
            <a:latin typeface="Arial"/>
            <a:cs typeface="Arial"/>
          </a:endParaRPr>
        </a:p>
        <a:p>
          <a:pPr algn="l"/>
          <a:r>
            <a:rPr lang="de-CH" sz="800" b="0" i="0" u="none" strike="noStrike" baseline="0">
              <a:solidFill>
                <a:srgbClr val="000000"/>
              </a:solidFill>
              <a:latin typeface="Arial"/>
              <a:cs typeface="Arial"/>
            </a:rPr>
            <a:t>Die steigenden Kosten, welche erstmals 2013 zum Tragen kommen, sind auf die Einführung des FILAG 2012 zurückzuführen.</a:t>
          </a:r>
          <a:r>
            <a:rPr lang="de-CH" sz="800" b="0" i="0" u="none" strike="noStrike" baseline="0" smtClean="0">
              <a:latin typeface="Arial"/>
            </a:rPr>
            <a:t> Die Gemeinden beteiligen sich  über den Lastenausgleich </a:t>
          </a:r>
          <a:r>
            <a:rPr lang="de-CH" sz="800" b="0" i="0" u="none" strike="noStrike" baseline="0">
              <a:solidFill>
                <a:srgbClr val="000000"/>
              </a:solidFill>
              <a:latin typeface="Arial"/>
              <a:cs typeface="Arial"/>
            </a:rPr>
            <a:t>Ergänzungsleistungen an den Krankenkassenprämien für EL-Beziehende und an der Infrastruktur der Heime, sowie den Kosten des Heimaufenthalts. Auf der anderen Seite wird der Lastenausgleich EL teilweise entlastet, da die Pflegefinanzierung vom Kanton getragen wird. Das neue Finanzierungssystem wirkt sich auch auf die Zuschüsse nach Dekret (ZuDe) aus, da ab 2011 der Heimaufenthalt nahezu vollständig über die EL bezahlt wird. Dies wurde bereits im Budget 2012 berücksichtigt. Auf der Grundlage der geschätzten Ausgaben 2011 kann davon ausgegangen werden, dass die Auszahlungen von Zuschüsse nach Dekret ab 2013 konstant bleiben. Ab 2013 kann sogar mit einem Mehrerlös von Fr. 100'000.00 infolge Rückerstattungen aus Erbschaften gerechnet werden.</a:t>
          </a:r>
        </a:p>
        <a:p>
          <a:pPr algn="l" rtl="0">
            <a:defRPr sz="1000"/>
          </a:pPr>
          <a:endParaRPr lang="de-CH" sz="800" b="0" i="0" u="none" strike="noStrike" baseline="0">
            <a:solidFill>
              <a:srgbClr val="000000"/>
            </a:solidFill>
            <a:latin typeface="Arial"/>
            <a:cs typeface="Arial"/>
          </a:endParaRPr>
        </a:p>
        <a:p>
          <a:pPr algn="l" rtl="0">
            <a:defRPr sz="1000"/>
          </a:pPr>
          <a:r>
            <a:rPr lang="de-CH" sz="800" b="0" i="0" u="none" strike="noStrike" baseline="0">
              <a:solidFill>
                <a:srgbClr val="000000"/>
              </a:solidFill>
              <a:latin typeface="Arial"/>
              <a:cs typeface="Arial"/>
            </a:rPr>
            <a:t>Bei den Familienzulagen muss, wie im Vorjahr, mit einem Gemeindebeitrag von rund Fr. 500'000.00 gerechnet werden.</a:t>
          </a:r>
        </a:p>
        <a:p>
          <a:pPr algn="l" rtl="0">
            <a:defRPr sz="1000"/>
          </a:pPr>
          <a:r>
            <a:rPr lang="de-CH" sz="800" b="0" i="0" u="none" strike="noStrike" baseline="0">
              <a:solidFill>
                <a:srgbClr val="000000"/>
              </a:solidFill>
              <a:latin typeface="Arial"/>
              <a:cs typeface="Arial"/>
            </a:rPr>
            <a:t> </a:t>
          </a:r>
        </a:p>
        <a:p>
          <a:pPr algn="l" rtl="0">
            <a:defRPr sz="1000"/>
          </a:pPr>
          <a:r>
            <a:rPr lang="de-CH" sz="800" b="0" i="0" u="none" strike="noStrike" baseline="0">
              <a:solidFill>
                <a:srgbClr val="000000"/>
              </a:solidFill>
              <a:latin typeface="Arial"/>
              <a:cs typeface="Arial"/>
            </a:rPr>
            <a:t>Mit der Einführung von Nil+ (Informatik-Tool der kantonalen Ausgleichskasse) sind 2013 einmalige Mehrkosten von Fr. 100'000.00 vorgesehen.</a:t>
          </a:r>
        </a:p>
      </xdr:txBody>
    </xdr:sp>
    <xdr:clientData/>
  </xdr:twoCellAnchor>
  <xdr:twoCellAnchor>
    <xdr:from>
      <xdr:col>0</xdr:col>
      <xdr:colOff>0</xdr:colOff>
      <xdr:row>4316</xdr:row>
      <xdr:rowOff>0</xdr:rowOff>
    </xdr:from>
    <xdr:to>
      <xdr:col>8</xdr:col>
      <xdr:colOff>0</xdr:colOff>
      <xdr:row>4320</xdr:row>
      <xdr:rowOff>0</xdr:rowOff>
    </xdr:to>
    <xdr:sp macro="" textlink="">
      <xdr:nvSpPr>
        <xdr:cNvPr id="289" name="Text Box 7"/>
        <xdr:cNvSpPr txBox="1">
          <a:spLocks noChangeArrowheads="1"/>
        </xdr:cNvSpPr>
      </xdr:nvSpPr>
      <xdr:spPr bwMode="auto">
        <a:xfrm>
          <a:off x="0" y="599236800"/>
          <a:ext cx="6667500" cy="5715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ct val="100000"/>
            </a:lnSpc>
            <a:defRPr sz="1000"/>
          </a:pPr>
          <a:r>
            <a:rPr lang="de-CH" sz="800" b="0" i="0" u="none" strike="noStrike" baseline="0">
              <a:solidFill>
                <a:srgbClr val="000000"/>
              </a:solidFill>
              <a:latin typeface="Arial"/>
              <a:cs typeface="Arial"/>
            </a:rPr>
            <a:t>Aufgrund der strategischen Aufgabenüberprüfung des Gemeinderats mussten in der Produktegruppe PG350200 ab 2012 Fr. 170'000.00 an Personalkosten eingespart werden. Anstelle der Produktegruppe PG350200 wurde die Einsparung in der Produktegruppe PG350100 umgesetzt </a:t>
          </a:r>
        </a:p>
        <a:p>
          <a:pPr algn="l" rtl="0">
            <a:lnSpc>
              <a:spcPct val="100000"/>
            </a:lnSpc>
            <a:defRPr sz="1000"/>
          </a:pPr>
          <a:r>
            <a:rPr lang="de-CH" sz="800" b="0" i="0" u="none" strike="noStrike" baseline="0">
              <a:solidFill>
                <a:srgbClr val="000000"/>
              </a:solidFill>
              <a:latin typeface="Arial"/>
              <a:cs typeface="Arial"/>
            </a:rPr>
            <a:t>und wird im IAFP 2013-2016 fortgeschrieben.  </a:t>
          </a:r>
        </a:p>
      </xdr:txBody>
    </xdr:sp>
    <xdr:clientData/>
  </xdr:twoCellAnchor>
  <xdr:twoCellAnchor>
    <xdr:from>
      <xdr:col>0</xdr:col>
      <xdr:colOff>0</xdr:colOff>
      <xdr:row>4347</xdr:row>
      <xdr:rowOff>0</xdr:rowOff>
    </xdr:from>
    <xdr:to>
      <xdr:col>8</xdr:col>
      <xdr:colOff>0</xdr:colOff>
      <xdr:row>4350</xdr:row>
      <xdr:rowOff>0</xdr:rowOff>
    </xdr:to>
    <xdr:sp macro="" textlink="">
      <xdr:nvSpPr>
        <xdr:cNvPr id="290" name="Text Box 9"/>
        <xdr:cNvSpPr txBox="1">
          <a:spLocks noChangeArrowheads="1"/>
        </xdr:cNvSpPr>
      </xdr:nvSpPr>
      <xdr:spPr bwMode="auto">
        <a:xfrm>
          <a:off x="0" y="603523050"/>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4323</xdr:row>
      <xdr:rowOff>0</xdr:rowOff>
    </xdr:from>
    <xdr:to>
      <xdr:col>8</xdr:col>
      <xdr:colOff>0</xdr:colOff>
      <xdr:row>4325</xdr:row>
      <xdr:rowOff>0</xdr:rowOff>
    </xdr:to>
    <xdr:sp macro="" textlink="">
      <xdr:nvSpPr>
        <xdr:cNvPr id="291" name="Text Box 10"/>
        <xdr:cNvSpPr txBox="1">
          <a:spLocks noChangeArrowheads="1"/>
        </xdr:cNvSpPr>
      </xdr:nvSpPr>
      <xdr:spPr bwMode="auto">
        <a:xfrm>
          <a:off x="0" y="600094050"/>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Bund, Kanton, Wirtschaft, EinwohnerInnen Stadt Bern</a:t>
          </a:r>
        </a:p>
      </xdr:txBody>
    </xdr:sp>
    <xdr:clientData/>
  </xdr:twoCellAnchor>
  <xdr:twoCellAnchor>
    <xdr:from>
      <xdr:col>0</xdr:col>
      <xdr:colOff>0</xdr:colOff>
      <xdr:row>4287</xdr:row>
      <xdr:rowOff>1904</xdr:rowOff>
    </xdr:from>
    <xdr:to>
      <xdr:col>8</xdr:col>
      <xdr:colOff>0</xdr:colOff>
      <xdr:row>4287</xdr:row>
      <xdr:rowOff>198119</xdr:rowOff>
    </xdr:to>
    <xdr:sp macro="" textlink="">
      <xdr:nvSpPr>
        <xdr:cNvPr id="292" name="Text Box 11"/>
        <xdr:cNvSpPr txBox="1">
          <a:spLocks noChangeArrowheads="1"/>
        </xdr:cNvSpPr>
      </xdr:nvSpPr>
      <xdr:spPr bwMode="auto">
        <a:xfrm>
          <a:off x="0" y="596333579"/>
          <a:ext cx="6667500" cy="19621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4378</xdr:row>
      <xdr:rowOff>89535</xdr:rowOff>
    </xdr:from>
    <xdr:to>
      <xdr:col>8</xdr:col>
      <xdr:colOff>0</xdr:colOff>
      <xdr:row>4391</xdr:row>
      <xdr:rowOff>119924</xdr:rowOff>
    </xdr:to>
    <xdr:sp macro="" textlink="">
      <xdr:nvSpPr>
        <xdr:cNvPr id="293" name="Text Box 6"/>
        <xdr:cNvSpPr txBox="1">
          <a:spLocks noChangeArrowheads="1"/>
        </xdr:cNvSpPr>
      </xdr:nvSpPr>
      <xdr:spPr bwMode="auto">
        <a:xfrm>
          <a:off x="0" y="607641660"/>
          <a:ext cx="6667500" cy="45901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800" b="0" i="0" u="none" strike="noStrike" kern="0" cap="none" spc="0" normalizeH="0" baseline="0" noProof="0">
              <a:ln>
                <a:noFill/>
              </a:ln>
              <a:solidFill>
                <a:srgbClr val="000000"/>
              </a:solidFill>
              <a:effectLst/>
              <a:uLnTx/>
              <a:uFillTx/>
              <a:latin typeface="Arial"/>
              <a:ea typeface="+mn-ea"/>
              <a:cs typeface="Arial"/>
            </a:rPr>
            <a:t>Diese Produktegruppe wird nicht mehr geführt. Das Produkt P350210 "Städtisches Alters- und Pflegeheim Kühlewil" wurde in das Produkt P350510 in der neuen Produktegruppe Alter (P350500) überführt (siehe Bemerkungen bei der Produktegruppe PG350500 Alter). </a:t>
          </a:r>
        </a:p>
        <a:p>
          <a:pPr algn="l" rtl="0">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4395</xdr:row>
      <xdr:rowOff>323850</xdr:rowOff>
    </xdr:from>
    <xdr:to>
      <xdr:col>8</xdr:col>
      <xdr:colOff>0</xdr:colOff>
      <xdr:row>4405</xdr:row>
      <xdr:rowOff>123825</xdr:rowOff>
    </xdr:to>
    <xdr:sp macro="" textlink="">
      <xdr:nvSpPr>
        <xdr:cNvPr id="294" name="Text Box 7"/>
        <xdr:cNvSpPr txBox="1">
          <a:spLocks noChangeArrowheads="1"/>
        </xdr:cNvSpPr>
      </xdr:nvSpPr>
      <xdr:spPr bwMode="auto">
        <a:xfrm>
          <a:off x="0" y="608409375"/>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800" b="0" i="0" u="none" strike="noStrike" kern="0" cap="none" spc="0" normalizeH="0" baseline="0" noProof="0">
              <a:ln>
                <a:noFill/>
              </a:ln>
              <a:solidFill>
                <a:srgbClr val="000000"/>
              </a:solidFill>
              <a:effectLst/>
              <a:uLnTx/>
              <a:uFillTx/>
              <a:latin typeface="Arial"/>
              <a:ea typeface="+mn-ea"/>
              <a:cs typeface="Arial"/>
            </a:rPr>
            <a:t>Keine</a:t>
          </a:r>
          <a:endParaRPr lang="de-CH" sz="800" b="0" i="0" u="none" strike="noStrike" baseline="0">
            <a:solidFill>
              <a:srgbClr val="000000"/>
            </a:solidFill>
            <a:latin typeface="Arial"/>
            <a:cs typeface="Arial"/>
          </a:endParaRPr>
        </a:p>
      </xdr:txBody>
    </xdr:sp>
    <xdr:clientData/>
  </xdr:twoCellAnchor>
  <xdr:twoCellAnchor>
    <xdr:from>
      <xdr:col>0</xdr:col>
      <xdr:colOff>0</xdr:colOff>
      <xdr:row>4436</xdr:row>
      <xdr:rowOff>0</xdr:rowOff>
    </xdr:from>
    <xdr:to>
      <xdr:col>8</xdr:col>
      <xdr:colOff>0</xdr:colOff>
      <xdr:row>4437</xdr:row>
      <xdr:rowOff>129136</xdr:rowOff>
    </xdr:to>
    <xdr:sp macro="" textlink="">
      <xdr:nvSpPr>
        <xdr:cNvPr id="295" name="Text Box 9"/>
        <xdr:cNvSpPr txBox="1">
          <a:spLocks noChangeArrowheads="1"/>
        </xdr:cNvSpPr>
      </xdr:nvSpPr>
      <xdr:spPr bwMode="auto">
        <a:xfrm>
          <a:off x="0" y="612409875"/>
          <a:ext cx="6667500" cy="27201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a:p>
          <a:pPr algn="l" rtl="0">
            <a:defRPr sz="1000"/>
          </a:pPr>
          <a:r>
            <a:rPr lang="de-CH" sz="800" b="0" i="0" u="none" strike="noStrike" baseline="0">
              <a:solidFill>
                <a:srgbClr val="000000"/>
              </a:solidFill>
              <a:latin typeface="Arial"/>
              <a:cs typeface="Arial"/>
            </a:rPr>
            <a:t>                                                                                                                                                          </a:t>
          </a:r>
        </a:p>
      </xdr:txBody>
    </xdr:sp>
    <xdr:clientData/>
  </xdr:twoCellAnchor>
  <xdr:twoCellAnchor>
    <xdr:from>
      <xdr:col>0</xdr:col>
      <xdr:colOff>0</xdr:colOff>
      <xdr:row>4409</xdr:row>
      <xdr:rowOff>0</xdr:rowOff>
    </xdr:from>
    <xdr:to>
      <xdr:col>8</xdr:col>
      <xdr:colOff>0</xdr:colOff>
      <xdr:row>4411</xdr:row>
      <xdr:rowOff>0</xdr:rowOff>
    </xdr:to>
    <xdr:sp macro="" textlink="">
      <xdr:nvSpPr>
        <xdr:cNvPr id="296" name="Text Box 10"/>
        <xdr:cNvSpPr txBox="1">
          <a:spLocks noChangeArrowheads="1"/>
        </xdr:cNvSpPr>
      </xdr:nvSpPr>
      <xdr:spPr bwMode="auto">
        <a:xfrm>
          <a:off x="0" y="608980875"/>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0</xdr:colOff>
      <xdr:row>4372</xdr:row>
      <xdr:rowOff>129540</xdr:rowOff>
    </xdr:from>
    <xdr:to>
      <xdr:col>8</xdr:col>
      <xdr:colOff>0</xdr:colOff>
      <xdr:row>4374</xdr:row>
      <xdr:rowOff>136758</xdr:rowOff>
    </xdr:to>
    <xdr:sp macro="" textlink="">
      <xdr:nvSpPr>
        <xdr:cNvPr id="297" name="Text Box 11"/>
        <xdr:cNvSpPr txBox="1">
          <a:spLocks noChangeArrowheads="1"/>
        </xdr:cNvSpPr>
      </xdr:nvSpPr>
      <xdr:spPr bwMode="auto">
        <a:xfrm>
          <a:off x="0" y="606795840"/>
          <a:ext cx="6667500" cy="292968"/>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4467</xdr:row>
      <xdr:rowOff>70485</xdr:rowOff>
    </xdr:from>
    <xdr:to>
      <xdr:col>7</xdr:col>
      <xdr:colOff>752475</xdr:colOff>
      <xdr:row>4473</xdr:row>
      <xdr:rowOff>78</xdr:rowOff>
    </xdr:to>
    <xdr:sp macro="" textlink="">
      <xdr:nvSpPr>
        <xdr:cNvPr id="298" name="Text Box 6"/>
        <xdr:cNvSpPr txBox="1">
          <a:spLocks noChangeArrowheads="1"/>
        </xdr:cNvSpPr>
      </xdr:nvSpPr>
      <xdr:spPr bwMode="auto">
        <a:xfrm>
          <a:off x="0" y="616376085"/>
          <a:ext cx="6648450" cy="682068"/>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800" b="0" i="0" u="none" strike="noStrike" kern="0" cap="none" spc="0" normalizeH="0" baseline="0" noProof="0">
              <a:ln>
                <a:noFill/>
              </a:ln>
              <a:solidFill>
                <a:srgbClr val="000000"/>
              </a:solidFill>
              <a:effectLst/>
              <a:uLnTx/>
              <a:uFillTx/>
              <a:latin typeface="Arial"/>
              <a:ea typeface="+mn-ea"/>
              <a:cs typeface="Arial"/>
            </a:rPr>
            <a:t>Diese Produktegruppe wird nicht mehr geführt. Ab 1. Januar 2011 erfolgte die Finanzierung der Produkte P350320 "Ambulante pflegerische Leistungen" und P350330 "Hauswirtschaftliche Leistungen" durch den Kanton (Einführung neues Finanzierungssystem bedingt durch das Bundesgesetz vom 13. Juni 2008 über die Neuordnung der Pflegefinanzierung). Er schliesst ab 2011 auch den Leistungsvertrag mit Spitex ab und führt diese Leistungen dem Lastenausgleich Sozialhilfe zu. Die Stadt muss sich über den Lastenanteil an den Kosten beteiligen. </a:t>
          </a:r>
        </a:p>
        <a:p>
          <a:pPr algn="l" rtl="0">
            <a:lnSpc>
              <a:spcPts val="1000"/>
            </a:lnSpc>
            <a:defRPr sz="1000"/>
          </a:pPr>
          <a:endParaRPr lang="de-CH" sz="800" b="0" i="0" u="none" strike="noStrike" baseline="0">
            <a:solidFill>
              <a:srgbClr val="000000"/>
            </a:solidFill>
            <a:latin typeface="Arial"/>
            <a:cs typeface="Arial"/>
          </a:endParaRPr>
        </a:p>
      </xdr:txBody>
    </xdr:sp>
    <xdr:clientData/>
  </xdr:twoCellAnchor>
  <xdr:twoCellAnchor>
    <xdr:from>
      <xdr:col>0</xdr:col>
      <xdr:colOff>9524</xdr:colOff>
      <xdr:row>4475</xdr:row>
      <xdr:rowOff>0</xdr:rowOff>
    </xdr:from>
    <xdr:to>
      <xdr:col>8</xdr:col>
      <xdr:colOff>0</xdr:colOff>
      <xdr:row>4477</xdr:row>
      <xdr:rowOff>7620</xdr:rowOff>
    </xdr:to>
    <xdr:sp macro="" textlink="">
      <xdr:nvSpPr>
        <xdr:cNvPr id="299" name="Text Box 7"/>
        <xdr:cNvSpPr txBox="1">
          <a:spLocks noChangeArrowheads="1"/>
        </xdr:cNvSpPr>
      </xdr:nvSpPr>
      <xdr:spPr bwMode="auto">
        <a:xfrm>
          <a:off x="9524" y="617343825"/>
          <a:ext cx="6648451" cy="29337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800" b="0" i="0" u="none" strike="noStrike" kern="0" cap="none" spc="0" normalizeH="0" baseline="0" noProof="0">
              <a:ln>
                <a:noFill/>
              </a:ln>
              <a:solidFill>
                <a:srgbClr val="000000"/>
              </a:solidFill>
              <a:effectLst/>
              <a:uLnTx/>
              <a:uFillTx/>
              <a:latin typeface="Arial"/>
              <a:ea typeface="+mn-ea"/>
              <a:cs typeface="Arial"/>
            </a:rPr>
            <a:t>Keine</a:t>
          </a:r>
        </a:p>
        <a:p>
          <a:pPr algn="l" rtl="0">
            <a:lnSpc>
              <a:spcPts val="800"/>
            </a:lnSpc>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4509</xdr:row>
      <xdr:rowOff>0</xdr:rowOff>
    </xdr:from>
    <xdr:to>
      <xdr:col>8</xdr:col>
      <xdr:colOff>0</xdr:colOff>
      <xdr:row>4512</xdr:row>
      <xdr:rowOff>0</xdr:rowOff>
    </xdr:to>
    <xdr:sp macro="" textlink="">
      <xdr:nvSpPr>
        <xdr:cNvPr id="300" name="Text Box 9"/>
        <xdr:cNvSpPr txBox="1">
          <a:spLocks noChangeArrowheads="1"/>
        </xdr:cNvSpPr>
      </xdr:nvSpPr>
      <xdr:spPr bwMode="auto">
        <a:xfrm>
          <a:off x="0" y="621363375"/>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4485</xdr:row>
      <xdr:rowOff>0</xdr:rowOff>
    </xdr:from>
    <xdr:to>
      <xdr:col>8</xdr:col>
      <xdr:colOff>0</xdr:colOff>
      <xdr:row>4487</xdr:row>
      <xdr:rowOff>0</xdr:rowOff>
    </xdr:to>
    <xdr:sp macro="" textlink="">
      <xdr:nvSpPr>
        <xdr:cNvPr id="301" name="Text Box 10"/>
        <xdr:cNvSpPr txBox="1">
          <a:spLocks noChangeArrowheads="1"/>
        </xdr:cNvSpPr>
      </xdr:nvSpPr>
      <xdr:spPr bwMode="auto">
        <a:xfrm>
          <a:off x="0" y="617934375"/>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0</xdr:colOff>
      <xdr:row>4460</xdr:row>
      <xdr:rowOff>131444</xdr:rowOff>
    </xdr:from>
    <xdr:to>
      <xdr:col>7</xdr:col>
      <xdr:colOff>742950</xdr:colOff>
      <xdr:row>4464</xdr:row>
      <xdr:rowOff>152164</xdr:rowOff>
    </xdr:to>
    <xdr:sp macro="" textlink="">
      <xdr:nvSpPr>
        <xdr:cNvPr id="302" name="Text Box 11"/>
        <xdr:cNvSpPr txBox="1">
          <a:spLocks noChangeArrowheads="1"/>
        </xdr:cNvSpPr>
      </xdr:nvSpPr>
      <xdr:spPr bwMode="auto">
        <a:xfrm>
          <a:off x="0" y="615541694"/>
          <a:ext cx="6638925" cy="30647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4546</xdr:row>
      <xdr:rowOff>38100</xdr:rowOff>
    </xdr:from>
    <xdr:to>
      <xdr:col>8</xdr:col>
      <xdr:colOff>0</xdr:colOff>
      <xdr:row>4551</xdr:row>
      <xdr:rowOff>0</xdr:rowOff>
    </xdr:to>
    <xdr:sp macro="" textlink="">
      <xdr:nvSpPr>
        <xdr:cNvPr id="303" name="Text Box 6"/>
        <xdr:cNvSpPr txBox="1">
          <a:spLocks noChangeArrowheads="1"/>
        </xdr:cNvSpPr>
      </xdr:nvSpPr>
      <xdr:spPr bwMode="auto">
        <a:xfrm>
          <a:off x="0" y="625697250"/>
          <a:ext cx="6659595" cy="5715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800" b="0" i="0" u="none" strike="noStrike" kern="0" cap="none" spc="0" normalizeH="0" baseline="0" noProof="0">
              <a:ln>
                <a:noFill/>
              </a:ln>
              <a:solidFill>
                <a:srgbClr val="000000"/>
              </a:solidFill>
              <a:effectLst/>
              <a:uLnTx/>
              <a:uFillTx/>
              <a:latin typeface="Arial"/>
              <a:ea typeface="+mn-ea"/>
              <a:cs typeface="Arial"/>
            </a:rPr>
            <a:t>Diese Produktegruppe wird nicht mehr geführt. Die Integrationsmassnahmen P350490 werden weitergeführt und sind neu in der Produktegruppe PG350500 Alter und - abhängig von der entsprechenden Massnahme - im Produkt P350520 Altersfreundlicher Lebensraum oder Produkt P350530 Integration und Information abgebildet. </a:t>
          </a:r>
        </a:p>
        <a:p>
          <a:pPr algn="l" rtl="0">
            <a:lnSpc>
              <a:spcPts val="700"/>
            </a:lnSpc>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4553</xdr:row>
      <xdr:rowOff>0</xdr:rowOff>
    </xdr:from>
    <xdr:to>
      <xdr:col>8</xdr:col>
      <xdr:colOff>0</xdr:colOff>
      <xdr:row>4554</xdr:row>
      <xdr:rowOff>106680</xdr:rowOff>
    </xdr:to>
    <xdr:sp macro="" textlink="">
      <xdr:nvSpPr>
        <xdr:cNvPr id="304" name="Text Box 7"/>
        <xdr:cNvSpPr txBox="1">
          <a:spLocks noChangeArrowheads="1"/>
        </xdr:cNvSpPr>
      </xdr:nvSpPr>
      <xdr:spPr bwMode="auto">
        <a:xfrm>
          <a:off x="0" y="626573550"/>
          <a:ext cx="6659595" cy="30670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800" b="0" i="0" u="none" strike="noStrike" kern="0" cap="none" spc="0" normalizeH="0" baseline="0" noProof="0">
              <a:ln>
                <a:noFill/>
              </a:ln>
              <a:solidFill>
                <a:srgbClr val="000000"/>
              </a:solidFill>
              <a:effectLst/>
              <a:uLnTx/>
              <a:uFillTx/>
              <a:latin typeface="Arial"/>
              <a:ea typeface="+mn-ea"/>
              <a:cs typeface="Arial"/>
            </a:rPr>
            <a:t>Keine</a:t>
          </a:r>
        </a:p>
        <a:p>
          <a:pPr algn="l" rtl="0">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4581</xdr:row>
      <xdr:rowOff>0</xdr:rowOff>
    </xdr:from>
    <xdr:to>
      <xdr:col>8</xdr:col>
      <xdr:colOff>0</xdr:colOff>
      <xdr:row>4583</xdr:row>
      <xdr:rowOff>0</xdr:rowOff>
    </xdr:to>
    <xdr:sp macro="" textlink="">
      <xdr:nvSpPr>
        <xdr:cNvPr id="305" name="Text Box 9"/>
        <xdr:cNvSpPr txBox="1">
          <a:spLocks noChangeArrowheads="1"/>
        </xdr:cNvSpPr>
      </xdr:nvSpPr>
      <xdr:spPr bwMode="auto">
        <a:xfrm>
          <a:off x="0" y="630602625"/>
          <a:ext cx="6659595"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4557</xdr:row>
      <xdr:rowOff>0</xdr:rowOff>
    </xdr:from>
    <xdr:to>
      <xdr:col>8</xdr:col>
      <xdr:colOff>0</xdr:colOff>
      <xdr:row>4558</xdr:row>
      <xdr:rowOff>123825</xdr:rowOff>
    </xdr:to>
    <xdr:sp macro="" textlink="">
      <xdr:nvSpPr>
        <xdr:cNvPr id="306" name="Text Box 10"/>
        <xdr:cNvSpPr txBox="1">
          <a:spLocks noChangeArrowheads="1"/>
        </xdr:cNvSpPr>
      </xdr:nvSpPr>
      <xdr:spPr bwMode="auto">
        <a:xfrm>
          <a:off x="0" y="627173625"/>
          <a:ext cx="6657975" cy="2667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0</xdr:colOff>
      <xdr:row>4540</xdr:row>
      <xdr:rowOff>0</xdr:rowOff>
    </xdr:from>
    <xdr:to>
      <xdr:col>8</xdr:col>
      <xdr:colOff>0</xdr:colOff>
      <xdr:row>4543</xdr:row>
      <xdr:rowOff>0</xdr:rowOff>
    </xdr:to>
    <xdr:sp macro="" textlink="">
      <xdr:nvSpPr>
        <xdr:cNvPr id="307" name="Text Box 11"/>
        <xdr:cNvSpPr txBox="1">
          <a:spLocks noChangeArrowheads="1"/>
        </xdr:cNvSpPr>
      </xdr:nvSpPr>
      <xdr:spPr bwMode="auto">
        <a:xfrm>
          <a:off x="0" y="624935250"/>
          <a:ext cx="6659595" cy="2667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4610</xdr:row>
      <xdr:rowOff>7620</xdr:rowOff>
    </xdr:from>
    <xdr:to>
      <xdr:col>8</xdr:col>
      <xdr:colOff>0</xdr:colOff>
      <xdr:row>4626</xdr:row>
      <xdr:rowOff>7620</xdr:rowOff>
    </xdr:to>
    <xdr:sp macro="" textlink="">
      <xdr:nvSpPr>
        <xdr:cNvPr id="308" name="Text Box 6"/>
        <xdr:cNvSpPr txBox="1">
          <a:spLocks noChangeArrowheads="1"/>
        </xdr:cNvSpPr>
      </xdr:nvSpPr>
      <xdr:spPr bwMode="auto">
        <a:xfrm>
          <a:off x="0" y="634677420"/>
          <a:ext cx="6659595" cy="21336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lang="de-CH" sz="800" b="0" i="0" u="none" strike="noStrike" baseline="0">
              <a:solidFill>
                <a:srgbClr val="000000"/>
              </a:solidFill>
              <a:latin typeface="Arial"/>
              <a:cs typeface="Arial"/>
            </a:rPr>
            <a:t>Auf Grundlage der Legislaturplanung und der alterspolitischen Strategie (Alterskonzept 2020) werden alterspolitische Projekte und Aufgaben in den ab 2012 eingeführten neuen Produkten P350530 "Information und Integration" und P350520 "Altersfreundlicher Lebensraum" geplant und durchgeführt. </a:t>
          </a:r>
          <a:r>
            <a:rPr kumimoji="0" lang="de-CH" sz="800" b="0" i="0" u="none" strike="noStrike" kern="0" cap="none" spc="0" normalizeH="0" baseline="0" noProof="0">
              <a:ln>
                <a:noFill/>
              </a:ln>
              <a:solidFill>
                <a:srgbClr val="000000"/>
              </a:solidFill>
              <a:effectLst/>
              <a:uLnTx/>
              <a:uFillTx/>
              <a:latin typeface="Arial"/>
              <a:ea typeface="+mn-ea"/>
              <a:cs typeface="Arial"/>
            </a:rPr>
            <a:t>Hinzu kommen die Umlagen der Personalkosten und weitere Sachkosten. Die Kosten für die alterspolitischen Massnahmen basieren auf dem verabschiedeten Budget 2012 und werden über den gesamten Planungszeitraum fortgeschrieben. </a:t>
          </a:r>
          <a:r>
            <a:rPr lang="de-CH" sz="800" b="0" i="0" u="none" strike="noStrike" baseline="0">
              <a:solidFill>
                <a:srgbClr val="000000"/>
              </a:solidFill>
              <a:latin typeface="Arial"/>
              <a:cs typeface="Arial"/>
            </a:rPr>
            <a:t>Die neue strategische Ausrichtung der Alterspolitik führt zu einer Verlagerung der Aufgaben im Altersbereich. Projekte und Aufgaben in den genannten, ab Budget 2012 eingeführten Produkten, werden intensiviert. Die Versorgung der Bevölkerung mit ambulanten pflegerischen und hauswirtschaftlichen Dienstleistungen liegt in der Verantwortung des Kantons. Die Infrastrukturkosten in Pflegeheimen werden über die EL abgerechnet.</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de-CH" sz="800" b="0" i="0" baseline="0">
              <a:effectLst/>
              <a:latin typeface="Arial" pitchFamily="34" charset="0"/>
              <a:ea typeface="+mn-ea"/>
              <a:cs typeface="Arial" pitchFamily="34" charset="0"/>
            </a:rPr>
            <a:t>Ab 2016 werden die Personal- und Sachkosten von Fr. 95'000.00 für die Fachstelle Gleichstellung von Menschen mit Behinderungen aufgenommen. </a:t>
          </a:r>
          <a:r>
            <a:rPr lang="de-CH" sz="800" b="0" i="0" u="none" strike="noStrike" baseline="0">
              <a:solidFill>
                <a:srgbClr val="000000"/>
              </a:solidFill>
              <a:latin typeface="Arial" pitchFamily="34" charset="0"/>
              <a:cs typeface="Arial" pitchFamily="34" charset="0"/>
            </a:rPr>
            <a:t>Die Pilotphase für die Fachstelle Gleichstellung von Menschen mit Behinderungen war  für 3 Jahre vorgesehen. </a:t>
          </a:r>
          <a:r>
            <a:rPr lang="de-CH" sz="800" b="0" i="0" u="none" strike="noStrike" baseline="0">
              <a:solidFill>
                <a:srgbClr val="000000"/>
              </a:solidFill>
              <a:latin typeface="Arial"/>
              <a:cs typeface="Arial"/>
            </a:rPr>
            <a:t>Zur Sicherstellung einer umfassenden, aussagekräftigen Evaluation wird dem Gemeinderat eine Verlängerung der Projektdauer um 2 auf 5 Jahre beantragt werden. Der Gemeinderat entscheidet danach, ob die Fachstelle definitiv eingeführt und über das ordentliche Budget finanziert wird. Die demnach bis 2015 dauernde Pilotphase wird durch den Fonds für Kranke, Betagte und Behinderte finanziert.</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de-CH" sz="800" b="0" i="0" u="none" strike="noStrike" baseline="0">
              <a:solidFill>
                <a:srgbClr val="000000"/>
              </a:solidFill>
              <a:latin typeface="Arial"/>
              <a:cs typeface="Arial"/>
            </a:rPr>
            <a:t>Teil dieser Produktegruppe ist neu auch das städtische Alters- und Pflegeheim Kühlewil. Es wurde von der Produktegruppe PG350200 transferiert. Deshalb werden bereits 2010 und 2011 in dieser Produktegruppe Kosten ausgewiesen. </a:t>
          </a:r>
          <a:r>
            <a:rPr kumimoji="0" lang="de-CH" sz="800" b="0" i="0" u="none" strike="noStrike" kern="0" cap="none" spc="0" normalizeH="0" baseline="0" noProof="0">
              <a:ln>
                <a:noFill/>
              </a:ln>
              <a:solidFill>
                <a:srgbClr val="000000"/>
              </a:solidFill>
              <a:effectLst/>
              <a:uLnTx/>
              <a:uFillTx/>
              <a:latin typeface="Arial"/>
              <a:ea typeface="+mn-ea"/>
              <a:cs typeface="Arial"/>
            </a:rPr>
            <a:t>Auf  Grundlage der strategischen Aufgabenüberprüfung verlangt der Gemeinderat, dass Kühlewil ab 2012 auch ohne städtischen Beitrag eine ausgeglichene Rechnung präsentiert. Die Teuerung auf den Personalkosten wird durch höhere Erlöse aufgefangen ( 2013 + Fr. 138'000.00, 2014 + Fr. 0.00, 2015 + Fr. 194'000.00, 2016 + Fr. 69'000.00). </a:t>
          </a:r>
        </a:p>
        <a:p>
          <a:pPr algn="l" rtl="0">
            <a:lnSpc>
              <a:spcPts val="600"/>
            </a:lnSpc>
            <a:defRPr sz="1000"/>
          </a:pPr>
          <a:endParaRPr kumimoji="0" lang="de-CH" sz="800" b="0" i="0" u="none" strike="noStrike" kern="0" cap="none" spc="0" normalizeH="0" baseline="0" noProof="0">
            <a:ln>
              <a:noFill/>
            </a:ln>
            <a:solidFill>
              <a:srgbClr val="000000"/>
            </a:solidFill>
            <a:effectLst/>
            <a:uLnTx/>
            <a:uFillTx/>
            <a:latin typeface="Arial"/>
            <a:ea typeface="+mn-ea"/>
            <a:cs typeface="Arial"/>
          </a:endParaRPr>
        </a:p>
        <a:p>
          <a:pPr algn="l" rtl="0">
            <a:lnSpc>
              <a:spcPts val="700"/>
            </a:lnSpc>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4628</xdr:row>
      <xdr:rowOff>0</xdr:rowOff>
    </xdr:from>
    <xdr:to>
      <xdr:col>8</xdr:col>
      <xdr:colOff>0</xdr:colOff>
      <xdr:row>4630</xdr:row>
      <xdr:rowOff>7620</xdr:rowOff>
    </xdr:to>
    <xdr:sp macro="" textlink="">
      <xdr:nvSpPr>
        <xdr:cNvPr id="309" name="Text Box 7"/>
        <xdr:cNvSpPr txBox="1">
          <a:spLocks noChangeArrowheads="1"/>
        </xdr:cNvSpPr>
      </xdr:nvSpPr>
      <xdr:spPr bwMode="auto">
        <a:xfrm>
          <a:off x="0" y="637070100"/>
          <a:ext cx="6659595" cy="29337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4656</xdr:row>
      <xdr:rowOff>0</xdr:rowOff>
    </xdr:from>
    <xdr:to>
      <xdr:col>8</xdr:col>
      <xdr:colOff>0</xdr:colOff>
      <xdr:row>4658</xdr:row>
      <xdr:rowOff>0</xdr:rowOff>
    </xdr:to>
    <xdr:sp macro="" textlink="">
      <xdr:nvSpPr>
        <xdr:cNvPr id="310" name="Text Box 9"/>
        <xdr:cNvSpPr txBox="1">
          <a:spLocks noChangeArrowheads="1"/>
        </xdr:cNvSpPr>
      </xdr:nvSpPr>
      <xdr:spPr bwMode="auto">
        <a:xfrm>
          <a:off x="0" y="641089650"/>
          <a:ext cx="6659595"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4631</xdr:row>
      <xdr:rowOff>156210</xdr:rowOff>
    </xdr:from>
    <xdr:to>
      <xdr:col>8</xdr:col>
      <xdr:colOff>0</xdr:colOff>
      <xdr:row>4634</xdr:row>
      <xdr:rowOff>0</xdr:rowOff>
    </xdr:to>
    <xdr:sp macro="" textlink="">
      <xdr:nvSpPr>
        <xdr:cNvPr id="311" name="Text Box 10"/>
        <xdr:cNvSpPr txBox="1">
          <a:spLocks noChangeArrowheads="1"/>
        </xdr:cNvSpPr>
      </xdr:nvSpPr>
      <xdr:spPr bwMode="auto">
        <a:xfrm>
          <a:off x="0" y="637654935"/>
          <a:ext cx="6659595" cy="29146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Ältere Bevölkerung, Institutionen im Altersbereich</a:t>
          </a:r>
        </a:p>
        <a:p>
          <a:pPr algn="l" rtl="0">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4603</xdr:row>
      <xdr:rowOff>129540</xdr:rowOff>
    </xdr:from>
    <xdr:to>
      <xdr:col>8</xdr:col>
      <xdr:colOff>0</xdr:colOff>
      <xdr:row>4607</xdr:row>
      <xdr:rowOff>75929</xdr:rowOff>
    </xdr:to>
    <xdr:sp macro="" textlink="">
      <xdr:nvSpPr>
        <xdr:cNvPr id="312" name="Text Box 11"/>
        <xdr:cNvSpPr txBox="1">
          <a:spLocks noChangeArrowheads="1"/>
        </xdr:cNvSpPr>
      </xdr:nvSpPr>
      <xdr:spPr bwMode="auto">
        <a:xfrm>
          <a:off x="0" y="633732540"/>
          <a:ext cx="6659595" cy="498839"/>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lIns="28800"/>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800" b="0" i="0" u="none" strike="noStrike" kern="0" cap="none" spc="0" normalizeH="0" baseline="0" noProof="0">
              <a:ln>
                <a:noFill/>
              </a:ln>
              <a:solidFill>
                <a:srgbClr val="000000"/>
              </a:solidFill>
              <a:effectLst/>
              <a:uLnTx/>
              <a:uFillTx/>
              <a:latin typeface="Arial"/>
              <a:ea typeface="+mn-ea"/>
              <a:cs typeface="Arial"/>
            </a:rPr>
            <a:t>Legislaturziel 5.2.: Bern eröffent Lebens- und Entfaltungschancen für Schichten und Generationen / Massnahmen: Die Stadt Bern fördert Massnahmen zur möglichst langen Selbständigkeit im Alter / Indikator 2.2: Zwei Massnahmen zur Verbesserung der Altersfreundlichkeit sind umgesetzt.</a:t>
          </a:r>
          <a:endParaRPr lang="de-CH" sz="800"/>
        </a:p>
      </xdr:txBody>
    </xdr:sp>
    <xdr:clientData/>
  </xdr:twoCellAnchor>
  <xdr:twoCellAnchor>
    <xdr:from>
      <xdr:col>0</xdr:col>
      <xdr:colOff>0</xdr:colOff>
      <xdr:row>4685</xdr:row>
      <xdr:rowOff>0</xdr:rowOff>
    </xdr:from>
    <xdr:to>
      <xdr:col>8</xdr:col>
      <xdr:colOff>0</xdr:colOff>
      <xdr:row>4688</xdr:row>
      <xdr:rowOff>0</xdr:rowOff>
    </xdr:to>
    <xdr:sp macro="" textlink="">
      <xdr:nvSpPr>
        <xdr:cNvPr id="313" name="Text Box 6"/>
        <xdr:cNvSpPr txBox="1">
          <a:spLocks noChangeArrowheads="1"/>
        </xdr:cNvSpPr>
      </xdr:nvSpPr>
      <xdr:spPr bwMode="auto">
        <a:xfrm>
          <a:off x="0" y="645042525"/>
          <a:ext cx="6667500" cy="3429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Schweizweit besteht der Trend, dass Milchzähne vermehrt an Karies erkranken</a:t>
          </a:r>
          <a:r>
            <a:rPr lang="de-CH" sz="800" b="0" i="0" u="none" strike="noStrike" baseline="0">
              <a:solidFill>
                <a:srgbClr val="000000"/>
              </a:solidFill>
              <a:latin typeface="Arial" pitchFamily="34" charset="0"/>
              <a:cs typeface="Arial" pitchFamily="34" charset="0"/>
            </a:rPr>
            <a:t>. Die </a:t>
          </a:r>
          <a:r>
            <a:rPr lang="de-CH" sz="800" b="0" i="0" baseline="0">
              <a:effectLst/>
              <a:latin typeface="Arial" pitchFamily="34" charset="0"/>
              <a:ea typeface="+mn-ea"/>
              <a:cs typeface="Arial" pitchFamily="34" charset="0"/>
            </a:rPr>
            <a:t>Prophylaxe wird zunehmend wichtiger. </a:t>
          </a:r>
          <a:r>
            <a:rPr lang="de-CH" sz="800" b="0" i="0" u="none" strike="noStrike" baseline="0">
              <a:solidFill>
                <a:srgbClr val="000000"/>
              </a:solidFill>
              <a:latin typeface="Arial"/>
              <a:cs typeface="Arial"/>
            </a:rPr>
            <a:t>Die Nachfrage nach medizinischem Behandlungsbedarf  ist mit einem besonders hohen Unsicherheitsfaktor verbunden und schwierig zu prognostizieren.</a:t>
          </a:r>
        </a:p>
        <a:p>
          <a:pPr algn="l" rtl="0">
            <a:defRPr sz="1000"/>
          </a:pPr>
          <a:endParaRPr lang="de-CH" sz="800" b="0" i="0" u="none" strike="noStrike" baseline="0">
            <a:solidFill>
              <a:srgbClr val="000000"/>
            </a:solidFill>
            <a:latin typeface="Arial"/>
            <a:cs typeface="Arial"/>
          </a:endParaRPr>
        </a:p>
        <a:p>
          <a:pPr algn="l" rtl="0">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4690</xdr:row>
      <xdr:rowOff>142874</xdr:rowOff>
    </xdr:from>
    <xdr:to>
      <xdr:col>8</xdr:col>
      <xdr:colOff>0</xdr:colOff>
      <xdr:row>4697</xdr:row>
      <xdr:rowOff>47624</xdr:rowOff>
    </xdr:to>
    <xdr:sp macro="" textlink="">
      <xdr:nvSpPr>
        <xdr:cNvPr id="314" name="Text Box 7"/>
        <xdr:cNvSpPr txBox="1">
          <a:spLocks noChangeArrowheads="1"/>
        </xdr:cNvSpPr>
      </xdr:nvSpPr>
      <xdr:spPr bwMode="auto">
        <a:xfrm>
          <a:off x="0" y="645671174"/>
          <a:ext cx="6667500" cy="4953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ct val="100000"/>
            </a:lnSpc>
            <a:defRPr sz="1000"/>
          </a:pPr>
          <a:r>
            <a:rPr lang="de-CH" sz="800" b="0" i="0" u="none" strike="noStrike" baseline="0">
              <a:solidFill>
                <a:srgbClr val="000000"/>
              </a:solidFill>
              <a:latin typeface="Arial"/>
              <a:cs typeface="Arial"/>
            </a:rPr>
            <a:t>Portfolioanalyse: Die Ausrichtung der sozial bedingten Behandlungsbeiträge im Zusammenhang mit Erkrankungen im Zahn-, Mund- und Kieferbereich werden von 2012 bis 2014 über den Fonds für Kranke, Betagte und Behinderte ausgerichtet. Dadurch erhöhen sich die Erlöse in den Planjahren 2013 und 2014 um je Fr. 500'000.00 und in den Planjahren 2015 und 2016 um je Fr. 250'000.00. </a:t>
          </a:r>
        </a:p>
        <a:p>
          <a:pPr algn="l" rtl="0">
            <a:lnSpc>
              <a:spcPts val="600"/>
            </a:lnSpc>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4727</xdr:row>
      <xdr:rowOff>0</xdr:rowOff>
    </xdr:from>
    <xdr:to>
      <xdr:col>8</xdr:col>
      <xdr:colOff>0</xdr:colOff>
      <xdr:row>4730</xdr:row>
      <xdr:rowOff>0</xdr:rowOff>
    </xdr:to>
    <xdr:sp macro="" textlink="">
      <xdr:nvSpPr>
        <xdr:cNvPr id="315" name="Text Box 9"/>
        <xdr:cNvSpPr txBox="1">
          <a:spLocks noChangeArrowheads="1"/>
        </xdr:cNvSpPr>
      </xdr:nvSpPr>
      <xdr:spPr bwMode="auto">
        <a:xfrm>
          <a:off x="0" y="649890750"/>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 </a:t>
          </a:r>
        </a:p>
      </xdr:txBody>
    </xdr:sp>
    <xdr:clientData/>
  </xdr:twoCellAnchor>
  <xdr:twoCellAnchor>
    <xdr:from>
      <xdr:col>0</xdr:col>
      <xdr:colOff>0</xdr:colOff>
      <xdr:row>4699</xdr:row>
      <xdr:rowOff>0</xdr:rowOff>
    </xdr:from>
    <xdr:to>
      <xdr:col>8</xdr:col>
      <xdr:colOff>0</xdr:colOff>
      <xdr:row>4702</xdr:row>
      <xdr:rowOff>0</xdr:rowOff>
    </xdr:to>
    <xdr:sp macro="" textlink="">
      <xdr:nvSpPr>
        <xdr:cNvPr id="316" name="Text Box 10"/>
        <xdr:cNvSpPr txBox="1">
          <a:spLocks noChangeArrowheads="1"/>
        </xdr:cNvSpPr>
      </xdr:nvSpPr>
      <xdr:spPr bwMode="auto">
        <a:xfrm>
          <a:off x="0" y="646404600"/>
          <a:ext cx="6667500"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Alle Kinder und Jugendlichen der Stadt Bern, Eltern, Lehrerschaft (einschl. Betreuende in Krippen, Kindergärten, Heimen), Gesamtbevölkerung, Verwaltung, andere Gemeinden, Kanton</a:t>
          </a:r>
        </a:p>
      </xdr:txBody>
    </xdr:sp>
    <xdr:clientData/>
  </xdr:twoCellAnchor>
  <xdr:twoCellAnchor>
    <xdr:from>
      <xdr:col>0</xdr:col>
      <xdr:colOff>0</xdr:colOff>
      <xdr:row>4679</xdr:row>
      <xdr:rowOff>0</xdr:rowOff>
    </xdr:from>
    <xdr:to>
      <xdr:col>8</xdr:col>
      <xdr:colOff>0</xdr:colOff>
      <xdr:row>4683</xdr:row>
      <xdr:rowOff>0</xdr:rowOff>
    </xdr:to>
    <xdr:sp macro="" textlink="">
      <xdr:nvSpPr>
        <xdr:cNvPr id="317" name="Text Box 11"/>
        <xdr:cNvSpPr txBox="1">
          <a:spLocks noChangeArrowheads="1"/>
        </xdr:cNvSpPr>
      </xdr:nvSpPr>
      <xdr:spPr bwMode="auto">
        <a:xfrm>
          <a:off x="0" y="644328150"/>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4759</xdr:row>
      <xdr:rowOff>0</xdr:rowOff>
    </xdr:from>
    <xdr:to>
      <xdr:col>8</xdr:col>
      <xdr:colOff>0</xdr:colOff>
      <xdr:row>4763</xdr:row>
      <xdr:rowOff>0</xdr:rowOff>
    </xdr:to>
    <xdr:sp macro="" textlink="">
      <xdr:nvSpPr>
        <xdr:cNvPr id="318" name="Text Box 6"/>
        <xdr:cNvSpPr txBox="1">
          <a:spLocks noChangeArrowheads="1"/>
        </xdr:cNvSpPr>
      </xdr:nvSpPr>
      <xdr:spPr bwMode="auto">
        <a:xfrm>
          <a:off x="0" y="653986500"/>
          <a:ext cx="6667500" cy="5715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de-CH" sz="800" b="0" i="0" u="none" strike="noStrike" baseline="0">
              <a:solidFill>
                <a:srgbClr val="000000"/>
              </a:solidFill>
              <a:latin typeface="Arial" pitchFamily="34" charset="0"/>
              <a:cs typeface="Arial" pitchFamily="34" charset="0"/>
            </a:rPr>
            <a:t>Die zahnmedizinische Leistungsnachfrage ist abhängig von der allgemeinen Konjunktur. Der wirtschaftliche Erfolg ist nicht kalkulierbar. Es kann jedoch davon ausgegangen werden, dass sich der Klinikbetrieb kontinuierlich weiterentwickeln wird. Durch die demografische  Entwicklung in der Gesellschaft wird die Bedeutung der Alterszahnmedizin weiter in den Vordergrund rücken. </a:t>
          </a:r>
          <a:r>
            <a:rPr lang="de-CH" sz="800" b="0" i="0" baseline="0">
              <a:effectLst/>
              <a:latin typeface="Arial" pitchFamily="34" charset="0"/>
              <a:ea typeface="+mn-ea"/>
              <a:cs typeface="Arial" pitchFamily="34" charset="0"/>
            </a:rPr>
            <a:t>Die Behandlung von Erwachsenen soll kontinuierlich ausgeweitet werden.</a:t>
          </a:r>
        </a:p>
        <a:p>
          <a:pPr marL="0" marR="0" indent="0" algn="l" defTabSz="914400" rtl="0" eaLnBrk="1" fontAlgn="auto" latinLnBrk="0" hangingPunct="1">
            <a:lnSpc>
              <a:spcPts val="700"/>
            </a:lnSpc>
            <a:spcBef>
              <a:spcPts val="0"/>
            </a:spcBef>
            <a:spcAft>
              <a:spcPts val="0"/>
            </a:spcAft>
            <a:buClrTx/>
            <a:buSzTx/>
            <a:buFontTx/>
            <a:buNone/>
            <a:tabLst/>
            <a:defRPr sz="1000"/>
          </a:pPr>
          <a:endParaRPr lang="de-CH" sz="800">
            <a:effectLst/>
            <a:latin typeface="Arial" pitchFamily="34" charset="0"/>
            <a:cs typeface="Arial" pitchFamily="34" charset="0"/>
          </a:endParaRPr>
        </a:p>
        <a:p>
          <a:pPr algn="l" rtl="0">
            <a:lnSpc>
              <a:spcPts val="700"/>
            </a:lnSpc>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4765</xdr:row>
      <xdr:rowOff>0</xdr:rowOff>
    </xdr:from>
    <xdr:to>
      <xdr:col>8</xdr:col>
      <xdr:colOff>0</xdr:colOff>
      <xdr:row>4767</xdr:row>
      <xdr:rowOff>7815</xdr:rowOff>
    </xdr:to>
    <xdr:sp macro="" textlink="">
      <xdr:nvSpPr>
        <xdr:cNvPr id="319" name="Text Box 7"/>
        <xdr:cNvSpPr txBox="1">
          <a:spLocks noChangeArrowheads="1"/>
        </xdr:cNvSpPr>
      </xdr:nvSpPr>
      <xdr:spPr bwMode="auto">
        <a:xfrm>
          <a:off x="0" y="654843750"/>
          <a:ext cx="6667500" cy="29356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4794</xdr:row>
      <xdr:rowOff>0</xdr:rowOff>
    </xdr:from>
    <xdr:to>
      <xdr:col>8</xdr:col>
      <xdr:colOff>0</xdr:colOff>
      <xdr:row>4797</xdr:row>
      <xdr:rowOff>0</xdr:rowOff>
    </xdr:to>
    <xdr:sp macro="" textlink="">
      <xdr:nvSpPr>
        <xdr:cNvPr id="320" name="Text Box 9"/>
        <xdr:cNvSpPr txBox="1">
          <a:spLocks noChangeArrowheads="1"/>
        </xdr:cNvSpPr>
      </xdr:nvSpPr>
      <xdr:spPr bwMode="auto">
        <a:xfrm>
          <a:off x="0" y="658987125"/>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4769</xdr:row>
      <xdr:rowOff>0</xdr:rowOff>
    </xdr:from>
    <xdr:to>
      <xdr:col>8</xdr:col>
      <xdr:colOff>0</xdr:colOff>
      <xdr:row>4772</xdr:row>
      <xdr:rowOff>0</xdr:rowOff>
    </xdr:to>
    <xdr:sp macro="" textlink="">
      <xdr:nvSpPr>
        <xdr:cNvPr id="321" name="Text Box 10"/>
        <xdr:cNvSpPr txBox="1">
          <a:spLocks noChangeArrowheads="1"/>
        </xdr:cNvSpPr>
      </xdr:nvSpPr>
      <xdr:spPr bwMode="auto">
        <a:xfrm>
          <a:off x="0" y="655415250"/>
          <a:ext cx="6667500"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PatientInnen aller Altersklassen, Eltern, Lehrerschaft (einschl. Betreuende in Krippen, Kindergärten, Heimen), Gesamtbevölkerung, Verwaltung, andere Gemeinden, Kanton.</a:t>
          </a:r>
        </a:p>
      </xdr:txBody>
    </xdr:sp>
    <xdr:clientData/>
  </xdr:twoCellAnchor>
  <xdr:twoCellAnchor>
    <xdr:from>
      <xdr:col>0</xdr:col>
      <xdr:colOff>0</xdr:colOff>
      <xdr:row>4752</xdr:row>
      <xdr:rowOff>0</xdr:rowOff>
    </xdr:from>
    <xdr:to>
      <xdr:col>8</xdr:col>
      <xdr:colOff>0</xdr:colOff>
      <xdr:row>4757</xdr:row>
      <xdr:rowOff>0</xdr:rowOff>
    </xdr:to>
    <xdr:sp macro="" textlink="">
      <xdr:nvSpPr>
        <xdr:cNvPr id="322" name="Text Box 11"/>
        <xdr:cNvSpPr txBox="1">
          <a:spLocks noChangeArrowheads="1"/>
        </xdr:cNvSpPr>
      </xdr:nvSpPr>
      <xdr:spPr bwMode="auto">
        <a:xfrm>
          <a:off x="0" y="653272125"/>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4828</xdr:row>
      <xdr:rowOff>0</xdr:rowOff>
    </xdr:from>
    <xdr:to>
      <xdr:col>8</xdr:col>
      <xdr:colOff>0</xdr:colOff>
      <xdr:row>4839</xdr:row>
      <xdr:rowOff>504825</xdr:rowOff>
    </xdr:to>
    <xdr:sp macro="" textlink="">
      <xdr:nvSpPr>
        <xdr:cNvPr id="323" name="Text Box 6"/>
        <xdr:cNvSpPr txBox="1">
          <a:spLocks noChangeArrowheads="1"/>
        </xdr:cNvSpPr>
      </xdr:nvSpPr>
      <xdr:spPr bwMode="auto">
        <a:xfrm>
          <a:off x="0" y="663035250"/>
          <a:ext cx="6667500" cy="1428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Im Rahmen der Revision des Volksschulgesetzes (Revos 2012) hat der Grosse Rat beschlossen ab Schuljahr 2013/14 die Lohnkosten der Schulsozialarbeit bis zu einem Anteil von 30% durch den Kanton mitzufinanzieren. Grundlage für die Beteiligung des Kantons ist ein Betreuungsverhältnis von 1'000 Schüler und Schülerinnen pro 100%-Stelle Schulsozialarbeit.</a:t>
          </a:r>
        </a:p>
        <a:p>
          <a:pPr algn="l" rtl="0">
            <a:lnSpc>
              <a:spcPct val="100000"/>
            </a:lnSpc>
            <a:defRPr sz="1000"/>
          </a:pPr>
          <a:r>
            <a:rPr lang="de-CH" sz="800" b="0" i="0" u="none" strike="noStrike" baseline="0">
              <a:solidFill>
                <a:srgbClr val="000000"/>
              </a:solidFill>
              <a:latin typeface="Arial"/>
              <a:cs typeface="Arial"/>
            </a:rPr>
            <a:t>Aufgrund der gestiegenen Bautätigkeit und Zuzügen von Familien sowie einer erhöhten Geburtenrate steigen die Anzahl Schülerinnen und Schüler in der Stadt Bern. Die Prognosen der Statistikdienste gehen von einer Zunahme von rund 10% in den nächsten 5 Jahren aus. Diese Entwicklung hat Auswirkungen auf die Anzahl schulärztliche Untersuchungen und schulsoziale Beratungen.</a:t>
          </a:r>
        </a:p>
        <a:p>
          <a:pPr algn="l" rtl="0">
            <a:lnSpc>
              <a:spcPts val="800"/>
            </a:lnSpc>
            <a:defRPr sz="1000"/>
          </a:pPr>
          <a:endParaRPr lang="de-CH" sz="800" b="0" i="0" u="none" strike="noStrike" baseline="0">
            <a:solidFill>
              <a:srgbClr val="000000"/>
            </a:solidFill>
            <a:latin typeface="Arial"/>
            <a:cs typeface="Arial"/>
          </a:endParaRPr>
        </a:p>
        <a:p>
          <a:pPr algn="l" rtl="0">
            <a:defRPr sz="1000"/>
          </a:pPr>
          <a:r>
            <a:rPr lang="de-CH" sz="800" b="0" i="0" u="none" strike="noStrike" baseline="0">
              <a:solidFill>
                <a:srgbClr val="000000"/>
              </a:solidFill>
              <a:latin typeface="Arial"/>
              <a:cs typeface="Arial"/>
            </a:rPr>
            <a:t>Im Rahmen der Portfolioanalyse erfolgte ab 2011 eine Einsparung beim Sekretariat im Umfang von 10 Stellenprozenten. Die Pensenreduktion führt zu jährlichen Einsparungen im Umfang von Fr. 10'000.00. Damit einher gehen Anpassung der Leistungen bei Auskünften, resp. der (telefonischen) Erreichbarkeit des Sekretariats.</a:t>
          </a:r>
        </a:p>
        <a:p>
          <a:pPr algn="l" rtl="0">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4843</xdr:row>
      <xdr:rowOff>0</xdr:rowOff>
    </xdr:from>
    <xdr:to>
      <xdr:col>8</xdr:col>
      <xdr:colOff>0</xdr:colOff>
      <xdr:row>4848</xdr:row>
      <xdr:rowOff>0</xdr:rowOff>
    </xdr:to>
    <xdr:sp macro="" textlink="">
      <xdr:nvSpPr>
        <xdr:cNvPr id="324" name="Text Box 7"/>
        <xdr:cNvSpPr txBox="1">
          <a:spLocks noChangeArrowheads="1"/>
        </xdr:cNvSpPr>
      </xdr:nvSpPr>
      <xdr:spPr bwMode="auto">
        <a:xfrm>
          <a:off x="0" y="664749750"/>
          <a:ext cx="6667500" cy="7143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Erhöhung der Stellenprozente Schulsozialarbeit um 150% gemäss Stadtratsbeschluss vom 15. September 2011. Damit wird der vom Kanton empfohlene minimale Versorgungsgrad von 1'000 Schüler und Schülerinnen pro 100%-Stelle Schulsozialarbeit gerade erreicht. </a:t>
          </a:r>
        </a:p>
        <a:p>
          <a:pPr algn="l" rtl="0">
            <a:defRPr sz="1000"/>
          </a:pPr>
          <a:r>
            <a:rPr lang="de-CH" sz="800" b="0" i="0" u="none" strike="noStrike" baseline="0">
              <a:solidFill>
                <a:srgbClr val="000000"/>
              </a:solidFill>
              <a:latin typeface="Arial"/>
              <a:cs typeface="Arial"/>
            </a:rPr>
            <a:t>Erhöhung der Stellenprozente bei den Schulärztinnen und Schulärzten um 10%. Diese Erhöhung wird GSD-intern kompensiert. Die Anzahl durchgeführter Impfungen vermindert sich. Die Auswirkung sind Fr. 13'000.00 tiefere Impfkosten und Fr. 28'000.00 tiefere Krankenkassenerlöse.</a:t>
          </a:r>
        </a:p>
      </xdr:txBody>
    </xdr:sp>
    <xdr:clientData/>
  </xdr:twoCellAnchor>
  <xdr:twoCellAnchor>
    <xdr:from>
      <xdr:col>0</xdr:col>
      <xdr:colOff>0</xdr:colOff>
      <xdr:row>4874</xdr:row>
      <xdr:rowOff>0</xdr:rowOff>
    </xdr:from>
    <xdr:to>
      <xdr:col>8</xdr:col>
      <xdr:colOff>0</xdr:colOff>
      <xdr:row>4877</xdr:row>
      <xdr:rowOff>0</xdr:rowOff>
    </xdr:to>
    <xdr:sp macro="" textlink="">
      <xdr:nvSpPr>
        <xdr:cNvPr id="325" name="Text Box 9"/>
        <xdr:cNvSpPr txBox="1">
          <a:spLocks noChangeArrowheads="1"/>
        </xdr:cNvSpPr>
      </xdr:nvSpPr>
      <xdr:spPr bwMode="auto">
        <a:xfrm>
          <a:off x="0" y="669178875"/>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4850</xdr:row>
      <xdr:rowOff>0</xdr:rowOff>
    </xdr:from>
    <xdr:to>
      <xdr:col>8</xdr:col>
      <xdr:colOff>0</xdr:colOff>
      <xdr:row>4852</xdr:row>
      <xdr:rowOff>0</xdr:rowOff>
    </xdr:to>
    <xdr:sp macro="" textlink="">
      <xdr:nvSpPr>
        <xdr:cNvPr id="326" name="Text Box 10"/>
        <xdr:cNvSpPr txBox="1">
          <a:spLocks noChangeArrowheads="1"/>
        </xdr:cNvSpPr>
      </xdr:nvSpPr>
      <xdr:spPr bwMode="auto">
        <a:xfrm>
          <a:off x="0" y="665749875"/>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Schülerinnen und Schüler der Volksschule, Lehrpersonen der Kindergärten, Primar- und Sekundarstufe, Schulleitungen, Eltern, Bevölkerung.</a:t>
          </a:r>
        </a:p>
      </xdr:txBody>
    </xdr:sp>
    <xdr:clientData/>
  </xdr:twoCellAnchor>
  <xdr:twoCellAnchor>
    <xdr:from>
      <xdr:col>0</xdr:col>
      <xdr:colOff>0</xdr:colOff>
      <xdr:row>4820</xdr:row>
      <xdr:rowOff>0</xdr:rowOff>
    </xdr:from>
    <xdr:to>
      <xdr:col>8</xdr:col>
      <xdr:colOff>0</xdr:colOff>
      <xdr:row>4826</xdr:row>
      <xdr:rowOff>0</xdr:rowOff>
    </xdr:to>
    <xdr:sp macro="" textlink="">
      <xdr:nvSpPr>
        <xdr:cNvPr id="327" name="Text Box 11"/>
        <xdr:cNvSpPr txBox="1">
          <a:spLocks noChangeArrowheads="1"/>
        </xdr:cNvSpPr>
      </xdr:nvSpPr>
      <xdr:spPr bwMode="auto">
        <a:xfrm>
          <a:off x="0" y="662130375"/>
          <a:ext cx="6667500" cy="4667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Legislaturziel 5.1: Bern ist für Familien, Kinder und Jugendliche noch attraktiver / Massnahme 2: Die Stadt Bern sorgt für die optimale Bildung und Betreuung von Kindern im Volksschulalter / Indikator 2.2: Pro 950 Kinder existiert eine Stelle (100%) in der Schulsozialarbeit. </a:t>
          </a:r>
        </a:p>
      </xdr:txBody>
    </xdr:sp>
    <xdr:clientData/>
  </xdr:twoCellAnchor>
  <xdr:twoCellAnchor>
    <xdr:from>
      <xdr:col>0</xdr:col>
      <xdr:colOff>0</xdr:colOff>
      <xdr:row>4906</xdr:row>
      <xdr:rowOff>0</xdr:rowOff>
    </xdr:from>
    <xdr:to>
      <xdr:col>8</xdr:col>
      <xdr:colOff>0</xdr:colOff>
      <xdr:row>4915</xdr:row>
      <xdr:rowOff>0</xdr:rowOff>
    </xdr:to>
    <xdr:sp macro="" textlink="">
      <xdr:nvSpPr>
        <xdr:cNvPr id="328" name="Text Box 6"/>
        <xdr:cNvSpPr txBox="1">
          <a:spLocks noChangeArrowheads="1"/>
        </xdr:cNvSpPr>
      </xdr:nvSpPr>
      <xdr:spPr bwMode="auto">
        <a:xfrm>
          <a:off x="0" y="673188900"/>
          <a:ext cx="6667500" cy="11430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ct val="100000"/>
            </a:lnSpc>
            <a:defRPr sz="1000"/>
          </a:pPr>
          <a:r>
            <a:rPr lang="de-CH" sz="800" b="0" i="0" u="none" strike="noStrike" baseline="0">
              <a:solidFill>
                <a:srgbClr val="000000"/>
              </a:solidFill>
              <a:latin typeface="Arial"/>
              <a:cs typeface="Arial"/>
            </a:rPr>
            <a:t>In dieser Produktegruppe werden auf der Basis von Public Health-Daten Grundlagen für Massnahmen erarbeitet. Jährlich entsteht mindestens ein Bericht/Konzept zu Themen, die aktuelle Entwicklungen betreffen und gesundheitsrelevant sind. Da die Daten zudem oft auch von kantonalem oder nationalem Interesse sind, können notwendige Analysen manchmal auch durch Fremdfinanzierung generiert werden.</a:t>
          </a:r>
        </a:p>
        <a:p>
          <a:pPr algn="l" rtl="0">
            <a:lnSpc>
              <a:spcPct val="100000"/>
            </a:lnSpc>
            <a:defRPr sz="1000"/>
          </a:pPr>
          <a:endParaRPr lang="de-CH" sz="800" b="0" i="0" u="none" strike="noStrike" baseline="0">
            <a:solidFill>
              <a:srgbClr val="000000"/>
            </a:solidFill>
            <a:latin typeface="Arial" pitchFamily="34" charset="0"/>
            <a:cs typeface="Arial" pitchFamily="34" charset="0"/>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de-CH" sz="800" b="0" i="0" baseline="0">
              <a:effectLst/>
              <a:latin typeface="Arial" pitchFamily="34" charset="0"/>
              <a:ea typeface="+mn-ea"/>
              <a:cs typeface="Arial" pitchFamily="34" charset="0"/>
            </a:rPr>
            <a:t>Im Rahmen der Portfolioanalyse erfolgte ab 2011 eine Einsparung beim Sekretariat im Umfang von 10 Stellenprozenten. Die Pensenreduktion führt zu jährlichen Einsparungen im Umfang von Fr. 10'000.00. Damit einher gehen Anpassung der Leistungen bei Auskünften, resp. der (telefonischen) Erreichbarkeit des Sekretariats.</a:t>
          </a:r>
          <a:endParaRPr lang="de-CH" sz="800">
            <a:effectLst/>
            <a:latin typeface="Arial" pitchFamily="34" charset="0"/>
            <a:cs typeface="Arial" pitchFamily="34" charset="0"/>
          </a:endParaRPr>
        </a:p>
        <a:p>
          <a:pPr algn="l" rtl="0">
            <a:lnSpc>
              <a:spcPts val="500"/>
            </a:lnSpc>
            <a:defRPr sz="1000"/>
          </a:pPr>
          <a:endParaRPr lang="de-CH" sz="800" b="0" i="0" u="none" strike="noStrike" baseline="0">
            <a:solidFill>
              <a:srgbClr val="000000"/>
            </a:solidFill>
            <a:latin typeface="Arial"/>
            <a:cs typeface="Arial"/>
          </a:endParaRPr>
        </a:p>
        <a:p>
          <a:pPr algn="l" rtl="0">
            <a:lnSpc>
              <a:spcPts val="600"/>
            </a:lnSpc>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4917</xdr:row>
      <xdr:rowOff>0</xdr:rowOff>
    </xdr:from>
    <xdr:to>
      <xdr:col>8</xdr:col>
      <xdr:colOff>0</xdr:colOff>
      <xdr:row>4920</xdr:row>
      <xdr:rowOff>7620</xdr:rowOff>
    </xdr:to>
    <xdr:sp macro="" textlink="">
      <xdr:nvSpPr>
        <xdr:cNvPr id="329" name="Text Box 7"/>
        <xdr:cNvSpPr txBox="1">
          <a:spLocks noChangeArrowheads="1"/>
        </xdr:cNvSpPr>
      </xdr:nvSpPr>
      <xdr:spPr bwMode="auto">
        <a:xfrm>
          <a:off x="0" y="674617650"/>
          <a:ext cx="6667500" cy="29337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4946</xdr:row>
      <xdr:rowOff>0</xdr:rowOff>
    </xdr:from>
    <xdr:to>
      <xdr:col>8</xdr:col>
      <xdr:colOff>0</xdr:colOff>
      <xdr:row>4949</xdr:row>
      <xdr:rowOff>0</xdr:rowOff>
    </xdr:to>
    <xdr:sp macro="" textlink="">
      <xdr:nvSpPr>
        <xdr:cNvPr id="330" name="Text Box 9"/>
        <xdr:cNvSpPr txBox="1">
          <a:spLocks noChangeArrowheads="1"/>
        </xdr:cNvSpPr>
      </xdr:nvSpPr>
      <xdr:spPr bwMode="auto">
        <a:xfrm>
          <a:off x="0" y="678475275"/>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4921</xdr:row>
      <xdr:rowOff>131444</xdr:rowOff>
    </xdr:from>
    <xdr:to>
      <xdr:col>8</xdr:col>
      <xdr:colOff>0</xdr:colOff>
      <xdr:row>4924</xdr:row>
      <xdr:rowOff>7502</xdr:rowOff>
    </xdr:to>
    <xdr:sp macro="" textlink="">
      <xdr:nvSpPr>
        <xdr:cNvPr id="331" name="Text Box 10"/>
        <xdr:cNvSpPr txBox="1">
          <a:spLocks noChangeArrowheads="1"/>
        </xdr:cNvSpPr>
      </xdr:nvSpPr>
      <xdr:spPr bwMode="auto">
        <a:xfrm>
          <a:off x="0" y="675177719"/>
          <a:ext cx="6659595" cy="30468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Kinder und Jugendliche, SchülerInnen, Kindergärten, Schulen, Ausbildungsstätten, Lehrpersonen, LehrmeisterInnen, Eltern, Bevölkerung.</a:t>
          </a:r>
        </a:p>
      </xdr:txBody>
    </xdr:sp>
    <xdr:clientData/>
  </xdr:twoCellAnchor>
  <xdr:twoCellAnchor>
    <xdr:from>
      <xdr:col>0</xdr:col>
      <xdr:colOff>0</xdr:colOff>
      <xdr:row>4899</xdr:row>
      <xdr:rowOff>0</xdr:rowOff>
    </xdr:from>
    <xdr:to>
      <xdr:col>8</xdr:col>
      <xdr:colOff>0</xdr:colOff>
      <xdr:row>4902</xdr:row>
      <xdr:rowOff>19050</xdr:rowOff>
    </xdr:to>
    <xdr:sp macro="" textlink="">
      <xdr:nvSpPr>
        <xdr:cNvPr id="332" name="Text Box 11"/>
        <xdr:cNvSpPr txBox="1">
          <a:spLocks noChangeArrowheads="1"/>
        </xdr:cNvSpPr>
      </xdr:nvSpPr>
      <xdr:spPr bwMode="auto">
        <a:xfrm>
          <a:off x="0" y="672465000"/>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4977</xdr:row>
      <xdr:rowOff>1</xdr:rowOff>
    </xdr:from>
    <xdr:to>
      <xdr:col>8</xdr:col>
      <xdr:colOff>0</xdr:colOff>
      <xdr:row>4992</xdr:row>
      <xdr:rowOff>123826</xdr:rowOff>
    </xdr:to>
    <xdr:sp macro="" textlink="">
      <xdr:nvSpPr>
        <xdr:cNvPr id="333" name="Text Box 6"/>
        <xdr:cNvSpPr txBox="1">
          <a:spLocks noChangeArrowheads="1"/>
        </xdr:cNvSpPr>
      </xdr:nvSpPr>
      <xdr:spPr bwMode="auto">
        <a:xfrm>
          <a:off x="0" y="682332901"/>
          <a:ext cx="6667500" cy="22669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ct val="100000"/>
            </a:lnSpc>
            <a:defRPr sz="1000"/>
          </a:pPr>
          <a:r>
            <a:rPr lang="de-CH" sz="800" b="0" i="0" u="none" strike="noStrike" baseline="0">
              <a:solidFill>
                <a:srgbClr val="000000"/>
              </a:solidFill>
              <a:latin typeface="Arial"/>
              <a:cs typeface="Arial"/>
            </a:rPr>
            <a:t>- Die Stadt Bern reagierte auf den durch bildungsferne Familien entstandene Frühförderbedarf mit dem Pilotprojekt primano, welches grösstenteils fremdfinanziert ist und Ende 2012 ausläuft. Die bisherigen Evaluationsergebnisse sind sehr positiv. Kindergartenlehrpersonen stellen Effekte bei früh geförderten Kindern messbar fest. Der Bedarf ist weiterhin ausgewiesen. Bildungsökonomische Studien belegen die hohe Rentabilität von Massnahmen im Frühbereich. Entsprechend soll das Pilotprojekt primano in ein Regelangebot der Stadt Bern überführt werden.</a:t>
          </a:r>
        </a:p>
        <a:p>
          <a:pPr algn="l" rtl="0">
            <a:lnSpc>
              <a:spcPct val="100000"/>
            </a:lnSpc>
            <a:defRPr sz="1000"/>
          </a:pPr>
          <a:endParaRPr lang="de-CH" sz="800" b="0" i="0" u="none" strike="noStrike" baseline="0">
            <a:solidFill>
              <a:srgbClr val="000000"/>
            </a:solidFill>
            <a:latin typeface="Arial"/>
            <a:cs typeface="Arial"/>
          </a:endParaRPr>
        </a:p>
        <a:p>
          <a:pPr algn="l" rtl="0">
            <a:lnSpc>
              <a:spcPct val="100000"/>
            </a:lnSpc>
            <a:defRPr sz="1000"/>
          </a:pPr>
          <a:r>
            <a:rPr lang="de-CH" sz="800" b="0" i="0" u="none" strike="noStrike" baseline="0">
              <a:solidFill>
                <a:srgbClr val="000000"/>
              </a:solidFill>
              <a:latin typeface="Arial"/>
              <a:cs typeface="Arial"/>
            </a:rPr>
            <a:t>- Das Thema Frühförderung hat in den letzten Jahren stark an Bedeutung zugenommen und wird schweizweit auf Ebene Bund, Kantone und Gemeinden vorangetrieben. Der Kanton Bern erarbeitet ein Frühförderungskonzept, welches im Verlauf des Jahres 2012 vom Grossen Rat verabschiedet werden soll.</a:t>
          </a:r>
        </a:p>
        <a:p>
          <a:pPr algn="l" rtl="0">
            <a:lnSpc>
              <a:spcPct val="100000"/>
            </a:lnSpc>
            <a:defRPr sz="1000"/>
          </a:pPr>
          <a:endParaRPr lang="de-CH" sz="800" b="0" i="0" u="none" strike="noStrike" baseline="0">
            <a:solidFill>
              <a:srgbClr val="000000"/>
            </a:solidFill>
            <a:latin typeface="Arial"/>
            <a:cs typeface="Arial"/>
          </a:endParaRPr>
        </a:p>
        <a:p>
          <a:pPr algn="l" rtl="0">
            <a:lnSpc>
              <a:spcPct val="100000"/>
            </a:lnSpc>
            <a:defRPr sz="1000"/>
          </a:pPr>
          <a:r>
            <a:rPr lang="de-CH" sz="800" b="0" i="0" u="none" strike="noStrike" baseline="0">
              <a:solidFill>
                <a:srgbClr val="000000"/>
              </a:solidFill>
              <a:latin typeface="Arial"/>
              <a:cs typeface="Arial"/>
            </a:rPr>
            <a:t>- Der hohe Anteil übergewichtiger und adipöser Kinder belegt weiterhin die Notwendigkeit von langfristig nachhaltigen Angeboten wie z.B. die Znünibox. </a:t>
          </a:r>
        </a:p>
        <a:p>
          <a:pPr algn="l" rtl="0">
            <a:lnSpc>
              <a:spcPct val="100000"/>
            </a:lnSpc>
            <a:defRPr sz="1000"/>
          </a:pPr>
          <a:endParaRPr lang="de-CH" sz="800" b="0" i="0" u="none" strike="noStrike" baseline="0">
            <a:solidFill>
              <a:srgbClr val="000000"/>
            </a:solidFill>
            <a:latin typeface="Arial"/>
            <a:cs typeface="Arial"/>
          </a:endParaRPr>
        </a:p>
        <a:p>
          <a:pPr algn="l" rtl="0">
            <a:lnSpc>
              <a:spcPct val="100000"/>
            </a:lnSpc>
            <a:defRPr sz="1000"/>
          </a:pPr>
          <a:r>
            <a:rPr lang="de-CH" sz="800" b="0" i="0" u="none" strike="noStrike" baseline="0">
              <a:solidFill>
                <a:srgbClr val="000000"/>
              </a:solidFill>
              <a:latin typeface="Arial"/>
              <a:cs typeface="Arial"/>
            </a:rPr>
            <a:t>- Das Netzwerk gesundheitsfördernder Schulen und die Konferenz der geschäftsführenden Schulleitungen haben entschieden, die Gesundheit von Lehrpersonen als Schwerpunktthema bis 2013 festzulegen. Die Einstimmigkeit des gefällten Entscheides belegt den Bedarf und wird durch die schulnahen Institutionen auch bestätigt.</a:t>
          </a:r>
        </a:p>
        <a:p>
          <a:pPr algn="l" rtl="0">
            <a:lnSpc>
              <a:spcPct val="100000"/>
            </a:lnSpc>
            <a:defRPr sz="1000"/>
          </a:pPr>
          <a:endParaRPr lang="de-CH" sz="800" b="0" i="0" u="none" strike="noStrike" baseline="0">
            <a:solidFill>
              <a:srgbClr val="000000"/>
            </a:solidFill>
            <a:latin typeface="Arial"/>
            <a:cs typeface="Arial"/>
          </a:endParaRPr>
        </a:p>
        <a:p>
          <a:pPr algn="l" rtl="0">
            <a:lnSpc>
              <a:spcPct val="100000"/>
            </a:lnSpc>
            <a:defRPr sz="1000"/>
          </a:pPr>
          <a:r>
            <a:rPr lang="de-CH" sz="800" b="0" i="0" u="none" strike="noStrike" baseline="0">
              <a:solidFill>
                <a:srgbClr val="000000"/>
              </a:solidFill>
              <a:latin typeface="Arial"/>
              <a:cs typeface="Arial"/>
            </a:rPr>
            <a:t>- Im Rahmen der Portfolioanalyse erfolgte bereits im 2011 ein Abbau im Bereich Ernährung und Bewegung im Umfang von 10 Stellenprozenten und Einsparungen von Fr. 10'000.00. Ebenfalls reduziert wurde das Lifeskillprogramm DuSeischWoDüre (DSWD) womit jährlich Fr. 60'000.00 eingespart werden und das Angebot von 45 auf 30 Gruppen reduziert wurde. </a:t>
          </a:r>
        </a:p>
        <a:p>
          <a:pPr algn="l" rtl="0">
            <a:lnSpc>
              <a:spcPts val="700"/>
            </a:lnSpc>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4995</xdr:row>
      <xdr:rowOff>127635</xdr:rowOff>
    </xdr:from>
    <xdr:to>
      <xdr:col>8</xdr:col>
      <xdr:colOff>0</xdr:colOff>
      <xdr:row>5009</xdr:row>
      <xdr:rowOff>57150</xdr:rowOff>
    </xdr:to>
    <xdr:sp macro="" textlink="">
      <xdr:nvSpPr>
        <xdr:cNvPr id="334" name="Text Box 7"/>
        <xdr:cNvSpPr txBox="1">
          <a:spLocks noChangeArrowheads="1"/>
        </xdr:cNvSpPr>
      </xdr:nvSpPr>
      <xdr:spPr bwMode="auto">
        <a:xfrm>
          <a:off x="0" y="684860835"/>
          <a:ext cx="6665595" cy="192976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 Das überwiegend fremdfinanzierte Pilotprojekt primano endet 2012. Ausnahme ist das Hausbesuchsprogramm schritt:weise, dessen fünfter Durchgang erst im April 2013 abgeschlossen wird.</a:t>
          </a:r>
        </a:p>
        <a:p>
          <a:pPr algn="l" rtl="0">
            <a:defRPr sz="1000"/>
          </a:pPr>
          <a:endParaRPr lang="de-CH" sz="800" b="0" i="0" u="none" strike="noStrike" baseline="0">
            <a:solidFill>
              <a:srgbClr val="000000"/>
            </a:solidFill>
            <a:latin typeface="Arial"/>
            <a:cs typeface="Arial"/>
          </a:endParaRPr>
        </a:p>
        <a:p>
          <a:pPr algn="l" rtl="0">
            <a:defRPr sz="1000"/>
          </a:pPr>
          <a:r>
            <a:rPr lang="de-CH" sz="800" b="0" i="0" u="none" strike="noStrike" baseline="0">
              <a:solidFill>
                <a:srgbClr val="000000"/>
              </a:solidFill>
              <a:latin typeface="Arial"/>
              <a:cs typeface="Arial"/>
            </a:rPr>
            <a:t>- Das Regelangebot in der Frühförderung sieht eine bedarfsgerechte, flächendeckende Versorgung der Stadt Bern vor. Die bestehenden Elemente Hausbesuche, Vernetzung und Fördermodule in Spielgruppen werden weitergeführt. Die bisher für das Pilotprojekt benötigten Mittel, werden ab dem Jahr 2013 für die dauerhafte Weiterführung des Angebots  in die Planung des Gesundheitsdienstes aufgenommen. </a:t>
          </a:r>
        </a:p>
        <a:p>
          <a:pPr algn="l" rtl="0">
            <a:defRPr sz="1000"/>
          </a:pPr>
          <a:r>
            <a:rPr lang="de-CH" sz="800" b="0" i="0" u="none" strike="noStrike" baseline="0">
              <a:solidFill>
                <a:srgbClr val="000000"/>
              </a:solidFill>
              <a:latin typeface="Arial"/>
              <a:cs typeface="Arial"/>
            </a:rPr>
            <a:t>Die zusätzlich notwendigen Mittel für die Ausdehnung auf das gesamte Stadtgebiet, werden aus Drittmitteln finanziert. Ab 2013 belaufen sich die Nettokosten auf jährlich Fr. 550'000.00 zuzüglich Teuerung auf den Löhnen in den Folgejahren. Davon sind Fr. 40'000.00 im IAFP des Jugendamtes für die Vernetzung mit der VBG (Vereinigung für Beratung, Integrationshilfe und Gemeinwesenarbeit), dem Mütterzentrum Bern West und dem Familientreff Bern Ost eingeplant. Die im IAFP eingestellte Fremdfinanzierung durch Drittmittel beläuft sich auf Fr. 215'300.00 </a:t>
          </a:r>
        </a:p>
        <a:p>
          <a:pPr algn="l" rtl="0">
            <a:defRPr sz="1000"/>
          </a:pPr>
          <a:r>
            <a:rPr lang="de-CH" sz="800" b="0" i="0" u="none" strike="noStrike" baseline="0">
              <a:solidFill>
                <a:srgbClr val="000000"/>
              </a:solidFill>
              <a:latin typeface="Arial"/>
              <a:cs typeface="Arial"/>
            </a:rPr>
            <a:t>für 2013; Fr. 360'000.00 für 2014; Fr. 385'000.00 für 2015 und 2016.</a:t>
          </a:r>
        </a:p>
        <a:p>
          <a:pPr algn="l" rtl="0">
            <a:defRPr sz="1000"/>
          </a:pPr>
          <a:endParaRPr lang="de-CH" sz="800" b="0" i="0" u="none" strike="noStrike" baseline="0">
            <a:solidFill>
              <a:srgbClr val="000000"/>
            </a:solidFill>
            <a:latin typeface="Arial"/>
            <a:cs typeface="Arial"/>
          </a:endParaRPr>
        </a:p>
        <a:p>
          <a:pPr algn="l" rtl="0">
            <a:defRPr sz="1000"/>
          </a:pPr>
          <a:r>
            <a:rPr lang="de-CH" sz="800" b="0" i="0" u="none" strike="noStrike" baseline="0">
              <a:solidFill>
                <a:srgbClr val="000000"/>
              </a:solidFill>
              <a:latin typeface="Arial"/>
              <a:cs typeface="Arial"/>
            </a:rPr>
            <a:t>- Gemeinsame Mahlzeiten und Znünis in der Schule sind eine ausgezeichnete Gelegenheit, um gesunde Ernährung im Alltag zu üben. Das im Kindergarten und der Unterstufe eingeführte Projekt Znünibox ist bei Lehrkräften, Kindern und Eltern sehr beliebt. Künftig erfolgt ein weiterer Ausbau in den bestehenden Stufen, sowie eine Ausdehnung auf die Mittelstufe. Im vorliegenden IAFP sind keine Kosten dafür berücksichtigt. Die Finanzierung erfolgt über Drittmittel.</a:t>
          </a:r>
        </a:p>
        <a:p>
          <a:pPr algn="l" rtl="0">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5040</xdr:row>
      <xdr:rowOff>0</xdr:rowOff>
    </xdr:from>
    <xdr:to>
      <xdr:col>8</xdr:col>
      <xdr:colOff>0</xdr:colOff>
      <xdr:row>5042</xdr:row>
      <xdr:rowOff>0</xdr:rowOff>
    </xdr:to>
    <xdr:sp macro="" textlink="">
      <xdr:nvSpPr>
        <xdr:cNvPr id="335" name="Text Box 9"/>
        <xdr:cNvSpPr txBox="1">
          <a:spLocks noChangeArrowheads="1"/>
        </xdr:cNvSpPr>
      </xdr:nvSpPr>
      <xdr:spPr bwMode="auto">
        <a:xfrm>
          <a:off x="0" y="690676800"/>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5013</xdr:row>
      <xdr:rowOff>0</xdr:rowOff>
    </xdr:from>
    <xdr:to>
      <xdr:col>8</xdr:col>
      <xdr:colOff>0</xdr:colOff>
      <xdr:row>5015</xdr:row>
      <xdr:rowOff>133268</xdr:rowOff>
    </xdr:to>
    <xdr:sp macro="" textlink="">
      <xdr:nvSpPr>
        <xdr:cNvPr id="336" name="Text Box 10"/>
        <xdr:cNvSpPr txBox="1">
          <a:spLocks noChangeArrowheads="1"/>
        </xdr:cNvSpPr>
      </xdr:nvSpPr>
      <xdr:spPr bwMode="auto">
        <a:xfrm>
          <a:off x="0" y="687162075"/>
          <a:ext cx="6667500" cy="419018"/>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Kinder und Jugendliche, SchülerInnen, Kindergärten, Schulen, Ausbildungsstätten, Lehrpersonen, LehrmeisterInnen, Eltern, Bevölkerung, Quartierorganisationen, Kirche, schulnahe Organisationen.</a:t>
          </a:r>
        </a:p>
      </xdr:txBody>
    </xdr:sp>
    <xdr:clientData/>
  </xdr:twoCellAnchor>
  <xdr:twoCellAnchor>
    <xdr:from>
      <xdr:col>0</xdr:col>
      <xdr:colOff>0</xdr:colOff>
      <xdr:row>4969</xdr:row>
      <xdr:rowOff>0</xdr:rowOff>
    </xdr:from>
    <xdr:to>
      <xdr:col>8</xdr:col>
      <xdr:colOff>0</xdr:colOff>
      <xdr:row>4975</xdr:row>
      <xdr:rowOff>7620</xdr:rowOff>
    </xdr:to>
    <xdr:sp macro="" textlink="">
      <xdr:nvSpPr>
        <xdr:cNvPr id="337" name="Text Box 11"/>
        <xdr:cNvSpPr txBox="1">
          <a:spLocks noChangeArrowheads="1"/>
        </xdr:cNvSpPr>
      </xdr:nvSpPr>
      <xdr:spPr bwMode="auto">
        <a:xfrm>
          <a:off x="0" y="681475650"/>
          <a:ext cx="6667500" cy="43624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ct val="100000"/>
            </a:lnSpc>
            <a:defRPr sz="1000"/>
          </a:pPr>
          <a:r>
            <a:rPr lang="de-CH" sz="800" b="0" i="0" u="none" strike="noStrike" baseline="0">
              <a:solidFill>
                <a:srgbClr val="000000"/>
              </a:solidFill>
              <a:latin typeface="Arial"/>
              <a:cs typeface="Arial"/>
            </a:rPr>
            <a:t>Ziel 5.1: Bern ist für Kinder, Familien und Jugendliche noch attraktiver / Massnahme 1: Die Stadt Bern verbessert die Rahmenbedingungen für Familien und Kinder im Vorschulalter / Indikator: 1.2 Im Bereich Frühförderung ist das Pilotprojekt abgeschlossen und das weitere Vorgehen festgelegt.</a:t>
          </a:r>
        </a:p>
        <a:p>
          <a:pPr algn="l" rtl="0">
            <a:lnSpc>
              <a:spcPts val="700"/>
            </a:lnSpc>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5070</xdr:row>
      <xdr:rowOff>34290</xdr:rowOff>
    </xdr:from>
    <xdr:to>
      <xdr:col>8</xdr:col>
      <xdr:colOff>0</xdr:colOff>
      <xdr:row>5073</xdr:row>
      <xdr:rowOff>84044</xdr:rowOff>
    </xdr:to>
    <xdr:sp macro="" textlink="">
      <xdr:nvSpPr>
        <xdr:cNvPr id="338" name="Text Box 6"/>
        <xdr:cNvSpPr txBox="1">
          <a:spLocks noChangeArrowheads="1"/>
        </xdr:cNvSpPr>
      </xdr:nvSpPr>
      <xdr:spPr bwMode="auto">
        <a:xfrm>
          <a:off x="0" y="694940190"/>
          <a:ext cx="6659884" cy="478379"/>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ct val="100000"/>
            </a:lnSpc>
            <a:defRPr sz="1000"/>
          </a:pPr>
          <a:r>
            <a:rPr lang="de-CH" sz="800" b="0" i="0" u="none" strike="noStrike" baseline="0">
              <a:solidFill>
                <a:srgbClr val="000000"/>
              </a:solidFill>
              <a:latin typeface="Arial"/>
              <a:cs typeface="Arial"/>
            </a:rPr>
            <a:t>Freizeit, Sport und Bewegung gewinnen immer mehr an Bedeutung. Die Stadt Bern will nebst den bisherigen Kernaufgaben "Verwaltung und Betrieb von Sportinfrastrukturen" den Sport und die Bewegung verstärkt fördern. Alle Eis- und Wasseranlagen sind sanierungsbedürftig und erfordern entsprechende Investitionen. Die Nachfrage nach freiem Eislauf ist seit Jahren rückläufig. Das Angebot im Bereich Freibäder ausreichend.</a:t>
          </a:r>
        </a:p>
      </xdr:txBody>
    </xdr:sp>
    <xdr:clientData/>
  </xdr:twoCellAnchor>
  <xdr:twoCellAnchor>
    <xdr:from>
      <xdr:col>0</xdr:col>
      <xdr:colOff>0</xdr:colOff>
      <xdr:row>5076</xdr:row>
      <xdr:rowOff>0</xdr:rowOff>
    </xdr:from>
    <xdr:to>
      <xdr:col>8</xdr:col>
      <xdr:colOff>0</xdr:colOff>
      <xdr:row>5097</xdr:row>
      <xdr:rowOff>114300</xdr:rowOff>
    </xdr:to>
    <xdr:sp macro="" textlink="">
      <xdr:nvSpPr>
        <xdr:cNvPr id="339" name="Text Box 7"/>
        <xdr:cNvSpPr txBox="1">
          <a:spLocks noChangeArrowheads="1"/>
        </xdr:cNvSpPr>
      </xdr:nvSpPr>
      <xdr:spPr bwMode="auto">
        <a:xfrm>
          <a:off x="0" y="695725050"/>
          <a:ext cx="6659884" cy="29718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ct val="100000"/>
            </a:lnSpc>
            <a:defRPr sz="1000"/>
          </a:pPr>
          <a:r>
            <a:rPr lang="de-CH" sz="800" b="0" i="0" u="none" strike="noStrike" baseline="0">
              <a:solidFill>
                <a:srgbClr val="000000"/>
              </a:solidFill>
              <a:latin typeface="Arial"/>
              <a:cs typeface="Arial"/>
            </a:rPr>
            <a:t>Der Gemeinderat hat das Sport- und Bewegungskonzept am 2. Februar 2011 verabschiedet. Der Stadtrat hat dies am 26. Mai 2011 positiv zur Kenntnis genommen.</a:t>
          </a:r>
        </a:p>
        <a:p>
          <a:pPr algn="l" rtl="0">
            <a:lnSpc>
              <a:spcPct val="100000"/>
            </a:lnSpc>
            <a:defRPr sz="1000"/>
          </a:pPr>
          <a:r>
            <a:rPr lang="de-CH" sz="800" b="0" i="0" u="none" strike="noStrike" baseline="0">
              <a:solidFill>
                <a:srgbClr val="000000"/>
              </a:solidFill>
              <a:latin typeface="Arial"/>
              <a:cs typeface="Arial"/>
            </a:rPr>
            <a:t> </a:t>
          </a:r>
        </a:p>
        <a:p>
          <a:pPr algn="l" rtl="0">
            <a:lnSpc>
              <a:spcPct val="100000"/>
            </a:lnSpc>
            <a:defRPr sz="1000"/>
          </a:pPr>
          <a:r>
            <a:rPr lang="de-CH" sz="800" b="0" i="0" u="none" strike="noStrike" baseline="0">
              <a:solidFill>
                <a:srgbClr val="000000"/>
              </a:solidFill>
              <a:latin typeface="Arial"/>
              <a:cs typeface="Arial"/>
            </a:rPr>
            <a:t>Portfolioanalyse: Im Rahmen der Portfolioanalyse ging der Gemeinderat von einer Schliessung der KaWeDe auf den Sommer 2013 aus. Auf diesen Entscheid ist er zurückgekommen.</a:t>
          </a:r>
        </a:p>
        <a:p>
          <a:pPr algn="l" rtl="0">
            <a:lnSpc>
              <a:spcPts val="800"/>
            </a:lnSpc>
            <a:defRPr sz="1000"/>
          </a:pPr>
          <a:endParaRPr lang="de-CH" sz="800" b="0" i="0" u="none" strike="noStrike" baseline="0">
            <a:solidFill>
              <a:srgbClr val="000000"/>
            </a:solidFill>
            <a:latin typeface="Arial"/>
            <a:cs typeface="Arial"/>
          </a:endParaRPr>
        </a:p>
        <a:p>
          <a:pPr algn="l" rtl="0">
            <a:lnSpc>
              <a:spcPct val="100000"/>
            </a:lnSpc>
            <a:defRPr sz="1000"/>
          </a:pPr>
          <a:r>
            <a:rPr lang="de-CH" sz="800" b="0" i="0" u="none" strike="noStrike" baseline="0">
              <a:solidFill>
                <a:srgbClr val="000000"/>
              </a:solidFill>
              <a:latin typeface="Arial"/>
              <a:cs typeface="Arial"/>
            </a:rPr>
            <a:t>Aufgrund der externen Konsultation zum Sport- und Bewegungskonzept  ist der Gemeinderat auf die vorgesehene Schliessung der KaWeDe zurückgekommen und hat eine Umnutzung beschlossen. Die finanziellen Auswirkungen dieser Umnutzung  können zum heutigen Zeitpunkt  nicht beziffert werden. Ausgearbeitete Varianten für eine Umnutzung liegen vor. Der zweite Zwischenbericht wird dem Gemeinderat bis Anfang 2012 vorgelegt. Die geplante stufenweise Schliessung in den Jahren 2013 und 2014 ist nicht mehr realistisch. Die Kosten und Erlöse für den Betrieb der Anlage werden in der Planung gemäss Budget 2012 fortgeschrieben. </a:t>
          </a:r>
        </a:p>
        <a:p>
          <a:pPr algn="l" rtl="0">
            <a:lnSpc>
              <a:spcPct val="100000"/>
            </a:lnSpc>
            <a:defRPr sz="1000"/>
          </a:pPr>
          <a:endParaRPr lang="de-CH" sz="800" b="0" i="0" u="none" strike="noStrike" baseline="0">
            <a:solidFill>
              <a:srgbClr val="000000"/>
            </a:solidFill>
            <a:latin typeface="Arial"/>
            <a:cs typeface="Arial"/>
          </a:endParaRPr>
        </a:p>
        <a:p>
          <a:pPr algn="l" rtl="0">
            <a:lnSpc>
              <a:spcPct val="100000"/>
            </a:lnSpc>
            <a:defRPr sz="1000"/>
          </a:pPr>
          <a:r>
            <a:rPr lang="de-CH" sz="800" b="0" i="0" u="none" strike="noStrike" baseline="0">
              <a:solidFill>
                <a:srgbClr val="000000"/>
              </a:solidFill>
              <a:latin typeface="Arial"/>
              <a:cs typeface="Arial"/>
            </a:rPr>
            <a:t>Das Projekt für die Renovation der Kunsteisbahn Weyermannshaus ist auf das Jahr 2017 verschoben worden.</a:t>
          </a:r>
        </a:p>
        <a:p>
          <a:pPr algn="l" rtl="0">
            <a:lnSpc>
              <a:spcPts val="800"/>
            </a:lnSpc>
            <a:defRPr sz="1000"/>
          </a:pPr>
          <a:endParaRPr lang="de-CH" sz="800" b="0" i="0" u="none" strike="noStrike" baseline="0">
            <a:solidFill>
              <a:srgbClr val="000000"/>
            </a:solidFill>
            <a:latin typeface="Arial"/>
            <a:cs typeface="Arial"/>
          </a:endParaRPr>
        </a:p>
        <a:p>
          <a:pPr algn="l" rtl="0">
            <a:lnSpc>
              <a:spcPct val="100000"/>
            </a:lnSpc>
            <a:defRPr sz="1000"/>
          </a:pPr>
          <a:r>
            <a:rPr lang="de-CH" sz="800" b="0" i="0" u="none" strike="noStrike" baseline="0">
              <a:solidFill>
                <a:srgbClr val="000000"/>
              </a:solidFill>
              <a:latin typeface="Arial" pitchFamily="34" charset="0"/>
              <a:cs typeface="Arial" pitchFamily="34" charset="0"/>
            </a:rPr>
            <a:t>Mit der Verlängerung der Öffnungszeiten und der Einführung des Frühschwimmens wurden die Schwimmmöglichkeiten erweitert. Die Wiederinbetriebnahme nach der Sanierung des Hallenbades Weyermannshaus im Juli 2011 hat zu einer leichten Verbesserung der prekären Schwimmsituation beigetragen. Die Mietfolgekosten für das ganze Betriebsjahr erhöhen sich um Fr. 250'000.00. </a:t>
          </a:r>
        </a:p>
        <a:p>
          <a:pPr algn="l" rtl="0">
            <a:lnSpc>
              <a:spcPts val="800"/>
            </a:lnSpc>
            <a:defRPr sz="1000"/>
          </a:pPr>
          <a:endParaRPr lang="de-CH" sz="800" b="0" i="0" u="none" strike="noStrike" baseline="0">
            <a:solidFill>
              <a:srgbClr val="000000"/>
            </a:solidFill>
            <a:latin typeface="Arial" pitchFamily="34" charset="0"/>
            <a:ea typeface="+mn-ea"/>
            <a:cs typeface="Arial" pitchFamily="34" charset="0"/>
          </a:endParaRPr>
        </a:p>
        <a:p>
          <a:pPr algn="l" rtl="0">
            <a:lnSpc>
              <a:spcPct val="100000"/>
            </a:lnSpc>
            <a:defRPr sz="1000"/>
          </a:pPr>
          <a:r>
            <a:rPr lang="de-CH" sz="800" b="0" i="0" u="none" strike="noStrike" baseline="0">
              <a:solidFill>
                <a:srgbClr val="000000"/>
              </a:solidFill>
              <a:latin typeface="Arial" pitchFamily="34" charset="0"/>
              <a:ea typeface="+mn-ea"/>
              <a:cs typeface="Arial" pitchFamily="34" charset="0"/>
            </a:rPr>
            <a:t>In den letzten Jahren wurde in verschiedenen Anlagen der Ersatz und die Erneuerung von Maschinen, Werkzeugen und Infrastruktur zurückgestellt. Es besteht </a:t>
          </a:r>
          <a:r>
            <a:rPr lang="de-CH" sz="800" b="0" i="0" baseline="0">
              <a:effectLst/>
              <a:latin typeface="Arial" pitchFamily="34" charset="0"/>
              <a:ea typeface="+mn-ea"/>
              <a:cs typeface="Arial" pitchFamily="34" charset="0"/>
            </a:rPr>
            <a:t>ein Nachholbedarf von je Fr. 70'000.00 in den Jahren 2013 und 2014.</a:t>
          </a:r>
        </a:p>
        <a:p>
          <a:pPr algn="l" rtl="0">
            <a:lnSpc>
              <a:spcPts val="800"/>
            </a:lnSpc>
            <a:defRPr sz="1000"/>
          </a:pPr>
          <a:endParaRPr lang="de-CH" sz="800" b="0" i="0" u="none" strike="noStrike" baseline="0">
            <a:solidFill>
              <a:srgbClr val="000000"/>
            </a:solidFill>
            <a:latin typeface="Arial" pitchFamily="34" charset="0"/>
            <a:cs typeface="Arial" pitchFamily="34" charset="0"/>
          </a:endParaRPr>
        </a:p>
        <a:p>
          <a:pPr algn="l" rtl="0">
            <a:lnSpc>
              <a:spcPct val="100000"/>
            </a:lnSpc>
            <a:defRPr sz="1000"/>
          </a:pPr>
          <a:r>
            <a:rPr lang="de-CH" sz="800" b="0" i="0" u="none" strike="noStrike" baseline="0">
              <a:solidFill>
                <a:srgbClr val="000000"/>
              </a:solidFill>
              <a:latin typeface="Arial" pitchFamily="34" charset="0"/>
              <a:cs typeface="Arial" pitchFamily="34" charset="0"/>
            </a:rPr>
            <a:t>Neue Aufgaben: Aufgrund einer gesetzlichen Änderung per 2015 müssen die Mitarbeitenden in den Anlagen für den Umgang mit Chemikalien umgeschult werden. Die Störungsanfälligkeit der alten Anlagen im Zusammenhang mit den verwendeten Chemikalien macht aus Sicherheitsgründen den Aufbau eines Bereitschaftsdienstes gemäss PVO Art. 45 Abs. 3 notwendig.</a:t>
          </a:r>
          <a:endParaRPr lang="de-CH" sz="800" b="0" i="0" u="none" strike="noStrike" baseline="0">
            <a:solidFill>
              <a:srgbClr val="000000"/>
            </a:solidFill>
            <a:latin typeface="Arial"/>
            <a:cs typeface="Arial"/>
          </a:endParaRPr>
        </a:p>
        <a:p>
          <a:pPr algn="l" rtl="0">
            <a:lnSpc>
              <a:spcPts val="800"/>
            </a:lnSpc>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5131</xdr:row>
      <xdr:rowOff>0</xdr:rowOff>
    </xdr:from>
    <xdr:to>
      <xdr:col>8</xdr:col>
      <xdr:colOff>0</xdr:colOff>
      <xdr:row>5134</xdr:row>
      <xdr:rowOff>7620</xdr:rowOff>
    </xdr:to>
    <xdr:sp macro="" textlink="">
      <xdr:nvSpPr>
        <xdr:cNvPr id="340" name="Text Box 9"/>
        <xdr:cNvSpPr txBox="1">
          <a:spLocks noChangeArrowheads="1"/>
        </xdr:cNvSpPr>
      </xdr:nvSpPr>
      <xdr:spPr bwMode="auto">
        <a:xfrm>
          <a:off x="0" y="703297425"/>
          <a:ext cx="6659884" cy="43624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2014: 1 Eisaufbereitungsmaschine Weyermannshaus und 1 Ka-We-De, 2015: 1 Landcruiser und 1 Eisaufbereitungsmaschine</a:t>
          </a:r>
        </a:p>
        <a:p>
          <a:pPr algn="l" rtl="0">
            <a:defRPr sz="1000"/>
          </a:pPr>
          <a:r>
            <a:rPr kumimoji="0" lang="de-CH" sz="800" b="0" i="0" u="none" strike="noStrike" kern="0" cap="none" spc="0" normalizeH="0" baseline="0" noProof="0">
              <a:ln>
                <a:noFill/>
              </a:ln>
              <a:solidFill>
                <a:srgbClr val="000000"/>
              </a:solidFill>
              <a:effectLst/>
              <a:uLnTx/>
              <a:uFillTx/>
              <a:latin typeface="Arial"/>
              <a:ea typeface="+mn-ea"/>
              <a:cs typeface="Arial"/>
            </a:rPr>
            <a:t>Investitionen: Mit Kompensation aus dem Investitionstopf EDV konnte der im Jahr 2013 fällige und immer wieder nach hinten verschobene Ersatz des Landcruiser mit dem Kauf eines Traktors umgesetzt werden.</a:t>
          </a:r>
          <a:endParaRPr lang="de-CH" sz="800" b="0" i="0" u="none" strike="noStrike" baseline="0">
            <a:solidFill>
              <a:srgbClr val="000000"/>
            </a:solidFill>
            <a:latin typeface="Arial"/>
            <a:cs typeface="Arial"/>
          </a:endParaRPr>
        </a:p>
      </xdr:txBody>
    </xdr:sp>
    <xdr:clientData/>
  </xdr:twoCellAnchor>
  <xdr:twoCellAnchor>
    <xdr:from>
      <xdr:col>0</xdr:col>
      <xdr:colOff>0</xdr:colOff>
      <xdr:row>5101</xdr:row>
      <xdr:rowOff>97473</xdr:rowOff>
    </xdr:from>
    <xdr:to>
      <xdr:col>8</xdr:col>
      <xdr:colOff>0</xdr:colOff>
      <xdr:row>5103</xdr:row>
      <xdr:rowOff>671</xdr:rowOff>
    </xdr:to>
    <xdr:sp macro="" textlink="">
      <xdr:nvSpPr>
        <xdr:cNvPr id="341" name="Text Box 10"/>
        <xdr:cNvSpPr txBox="1">
          <a:spLocks noChangeArrowheads="1"/>
        </xdr:cNvSpPr>
      </xdr:nvSpPr>
      <xdr:spPr bwMode="auto">
        <a:xfrm>
          <a:off x="0" y="699108648"/>
          <a:ext cx="6659884" cy="188948"/>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Bevölkerung aller Altersstufen, Vereine, Bund, Kanton. Personen mit Arbeitsstandort Bern.</a:t>
          </a:r>
        </a:p>
      </xdr:txBody>
    </xdr:sp>
    <xdr:clientData/>
  </xdr:twoCellAnchor>
  <xdr:twoCellAnchor>
    <xdr:from>
      <xdr:col>0</xdr:col>
      <xdr:colOff>0</xdr:colOff>
      <xdr:row>5063</xdr:row>
      <xdr:rowOff>40005</xdr:rowOff>
    </xdr:from>
    <xdr:to>
      <xdr:col>8</xdr:col>
      <xdr:colOff>0</xdr:colOff>
      <xdr:row>5067</xdr:row>
      <xdr:rowOff>121976</xdr:rowOff>
    </xdr:to>
    <xdr:sp macro="" textlink="">
      <xdr:nvSpPr>
        <xdr:cNvPr id="342" name="Text Box 11"/>
        <xdr:cNvSpPr txBox="1">
          <a:spLocks noChangeArrowheads="1"/>
        </xdr:cNvSpPr>
      </xdr:nvSpPr>
      <xdr:spPr bwMode="auto">
        <a:xfrm>
          <a:off x="0" y="693860055"/>
          <a:ext cx="6659884" cy="63442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de-CH" sz="800" baseline="0">
              <a:effectLst/>
              <a:latin typeface="Arial" pitchFamily="34" charset="0"/>
              <a:ea typeface="+mn-ea"/>
              <a:cs typeface="Arial" pitchFamily="34" charset="0"/>
            </a:rPr>
            <a:t>Legislaturziel 1.2: Lebenswerte Quartiere, grüne Freifläche und sichere Stadträume = Lebensqualität / Massnahmen: Die Stadt Bern baut das Angebot an Rasen-, Wasser- und Freizeitanlagen aus und die Bewegungsfreude der Bevölkerung wird gezielt gefördert. / Indikatoren: 4.1 Das Sport- und Bewegungskonzept inklusive Anlagekonzept ist erarbeitet und umgesetzt, respektive in Umsetzung. / 4.2 Die Planung für eine neue 50-m-Schwimmhalle ist im Rahmen eines PPP-Projekts konkretisiert. Die Schwimmhalle ersetzt das Hallenbad Hirschengraben an der Maulbeerstrasse.</a:t>
          </a:r>
        </a:p>
        <a:p>
          <a:pPr algn="l" rtl="0">
            <a:lnSpc>
              <a:spcPts val="800"/>
            </a:lnSpc>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5161</xdr:row>
      <xdr:rowOff>22860</xdr:rowOff>
    </xdr:from>
    <xdr:to>
      <xdr:col>8</xdr:col>
      <xdr:colOff>0</xdr:colOff>
      <xdr:row>5164</xdr:row>
      <xdr:rowOff>68580</xdr:rowOff>
    </xdr:to>
    <xdr:sp macro="" textlink="">
      <xdr:nvSpPr>
        <xdr:cNvPr id="343" name="Text Box 6"/>
        <xdr:cNvSpPr txBox="1">
          <a:spLocks noChangeArrowheads="1"/>
        </xdr:cNvSpPr>
      </xdr:nvSpPr>
      <xdr:spPr bwMode="auto">
        <a:xfrm>
          <a:off x="0" y="707349360"/>
          <a:ext cx="6667500" cy="43624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Freizeit, Sport und Bewegung gewinnen immer mehr an Bedeutung. Bestimmte Personengruppen bewegen sich zu wenig. Es sind dies insbesondere Frauen und Kinder mit Migrationshintergrund, sowie sozial Schwächere. Das neue Sport- und Bewegungskonzept setzt sich zum Ziel, möglichst viele Menschen gesund zu bewegen.</a:t>
          </a:r>
        </a:p>
      </xdr:txBody>
    </xdr:sp>
    <xdr:clientData/>
  </xdr:twoCellAnchor>
  <xdr:twoCellAnchor>
    <xdr:from>
      <xdr:col>0</xdr:col>
      <xdr:colOff>0</xdr:colOff>
      <xdr:row>5167</xdr:row>
      <xdr:rowOff>3811</xdr:rowOff>
    </xdr:from>
    <xdr:to>
      <xdr:col>8</xdr:col>
      <xdr:colOff>0</xdr:colOff>
      <xdr:row>5177</xdr:row>
      <xdr:rowOff>0</xdr:rowOff>
    </xdr:to>
    <xdr:sp macro="" textlink="">
      <xdr:nvSpPr>
        <xdr:cNvPr id="344" name="Text Box 7"/>
        <xdr:cNvSpPr txBox="1">
          <a:spLocks noChangeArrowheads="1"/>
        </xdr:cNvSpPr>
      </xdr:nvSpPr>
      <xdr:spPr bwMode="auto">
        <a:xfrm>
          <a:off x="0" y="708092311"/>
          <a:ext cx="6667500" cy="1367789"/>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ct val="100000"/>
            </a:lnSpc>
            <a:defRPr sz="1000"/>
          </a:pPr>
          <a:r>
            <a:rPr lang="de-CH" sz="800" b="0" i="0" u="none" strike="noStrike" baseline="0">
              <a:solidFill>
                <a:srgbClr val="000000"/>
              </a:solidFill>
              <a:latin typeface="Arial"/>
              <a:cs typeface="Arial"/>
            </a:rPr>
            <a:t>Der Gemeinderat hat das Sport- und Bewegungskonzept am 2. Februar 2011 verabschiedet .  Der Stadtrat hat dies am 26. Mai 2011 positiv zur Kenntnis genommen. Die Reduzierung des Mankos von Rasenfeldern und Turnhalleneinheiten wird mit den geplanten baulichen Massnahmen in den Sportanlagen Wyler, kleine und grosse Allmend, Spitalacker und Bodenweid 2. Etappe weiter verfolgt. </a:t>
          </a:r>
        </a:p>
        <a:p>
          <a:pPr algn="l" rtl="0">
            <a:lnSpc>
              <a:spcPct val="100000"/>
            </a:lnSpc>
            <a:defRPr sz="1000"/>
          </a:pPr>
          <a:endParaRPr lang="de-CH" sz="400" b="0" i="0" u="none" strike="noStrike" baseline="0">
            <a:solidFill>
              <a:srgbClr val="000000"/>
            </a:solidFill>
            <a:latin typeface="Arial"/>
            <a:cs typeface="Arial"/>
          </a:endParaRPr>
        </a:p>
        <a:p>
          <a:pPr algn="l" rtl="0">
            <a:lnSpc>
              <a:spcPct val="100000"/>
            </a:lnSpc>
            <a:defRPr sz="1000"/>
          </a:pPr>
          <a:r>
            <a:rPr lang="de-CH" sz="800" b="0" i="0" u="none" strike="noStrike" baseline="0">
              <a:solidFill>
                <a:srgbClr val="000000"/>
              </a:solidFill>
              <a:latin typeface="Arial"/>
              <a:cs typeface="Arial"/>
            </a:rPr>
            <a:t>Portfolioanalyse: Im Rahmen der Portfolioanalyse ging der Gemeinderat von einer Schliessung der KaWeDe auf den Sommer 2013 aus. Auf diesen Entscheid ist er zurückgekommen.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CH" sz="4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800" b="0" i="0" u="none" strike="noStrike" kern="0" cap="none" spc="0" normalizeH="0" baseline="0" noProof="0">
              <a:ln>
                <a:noFill/>
              </a:ln>
              <a:solidFill>
                <a:srgbClr val="000000"/>
              </a:solidFill>
              <a:effectLst/>
              <a:uLnTx/>
              <a:uFillTx/>
              <a:latin typeface="Arial"/>
              <a:ea typeface="+mn-ea"/>
              <a:cs typeface="Arial"/>
            </a:rPr>
            <a:t>Die Kinderolympiade heisst aus rechtlichen Gründen neu Bärner Kids Day und findet  in den Jahren 2012 und 2014 statt. </a:t>
          </a:r>
          <a:endParaRPr lang="de-CH" sz="800" b="0" i="0" u="none" strike="noStrike" baseline="0">
            <a:solidFill>
              <a:srgbClr val="000000"/>
            </a:solidFill>
            <a:effectLst/>
            <a:latin typeface="Arial"/>
            <a:ea typeface="+mn-ea"/>
            <a:cs typeface="Arial"/>
          </a:endParaRPr>
        </a:p>
        <a:p>
          <a:pPr algn="l" rtl="0">
            <a:lnSpc>
              <a:spcPct val="100000"/>
            </a:lnSpc>
            <a:defRPr sz="1000"/>
          </a:pPr>
          <a:endParaRPr lang="de-CH" sz="400" b="0" i="0" baseline="0">
            <a:effectLst/>
            <a:latin typeface="Arial" pitchFamily="34" charset="0"/>
            <a:ea typeface="+mn-ea"/>
            <a:cs typeface="Arial" pitchFamily="34" charset="0"/>
          </a:endParaRPr>
        </a:p>
        <a:p>
          <a:pPr algn="l" rtl="0">
            <a:lnSpc>
              <a:spcPct val="100000"/>
            </a:lnSpc>
            <a:defRPr sz="1000"/>
          </a:pPr>
          <a:r>
            <a:rPr lang="de-CH" sz="800" b="0" i="0" baseline="0">
              <a:effectLst/>
              <a:latin typeface="Arial" pitchFamily="34" charset="0"/>
              <a:ea typeface="+mn-ea"/>
              <a:cs typeface="Arial" pitchFamily="34" charset="0"/>
            </a:rPr>
            <a:t>In den Jahren 2015 und 2016 stehen Revisionsarbeiten in der Höhe von Fr. 15'000.00 bei  verschiedenen Turngeräten an.</a:t>
          </a:r>
          <a:endParaRPr lang="de-CH" sz="400" b="0" i="0" baseline="0">
            <a:effectLst/>
            <a:latin typeface="Arial" pitchFamily="34" charset="0"/>
            <a:ea typeface="+mn-ea"/>
            <a:cs typeface="Arial" pitchFamily="34" charset="0"/>
          </a:endParaRPr>
        </a:p>
        <a:p>
          <a:pPr algn="l" rtl="0">
            <a:lnSpc>
              <a:spcPct val="100000"/>
            </a:lnSpc>
            <a:defRPr sz="1000"/>
          </a:pPr>
          <a:r>
            <a:rPr lang="de-CH" sz="400" b="0" i="0" baseline="0">
              <a:effectLst/>
              <a:latin typeface="+mn-lt"/>
              <a:ea typeface="+mn-ea"/>
              <a:cs typeface="+mn-cs"/>
            </a:rPr>
            <a:t> </a:t>
          </a:r>
          <a:endParaRPr lang="de-CH" sz="400" b="0" i="0" u="none" strike="noStrike" baseline="0">
            <a:solidFill>
              <a:srgbClr val="000000"/>
            </a:solidFill>
            <a:latin typeface="Arial"/>
            <a:cs typeface="Arial"/>
          </a:endParaRPr>
        </a:p>
        <a:p>
          <a:pPr algn="l" rtl="0">
            <a:lnSpc>
              <a:spcPct val="100000"/>
            </a:lnSpc>
            <a:defRPr sz="1000"/>
          </a:pPr>
          <a:r>
            <a:rPr lang="de-CH" sz="800" b="0" i="0" u="none" strike="noStrike" baseline="0">
              <a:solidFill>
                <a:srgbClr val="000000"/>
              </a:solidFill>
              <a:latin typeface="Arial"/>
              <a:cs typeface="Arial"/>
            </a:rPr>
            <a:t>2011 wurde eine Revision der Entgeltverordnung aufgegleist. Sie strebt eine Vereinfachung der Tarifstruktur und die "branchenüblichen" Tarife insbesondere im Bereich Eis und Wasser an. Im IAFP sind Mehrerlöse von Fr. 100'000.00 eingestellt.</a:t>
          </a:r>
        </a:p>
        <a:p>
          <a:pPr algn="l" rtl="0">
            <a:lnSpc>
              <a:spcPts val="500"/>
            </a:lnSpc>
            <a:defRPr sz="1000"/>
          </a:pPr>
          <a:endParaRPr lang="de-CH" sz="800" b="0" i="0" u="none" strike="noStrike" baseline="0">
            <a:solidFill>
              <a:srgbClr val="000000"/>
            </a:solidFill>
            <a:latin typeface="Arial"/>
            <a:cs typeface="Arial"/>
          </a:endParaRPr>
        </a:p>
        <a:p>
          <a:pPr algn="l" rtl="0">
            <a:lnSpc>
              <a:spcPts val="500"/>
            </a:lnSpc>
            <a:defRPr sz="1000"/>
          </a:pPr>
          <a:endParaRPr lang="de-CH" sz="800" b="0" i="0" u="none" strike="noStrike" baseline="0">
            <a:solidFill>
              <a:srgbClr val="000000"/>
            </a:solidFill>
            <a:latin typeface="Arial"/>
            <a:cs typeface="Arial"/>
          </a:endParaRPr>
        </a:p>
        <a:p>
          <a:pPr algn="l" rtl="0">
            <a:lnSpc>
              <a:spcPts val="400"/>
            </a:lnSpc>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5203</xdr:row>
      <xdr:rowOff>0</xdr:rowOff>
    </xdr:from>
    <xdr:to>
      <xdr:col>8</xdr:col>
      <xdr:colOff>0</xdr:colOff>
      <xdr:row>5205</xdr:row>
      <xdr:rowOff>7883</xdr:rowOff>
    </xdr:to>
    <xdr:sp macro="" textlink="">
      <xdr:nvSpPr>
        <xdr:cNvPr id="345" name="Text Box 9"/>
        <xdr:cNvSpPr txBox="1">
          <a:spLocks noChangeArrowheads="1"/>
        </xdr:cNvSpPr>
      </xdr:nvSpPr>
      <xdr:spPr bwMode="auto">
        <a:xfrm>
          <a:off x="0" y="713051025"/>
          <a:ext cx="6667500" cy="207908"/>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2012/2013: Reservationssoftware für Sportanlagen.</a:t>
          </a:r>
        </a:p>
        <a:p>
          <a:pPr algn="l" rtl="0">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5179</xdr:row>
      <xdr:rowOff>0</xdr:rowOff>
    </xdr:from>
    <xdr:to>
      <xdr:col>8</xdr:col>
      <xdr:colOff>0</xdr:colOff>
      <xdr:row>5181</xdr:row>
      <xdr:rowOff>9975</xdr:rowOff>
    </xdr:to>
    <xdr:sp macro="" textlink="">
      <xdr:nvSpPr>
        <xdr:cNvPr id="346" name="Text Box 10"/>
        <xdr:cNvSpPr txBox="1">
          <a:spLocks noChangeArrowheads="1"/>
        </xdr:cNvSpPr>
      </xdr:nvSpPr>
      <xdr:spPr bwMode="auto">
        <a:xfrm>
          <a:off x="0" y="709707750"/>
          <a:ext cx="6667500" cy="2100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Bevölkerung aller Altersstufen, Vereine, Bund, Kanton, Personen mit Arbeitsstandort Bern.</a:t>
          </a:r>
        </a:p>
      </xdr:txBody>
    </xdr:sp>
    <xdr:clientData/>
  </xdr:twoCellAnchor>
  <xdr:twoCellAnchor>
    <xdr:from>
      <xdr:col>0</xdr:col>
      <xdr:colOff>0</xdr:colOff>
      <xdr:row>5154</xdr:row>
      <xdr:rowOff>15240</xdr:rowOff>
    </xdr:from>
    <xdr:to>
      <xdr:col>8</xdr:col>
      <xdr:colOff>0</xdr:colOff>
      <xdr:row>5159</xdr:row>
      <xdr:rowOff>0</xdr:rowOff>
    </xdr:to>
    <xdr:sp macro="" textlink="">
      <xdr:nvSpPr>
        <xdr:cNvPr id="347" name="Text Box 11"/>
        <xdr:cNvSpPr txBox="1">
          <a:spLocks noChangeArrowheads="1"/>
        </xdr:cNvSpPr>
      </xdr:nvSpPr>
      <xdr:spPr bwMode="auto">
        <a:xfrm>
          <a:off x="0" y="706436865"/>
          <a:ext cx="6667500" cy="64198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Legislaturziel 1.2: Lebenswerte Quartiere, grüne Freifläche und sichere Stadträume = Lebensqualität / Massnahmen: Die Stadt Bern baut das Angebot an Rasen-, Wasser und Freizeitanlagen aus und die Bewegungsfreude der Bevölkerung wird gezielt gefördert. / Indikatoren: 4.1 Das Sport- und Bewegungskonzept inklusive Anlagekonzept ist erarbeitet und umgesetzt, respektive in Umsetzung. / 4.2 Es werden je zwei neue Kunst- und Naturrasenfelder gebaut und drei Naturrasenfelder werden in Kunstrasenfelder umgewandelt.</a:t>
          </a:r>
        </a:p>
      </xdr:txBody>
    </xdr:sp>
    <xdr:clientData/>
  </xdr:twoCellAnchor>
  <xdr:twoCellAnchor>
    <xdr:from>
      <xdr:col>0</xdr:col>
      <xdr:colOff>0</xdr:colOff>
      <xdr:row>5245</xdr:row>
      <xdr:rowOff>0</xdr:rowOff>
    </xdr:from>
    <xdr:to>
      <xdr:col>8</xdr:col>
      <xdr:colOff>0</xdr:colOff>
      <xdr:row>5249</xdr:row>
      <xdr:rowOff>0</xdr:rowOff>
    </xdr:to>
    <xdr:sp macro="" textlink="">
      <xdr:nvSpPr>
        <xdr:cNvPr id="348" name="Text Box 6"/>
        <xdr:cNvSpPr txBox="1">
          <a:spLocks noChangeArrowheads="1"/>
        </xdr:cNvSpPr>
      </xdr:nvSpPr>
      <xdr:spPr bwMode="auto">
        <a:xfrm>
          <a:off x="0" y="718937475"/>
          <a:ext cx="6667500" cy="733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Unveränderte Rahmenbedingungen, keine besonderen Entwicklungstendenzen und Unsicherheiten.</a:t>
          </a:r>
        </a:p>
        <a:p>
          <a:pPr algn="l" rtl="0">
            <a:defRPr sz="1000"/>
          </a:pPr>
          <a:endParaRPr lang="de-CH" sz="800" b="0" i="0" u="none" strike="noStrike" baseline="0">
            <a:solidFill>
              <a:sysClr val="windowText" lastClr="000000"/>
            </a:solidFill>
            <a:latin typeface="Arial"/>
            <a:cs typeface="Arial"/>
          </a:endParaRPr>
        </a:p>
        <a:p>
          <a:pPr marL="0" marR="0" lvl="0" indent="0" defTabSz="914400" rtl="0" eaLnBrk="1" fontAlgn="auto" latinLnBrk="0" hangingPunct="1">
            <a:lnSpc>
              <a:spcPct val="100000"/>
            </a:lnSpc>
            <a:spcBef>
              <a:spcPts val="0"/>
            </a:spcBef>
            <a:spcAft>
              <a:spcPts val="0"/>
            </a:spcAft>
            <a:buClrTx/>
            <a:buSzTx/>
            <a:buFontTx/>
            <a:buNone/>
            <a:tabLst/>
            <a:defRPr/>
          </a:pPr>
          <a:r>
            <a:rPr kumimoji="0" lang="de-CH" sz="8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Strategische Aufgabenüberprüfung zur Haushaltstabilisierung 2012-2014 (Portfolioanalyse):</a:t>
          </a:r>
        </a:p>
        <a:p>
          <a:pPr marL="0" marR="0" lvl="0" indent="0" defTabSz="914400" rtl="0" eaLnBrk="1" fontAlgn="auto" latinLnBrk="0" hangingPunct="1">
            <a:lnSpc>
              <a:spcPct val="100000"/>
            </a:lnSpc>
            <a:spcBef>
              <a:spcPts val="0"/>
            </a:spcBef>
            <a:spcAft>
              <a:spcPts val="0"/>
            </a:spcAft>
            <a:buClrTx/>
            <a:buSzTx/>
            <a:buFontTx/>
            <a:buNone/>
            <a:tabLst/>
            <a:defRPr/>
          </a:pPr>
          <a:r>
            <a:rPr kumimoji="0" lang="de-CH" sz="8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Die Massnahme P500110 Leistungen für Behörden Stabsdienste TVS, Einsparung Sachaufwand wird mit Fr. 30 000.00 pro Jahr umgesetzt.</a:t>
          </a:r>
        </a:p>
        <a:p>
          <a:pPr algn="l" rtl="0">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5251</xdr:row>
      <xdr:rowOff>0</xdr:rowOff>
    </xdr:from>
    <xdr:to>
      <xdr:col>8</xdr:col>
      <xdr:colOff>0</xdr:colOff>
      <xdr:row>5256</xdr:row>
      <xdr:rowOff>19050</xdr:rowOff>
    </xdr:to>
    <xdr:sp macro="" textlink="">
      <xdr:nvSpPr>
        <xdr:cNvPr id="349" name="Text Box 7"/>
        <xdr:cNvSpPr txBox="1">
          <a:spLocks noChangeArrowheads="1"/>
        </xdr:cNvSpPr>
      </xdr:nvSpPr>
      <xdr:spPr bwMode="auto">
        <a:xfrm>
          <a:off x="0" y="719928075"/>
          <a:ext cx="6667500" cy="733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5282</xdr:row>
      <xdr:rowOff>0</xdr:rowOff>
    </xdr:from>
    <xdr:to>
      <xdr:col>8</xdr:col>
      <xdr:colOff>0</xdr:colOff>
      <xdr:row>5285</xdr:row>
      <xdr:rowOff>0</xdr:rowOff>
    </xdr:to>
    <xdr:sp macro="" textlink="">
      <xdr:nvSpPr>
        <xdr:cNvPr id="350" name="Text Box 9"/>
        <xdr:cNvSpPr txBox="1">
          <a:spLocks noChangeArrowheads="1"/>
        </xdr:cNvSpPr>
      </xdr:nvSpPr>
      <xdr:spPr bwMode="auto">
        <a:xfrm>
          <a:off x="0" y="724328625"/>
          <a:ext cx="6667500"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0</xdr:colOff>
      <xdr:row>5258</xdr:row>
      <xdr:rowOff>0</xdr:rowOff>
    </xdr:from>
    <xdr:to>
      <xdr:col>8</xdr:col>
      <xdr:colOff>0</xdr:colOff>
      <xdr:row>5260</xdr:row>
      <xdr:rowOff>0</xdr:rowOff>
    </xdr:to>
    <xdr:sp macro="" textlink="">
      <xdr:nvSpPr>
        <xdr:cNvPr id="351" name="Text Box 10"/>
        <xdr:cNvSpPr txBox="1">
          <a:spLocks noChangeArrowheads="1"/>
        </xdr:cNvSpPr>
      </xdr:nvSpPr>
      <xdr:spPr bwMode="auto">
        <a:xfrm>
          <a:off x="0" y="720899625"/>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Verwaltung, politische Behörden, Bund, Kanton, Quartierorganisationen, Medien, Institutionen, Bürgerinnen und Bürger</a:t>
          </a:r>
        </a:p>
        <a:p>
          <a:pPr algn="l" rtl="0">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5237</xdr:row>
      <xdr:rowOff>0</xdr:rowOff>
    </xdr:from>
    <xdr:to>
      <xdr:col>8</xdr:col>
      <xdr:colOff>0</xdr:colOff>
      <xdr:row>5243</xdr:row>
      <xdr:rowOff>0</xdr:rowOff>
    </xdr:to>
    <xdr:sp macro="" textlink="">
      <xdr:nvSpPr>
        <xdr:cNvPr id="352" name="Text Box 11"/>
        <xdr:cNvSpPr txBox="1">
          <a:spLocks noChangeArrowheads="1"/>
        </xdr:cNvSpPr>
      </xdr:nvSpPr>
      <xdr:spPr bwMode="auto">
        <a:xfrm>
          <a:off x="0" y="717680175"/>
          <a:ext cx="6667500" cy="8572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5315</xdr:row>
      <xdr:rowOff>0</xdr:rowOff>
    </xdr:from>
    <xdr:to>
      <xdr:col>8</xdr:col>
      <xdr:colOff>0</xdr:colOff>
      <xdr:row>5319</xdr:row>
      <xdr:rowOff>0</xdr:rowOff>
    </xdr:to>
    <xdr:sp macro="" textlink="">
      <xdr:nvSpPr>
        <xdr:cNvPr id="353" name="Text Box 6"/>
        <xdr:cNvSpPr txBox="1">
          <a:spLocks noChangeArrowheads="1"/>
        </xdr:cNvSpPr>
      </xdr:nvSpPr>
      <xdr:spPr bwMode="auto">
        <a:xfrm>
          <a:off x="0" y="729014925"/>
          <a:ext cx="6667500" cy="5715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Unveränderte Rahmenbedingungen, keine besonderen Entwicklungstendenzen und Unsicherheiten.</a:t>
          </a:r>
        </a:p>
      </xdr:txBody>
    </xdr:sp>
    <xdr:clientData/>
  </xdr:twoCellAnchor>
  <xdr:twoCellAnchor>
    <xdr:from>
      <xdr:col>0</xdr:col>
      <xdr:colOff>0</xdr:colOff>
      <xdr:row>5321</xdr:row>
      <xdr:rowOff>0</xdr:rowOff>
    </xdr:from>
    <xdr:to>
      <xdr:col>8</xdr:col>
      <xdr:colOff>0</xdr:colOff>
      <xdr:row>5326</xdr:row>
      <xdr:rowOff>19050</xdr:rowOff>
    </xdr:to>
    <xdr:sp macro="" textlink="">
      <xdr:nvSpPr>
        <xdr:cNvPr id="354" name="Text Box 7"/>
        <xdr:cNvSpPr txBox="1">
          <a:spLocks noChangeArrowheads="1"/>
        </xdr:cNvSpPr>
      </xdr:nvSpPr>
      <xdr:spPr bwMode="auto">
        <a:xfrm>
          <a:off x="0" y="729843600"/>
          <a:ext cx="6667500" cy="7048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5352</xdr:row>
      <xdr:rowOff>0</xdr:rowOff>
    </xdr:from>
    <xdr:to>
      <xdr:col>8</xdr:col>
      <xdr:colOff>0</xdr:colOff>
      <xdr:row>5355</xdr:row>
      <xdr:rowOff>0</xdr:rowOff>
    </xdr:to>
    <xdr:sp macro="" textlink="">
      <xdr:nvSpPr>
        <xdr:cNvPr id="355" name="Text Box 9"/>
        <xdr:cNvSpPr txBox="1">
          <a:spLocks noChangeArrowheads="1"/>
        </xdr:cNvSpPr>
      </xdr:nvSpPr>
      <xdr:spPr bwMode="auto">
        <a:xfrm>
          <a:off x="0" y="734215575"/>
          <a:ext cx="6667500"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0</xdr:colOff>
      <xdr:row>5328</xdr:row>
      <xdr:rowOff>0</xdr:rowOff>
    </xdr:from>
    <xdr:to>
      <xdr:col>8</xdr:col>
      <xdr:colOff>0</xdr:colOff>
      <xdr:row>5330</xdr:row>
      <xdr:rowOff>0</xdr:rowOff>
    </xdr:to>
    <xdr:sp macro="" textlink="">
      <xdr:nvSpPr>
        <xdr:cNvPr id="356" name="Text Box 10"/>
        <xdr:cNvSpPr txBox="1">
          <a:spLocks noChangeArrowheads="1"/>
        </xdr:cNvSpPr>
      </xdr:nvSpPr>
      <xdr:spPr bwMode="auto">
        <a:xfrm>
          <a:off x="0" y="730786575"/>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Verwaltung, politische Behörden, Institutionen, Personalverbände. </a:t>
          </a:r>
        </a:p>
      </xdr:txBody>
    </xdr:sp>
    <xdr:clientData/>
  </xdr:twoCellAnchor>
  <xdr:twoCellAnchor>
    <xdr:from>
      <xdr:col>0</xdr:col>
      <xdr:colOff>0</xdr:colOff>
      <xdr:row>5307</xdr:row>
      <xdr:rowOff>0</xdr:rowOff>
    </xdr:from>
    <xdr:to>
      <xdr:col>8</xdr:col>
      <xdr:colOff>0</xdr:colOff>
      <xdr:row>5313</xdr:row>
      <xdr:rowOff>0</xdr:rowOff>
    </xdr:to>
    <xdr:sp macro="" textlink="">
      <xdr:nvSpPr>
        <xdr:cNvPr id="357" name="Text Box 11"/>
        <xdr:cNvSpPr txBox="1">
          <a:spLocks noChangeArrowheads="1"/>
        </xdr:cNvSpPr>
      </xdr:nvSpPr>
      <xdr:spPr bwMode="auto">
        <a:xfrm>
          <a:off x="0" y="727757625"/>
          <a:ext cx="6667500" cy="8572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5380</xdr:row>
      <xdr:rowOff>0</xdr:rowOff>
    </xdr:from>
    <xdr:to>
      <xdr:col>8</xdr:col>
      <xdr:colOff>0</xdr:colOff>
      <xdr:row>5388</xdr:row>
      <xdr:rowOff>0</xdr:rowOff>
    </xdr:to>
    <xdr:sp macro="" textlink="">
      <xdr:nvSpPr>
        <xdr:cNvPr id="358" name="Text Box 6"/>
        <xdr:cNvSpPr txBox="1">
          <a:spLocks noChangeArrowheads="1"/>
        </xdr:cNvSpPr>
      </xdr:nvSpPr>
      <xdr:spPr bwMode="auto">
        <a:xfrm>
          <a:off x="0" y="738216075"/>
          <a:ext cx="6667500" cy="11239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lvl="0" indent="0" defTabSz="914400" rtl="0" eaLnBrk="1" fontAlgn="auto" latinLnBrk="0" hangingPunct="1">
            <a:lnSpc>
              <a:spcPct val="100000"/>
            </a:lnSpc>
            <a:spcBef>
              <a:spcPts val="0"/>
            </a:spcBef>
            <a:spcAft>
              <a:spcPts val="0"/>
            </a:spcAft>
            <a:buClrTx/>
            <a:buSzTx/>
            <a:buFontTx/>
            <a:buNone/>
            <a:tabLst/>
            <a:defRPr/>
          </a:pPr>
          <a:r>
            <a:rPr kumimoji="0" lang="de-CH" sz="8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Die mit der Stadtentwicklung verbundenen Mobilitätsbedürfnisse erfordern in den kommenden Jahren einen markanten Ausbau des öV-Angebots (u.a. Tram Region Bern, Busangebot im Gebiet Bern-Köniz, Verlängerung Tramlinie 9, Ausbau Buslinien Nord im Zusammenhang mit der Umsetzung des Richtplans ESP Wankdorf, öV-Erschliessung Inselspital).</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de-CH" sz="8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kumimoji="0" lang="de-CH" sz="8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Strategische Aufgabenüberprüfung zur Haushaltstabilisierung 2012-2014 (Portfolioanalyse):</a:t>
          </a:r>
        </a:p>
        <a:p>
          <a:pPr marL="0" marR="0" lvl="0" indent="0" defTabSz="914400" rtl="0" eaLnBrk="1" fontAlgn="auto" latinLnBrk="0" hangingPunct="1">
            <a:lnSpc>
              <a:spcPct val="100000"/>
            </a:lnSpc>
            <a:spcBef>
              <a:spcPts val="0"/>
            </a:spcBef>
            <a:spcAft>
              <a:spcPts val="0"/>
            </a:spcAft>
            <a:buClrTx/>
            <a:buSzTx/>
            <a:buFontTx/>
            <a:buNone/>
            <a:tabLst/>
            <a:defRPr/>
          </a:pPr>
          <a:r>
            <a:rPr kumimoji="0" lang="de-CH" sz="8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Die Massnahme P500520 Finanzierung Zusatzverbilligung der Libero-Seniorenabonnemente BERNMOBIL über den Fonds für Betagte, Kranke und Behinderte, zeitlich limitiert auf die Jahre 2012 bis 2014 wird mit Fr. 540 000.00 pro Jahr umgesetzt (die moderate Kostensteigerung um Fr. 11 000.00 pro Jahr wird ebenfalls vom Fonds finanziert).</a:t>
          </a:r>
        </a:p>
        <a:p>
          <a:pPr rtl="0">
            <a:lnSpc>
              <a:spcPts val="1000"/>
            </a:lnSpc>
          </a:pPr>
          <a:endParaRPr lang="de-CH" sz="800" b="0" i="0" u="none" strike="noStrike" baseline="0">
            <a:solidFill>
              <a:srgbClr val="000000"/>
            </a:solidFill>
            <a:latin typeface="Arial"/>
            <a:ea typeface="+mn-ea"/>
            <a:cs typeface="Arial"/>
          </a:endParaRPr>
        </a:p>
      </xdr:txBody>
    </xdr:sp>
    <xdr:clientData/>
  </xdr:twoCellAnchor>
  <xdr:twoCellAnchor>
    <xdr:from>
      <xdr:col>0</xdr:col>
      <xdr:colOff>0</xdr:colOff>
      <xdr:row>5390</xdr:row>
      <xdr:rowOff>0</xdr:rowOff>
    </xdr:from>
    <xdr:to>
      <xdr:col>8</xdr:col>
      <xdr:colOff>0</xdr:colOff>
      <xdr:row>5392</xdr:row>
      <xdr:rowOff>127654</xdr:rowOff>
    </xdr:to>
    <xdr:sp macro="" textlink="">
      <xdr:nvSpPr>
        <xdr:cNvPr id="359" name="Text Box 7"/>
        <xdr:cNvSpPr txBox="1">
          <a:spLocks noChangeArrowheads="1"/>
        </xdr:cNvSpPr>
      </xdr:nvSpPr>
      <xdr:spPr bwMode="auto">
        <a:xfrm>
          <a:off x="0" y="739606725"/>
          <a:ext cx="6667500" cy="41340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lvl="0" indent="0" defTabSz="914400" rtl="0" eaLnBrk="1" fontAlgn="auto" latinLnBrk="0" hangingPunct="1">
            <a:lnSpc>
              <a:spcPct val="100000"/>
            </a:lnSpc>
            <a:spcBef>
              <a:spcPts val="0"/>
            </a:spcBef>
            <a:spcAft>
              <a:spcPts val="0"/>
            </a:spcAft>
            <a:buClrTx/>
            <a:buSzTx/>
            <a:buFontTx/>
            <a:buNone/>
            <a:tabLst/>
            <a:defRPr/>
          </a:pPr>
          <a:r>
            <a:rPr kumimoji="0" lang="de-CH" sz="800" b="0" i="0" u="none" strike="noStrike" kern="0" cap="none" spc="0" normalizeH="0" baseline="0" noProof="0">
              <a:ln>
                <a:noFill/>
              </a:ln>
              <a:solidFill>
                <a:sysClr val="windowText" lastClr="000000"/>
              </a:solidFill>
              <a:effectLst/>
              <a:uLnTx/>
              <a:uFillTx/>
              <a:latin typeface="Arial"/>
              <a:ea typeface="+mn-ea"/>
              <a:cs typeface="Arial"/>
            </a:rPr>
            <a:t>Der Ausbau des öV-Angebots führt zu einer markanten Erhöhung der öV-Beiträge an den Kanton. Bereits für das Jahr 2013 ist  im Vergleich zum Voranschlag 2012 mit einem Anstieg um 1.1 Mio. Franken zu rechnen; für die gesamte Planperiode ist eine Steigerung um gut 8 Mio. Franken zu erwarten.</a:t>
          </a:r>
        </a:p>
      </xdr:txBody>
    </xdr:sp>
    <xdr:clientData/>
  </xdr:twoCellAnchor>
  <xdr:twoCellAnchor>
    <xdr:from>
      <xdr:col>0</xdr:col>
      <xdr:colOff>0</xdr:colOff>
      <xdr:row>5419</xdr:row>
      <xdr:rowOff>0</xdr:rowOff>
    </xdr:from>
    <xdr:to>
      <xdr:col>8</xdr:col>
      <xdr:colOff>0</xdr:colOff>
      <xdr:row>5422</xdr:row>
      <xdr:rowOff>0</xdr:rowOff>
    </xdr:to>
    <xdr:sp macro="" textlink="">
      <xdr:nvSpPr>
        <xdr:cNvPr id="360" name="Text Box 9"/>
        <xdr:cNvSpPr txBox="1">
          <a:spLocks noChangeArrowheads="1"/>
        </xdr:cNvSpPr>
      </xdr:nvSpPr>
      <xdr:spPr bwMode="auto">
        <a:xfrm>
          <a:off x="0" y="743750100"/>
          <a:ext cx="6667500"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0</xdr:colOff>
      <xdr:row>5395</xdr:row>
      <xdr:rowOff>0</xdr:rowOff>
    </xdr:from>
    <xdr:to>
      <xdr:col>8</xdr:col>
      <xdr:colOff>0</xdr:colOff>
      <xdr:row>5397</xdr:row>
      <xdr:rowOff>0</xdr:rowOff>
    </xdr:to>
    <xdr:sp macro="" textlink="">
      <xdr:nvSpPr>
        <xdr:cNvPr id="361" name="Text Box 10"/>
        <xdr:cNvSpPr txBox="1">
          <a:spLocks noChangeArrowheads="1"/>
        </xdr:cNvSpPr>
      </xdr:nvSpPr>
      <xdr:spPr bwMode="auto">
        <a:xfrm>
          <a:off x="0" y="740321100"/>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Verwaltung, politische Behörden, Kanton, Regionalkonferenz, Quartierorganisationen,  Medien, Transportunternehmungen, öV-Nutzerinnen und -Nutzer, Bürgerinnen und Bürger.</a:t>
          </a:r>
        </a:p>
      </xdr:txBody>
    </xdr:sp>
    <xdr:clientData/>
  </xdr:twoCellAnchor>
  <xdr:twoCellAnchor>
    <xdr:from>
      <xdr:col>0</xdr:col>
      <xdr:colOff>0</xdr:colOff>
      <xdr:row>5375</xdr:row>
      <xdr:rowOff>0</xdr:rowOff>
    </xdr:from>
    <xdr:to>
      <xdr:col>8</xdr:col>
      <xdr:colOff>0</xdr:colOff>
      <xdr:row>5378</xdr:row>
      <xdr:rowOff>0</xdr:rowOff>
    </xdr:to>
    <xdr:sp macro="" textlink="">
      <xdr:nvSpPr>
        <xdr:cNvPr id="362" name="Text Box 11"/>
        <xdr:cNvSpPr txBox="1">
          <a:spLocks noChangeArrowheads="1"/>
        </xdr:cNvSpPr>
      </xdr:nvSpPr>
      <xdr:spPr bwMode="auto">
        <a:xfrm>
          <a:off x="0" y="737358825"/>
          <a:ext cx="6667500"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1.1 Bern ist das Lebenszentrum für 135 000 Menschen und verfügt über 155 000 Arbeitsplätze</a:t>
          </a:r>
        </a:p>
        <a:p>
          <a:pPr algn="l" rtl="0">
            <a:defRPr sz="1000"/>
          </a:pPr>
          <a:r>
            <a:rPr lang="de-CH" sz="800" b="0" i="0" u="none" strike="noStrike" baseline="0">
              <a:solidFill>
                <a:srgbClr val="000000"/>
              </a:solidFill>
              <a:latin typeface="Arial"/>
              <a:cs typeface="Arial"/>
            </a:rPr>
            <a:t>2.1 Bern bietet Kultur, Sport und Events von hoher Qualität und spricht ein grosses Publikum an</a:t>
          </a:r>
        </a:p>
        <a:p>
          <a:pPr algn="l" rtl="0">
            <a:defRPr sz="1000"/>
          </a:pPr>
          <a:r>
            <a:rPr lang="de-CH" sz="800" b="0" i="0" u="none" strike="noStrike" baseline="0">
              <a:solidFill>
                <a:srgbClr val="000000"/>
              </a:solidFill>
              <a:latin typeface="Arial"/>
              <a:cs typeface="Arial"/>
            </a:rPr>
            <a:t>3.1 Bern ist weiterhin führend als Klima- und Ökostadt</a:t>
          </a:r>
        </a:p>
      </xdr:txBody>
    </xdr:sp>
    <xdr:clientData/>
  </xdr:twoCellAnchor>
  <xdr:twoCellAnchor>
    <xdr:from>
      <xdr:col>0</xdr:col>
      <xdr:colOff>0</xdr:colOff>
      <xdr:row>5449</xdr:row>
      <xdr:rowOff>285749</xdr:rowOff>
    </xdr:from>
    <xdr:to>
      <xdr:col>8</xdr:col>
      <xdr:colOff>0</xdr:colOff>
      <xdr:row>5454</xdr:row>
      <xdr:rowOff>47625</xdr:rowOff>
    </xdr:to>
    <xdr:sp macro="" textlink="">
      <xdr:nvSpPr>
        <xdr:cNvPr id="363" name="Text Box 6"/>
        <xdr:cNvSpPr txBox="1">
          <a:spLocks noChangeArrowheads="1"/>
        </xdr:cNvSpPr>
      </xdr:nvSpPr>
      <xdr:spPr bwMode="auto">
        <a:xfrm>
          <a:off x="0" y="748150649"/>
          <a:ext cx="6667500" cy="158115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800" b="0" i="0" u="none" strike="noStrike" kern="0" cap="none" spc="0" normalizeH="0" baseline="0" noProof="0">
              <a:ln>
                <a:noFill/>
              </a:ln>
              <a:solidFill>
                <a:sysClr val="windowText" lastClr="000000"/>
              </a:solidFill>
              <a:effectLst/>
              <a:uLnTx/>
              <a:uFillTx/>
              <a:latin typeface="Arial"/>
              <a:ea typeface="+mn-ea"/>
              <a:cs typeface="Arial"/>
            </a:rPr>
            <a:t>Der öffentliche Raum steht seit Jahren unter  hohem Nutzungsdruck. Damit geht eine starke Beanspruchung der öffentlichen Infrastrukturen einher, was wiederum einen intensiven baulichen Unterhalt und eine sorgfältige Werterhaltungsplanung erfordert. </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CH" sz="800" b="0" i="0" u="none" strike="noStrike" kern="0" cap="none" spc="0" normalizeH="0" baseline="0" noProof="0">
            <a:ln>
              <a:noFill/>
            </a:ln>
            <a:solidFill>
              <a:sysClr val="windowText" lastClr="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8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Direkte Auswirkungen auf die öffentlichen Infrastrukturen hat auch die rege Bautätigkeit im Privatsektor. So wollen beispielsweise immer mehr Festnetz- und Mobiltelefonieanbieter, Glasfasernetz- und Kabelfernsehenbetreiber etc. ihre Leitungen in den öffentlichen Grund verlegen, welcher bereits stark mit Elektro-, Gas-, Wasser- und Abwasserleitungen und den Strasseninfrastrukturen (Lichtsignalsteuerungen, Entwässerungen etc.) belegt ist. Dies erfordert stadtseitig einen aktualisierten Leitungskataster sowie eine effiziente </a:t>
          </a:r>
          <a:r>
            <a:rPr kumimoji="0" lang="de-CH" sz="800" b="0" i="0" u="none" strike="noStrike" kern="0" cap="none" spc="0" normalizeH="0" baseline="0" noProof="0">
              <a:ln>
                <a:noFill/>
              </a:ln>
              <a:solidFill>
                <a:sysClr val="windowText" lastClr="000000"/>
              </a:solidFill>
              <a:effectLst/>
              <a:uLnTx/>
              <a:uFillTx/>
              <a:latin typeface="Arial"/>
              <a:ea typeface="+mn-ea"/>
              <a:cs typeface="Arial"/>
            </a:rPr>
            <a:t>und zuverlässige Koordination der zahlreichen Planungs-, Projektierungs- und Bauvorhaben im öffentlichen Raum. Dazu stehen Internet-Plattformen zur Verfügung, welche stetig optimiert werden müssen (bauko, bern-baut, bern-verkehr).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CH" sz="800" b="0" i="0" u="none" strike="noStrike" kern="0" cap="none" spc="0" normalizeH="0" baseline="0" noProof="0">
            <a:ln>
              <a:noFill/>
            </a:ln>
            <a:solidFill>
              <a:sysClr val="windowText" lastClr="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800" b="0" i="0" u="none" strike="noStrike" kern="0" cap="none" spc="0" normalizeH="0" baseline="0" noProof="0">
              <a:ln>
                <a:noFill/>
              </a:ln>
              <a:solidFill>
                <a:sysClr val="windowText" lastClr="000000"/>
              </a:solidFill>
              <a:effectLst/>
              <a:uLnTx/>
              <a:uFillTx/>
              <a:latin typeface="Arial"/>
              <a:ea typeface="+mn-ea"/>
              <a:cs typeface="Arial"/>
            </a:rPr>
            <a:t>Für das übergeordnete Verkehrsmanagement mit Kanton und Bund und den damit verbundenen Schnittstellen zur städitischen Infrastruktur müssen mittelfristig mehr personelle Ressourcen zur Verfügung gestellt werden können. Dazu sind interne Optimierungen nötig.</a:t>
          </a:r>
        </a:p>
        <a:p>
          <a:pPr algn="l" rtl="0">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5485</xdr:row>
      <xdr:rowOff>0</xdr:rowOff>
    </xdr:from>
    <xdr:to>
      <xdr:col>8</xdr:col>
      <xdr:colOff>0</xdr:colOff>
      <xdr:row>5487</xdr:row>
      <xdr:rowOff>0</xdr:rowOff>
    </xdr:to>
    <xdr:sp macro="" textlink="">
      <xdr:nvSpPr>
        <xdr:cNvPr id="364" name="Text Box 9"/>
        <xdr:cNvSpPr txBox="1">
          <a:spLocks noChangeArrowheads="1"/>
        </xdr:cNvSpPr>
      </xdr:nvSpPr>
      <xdr:spPr bwMode="auto">
        <a:xfrm>
          <a:off x="0" y="755284875"/>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0</xdr:colOff>
      <xdr:row>5442</xdr:row>
      <xdr:rowOff>0</xdr:rowOff>
    </xdr:from>
    <xdr:to>
      <xdr:col>8</xdr:col>
      <xdr:colOff>0</xdr:colOff>
      <xdr:row>5448</xdr:row>
      <xdr:rowOff>0</xdr:rowOff>
    </xdr:to>
    <xdr:sp macro="" textlink="">
      <xdr:nvSpPr>
        <xdr:cNvPr id="365" name="Text Box 11"/>
        <xdr:cNvSpPr txBox="1">
          <a:spLocks noChangeArrowheads="1"/>
        </xdr:cNvSpPr>
      </xdr:nvSpPr>
      <xdr:spPr bwMode="auto">
        <a:xfrm>
          <a:off x="0" y="746893350"/>
          <a:ext cx="6667500" cy="8572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Legislaturziel 1.1: Bern ist das Lebenszentrum für 135 000 Menschen und verfügt über 155 000 Arbeitsplätze. </a:t>
          </a:r>
        </a:p>
        <a:p>
          <a:pPr algn="l" rtl="0">
            <a:defRPr sz="1000"/>
          </a:pPr>
          <a:r>
            <a:rPr lang="de-CH" sz="800" b="0" i="0" u="none" strike="noStrike" baseline="0">
              <a:solidFill>
                <a:srgbClr val="000000"/>
              </a:solidFill>
              <a:latin typeface="Arial"/>
              <a:cs typeface="Arial"/>
            </a:rPr>
            <a:t>Massnahme 2: Die Stadt Bern verfügt über einen ausgeglichenen Haushalt. </a:t>
          </a:r>
        </a:p>
        <a:p>
          <a:pPr algn="l" rtl="0">
            <a:defRPr sz="1000"/>
          </a:pPr>
          <a:r>
            <a:rPr lang="de-CH" sz="800" b="0" i="0" u="none" strike="noStrike" baseline="0">
              <a:solidFill>
                <a:srgbClr val="000000"/>
              </a:solidFill>
              <a:latin typeface="Arial"/>
              <a:cs typeface="Arial"/>
            </a:rPr>
            <a:t>Indikator 2.5: Die Stadt Bern strebt bei den Infrastrukturanlagen ein Verhältnis von 60 zu 40 Prozent (Werterhalt/Neuwert) an.</a:t>
          </a:r>
        </a:p>
      </xdr:txBody>
    </xdr:sp>
    <xdr:clientData/>
  </xdr:twoCellAnchor>
  <xdr:twoCellAnchor>
    <xdr:from>
      <xdr:col>0</xdr:col>
      <xdr:colOff>0</xdr:colOff>
      <xdr:row>5515</xdr:row>
      <xdr:rowOff>0</xdr:rowOff>
    </xdr:from>
    <xdr:to>
      <xdr:col>8</xdr:col>
      <xdr:colOff>0</xdr:colOff>
      <xdr:row>5518</xdr:row>
      <xdr:rowOff>2438400</xdr:rowOff>
    </xdr:to>
    <xdr:sp macro="" textlink="">
      <xdr:nvSpPr>
        <xdr:cNvPr id="366" name="Text Box 6"/>
        <xdr:cNvSpPr txBox="1">
          <a:spLocks noChangeArrowheads="1"/>
        </xdr:cNvSpPr>
      </xdr:nvSpPr>
      <xdr:spPr bwMode="auto">
        <a:xfrm>
          <a:off x="0" y="759209175"/>
          <a:ext cx="6667500" cy="16287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800" b="0" i="0" u="none" strike="noStrike" kern="0" cap="none" spc="0" normalizeH="0" baseline="0" noProof="0">
              <a:ln>
                <a:noFill/>
              </a:ln>
              <a:solidFill>
                <a:sysClr val="windowText" lastClr="000000"/>
              </a:solidFill>
              <a:effectLst/>
              <a:uLnTx/>
              <a:uFillTx/>
              <a:latin typeface="Arial"/>
              <a:ea typeface="+mn-ea"/>
              <a:cs typeface="Arial"/>
            </a:rPr>
            <a:t>Die dynamische Stadtentwicklung und der Nachholbedarf für den Werterhalt lösen bei den öffentlichen Infrastrukturen eine Vielzahl von grösseren und kleineren Bauvorhaben aus, welche allesamt vom Tiefbauamt realisiert oder begleitet werden müssen.  Dabei nimmt insbesondere die Komplexität der Grossprojekte stetig zu. Parallel zu den bereits laufenden Grossvorhaben (flankierende Massnahmen Länggasse, Tram Region Bern, langfristiger Hochwasserschutz) werden bereits neue Grossprojekte vorbereitet und geplant (Umsetzung Agglomerationsprogramm, neuer Tiefbahnhof, Sanierung Thunplatz und Freudenbergerplatz, Suizidschutz an den Hochbrücken usw.). Auch Bauvorhaben Dritter wie die neue KVA oder der Umbau der Schanzenpost lösen Veränderungen an den Infrastrukturen und damit städtische Investitionen aus (z.B. Anpassung Verkehrsflächen). Die Komplexität der Bauaufgaben, die Anzahl der Projekte, die Vielzahl der Beteiligten und die notwendigen Bewilligungsverfahren stellen hohe Ansprüche an das Projektmanagement und das Personal des Tiefbauamts.</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CH" sz="800" b="0" i="0" u="none" strike="noStrike" kern="0" cap="none" spc="0" normalizeH="0" baseline="0" noProof="0">
            <a:ln>
              <a:noFill/>
            </a:ln>
            <a:solidFill>
              <a:sysClr val="windowText" lastClr="000000"/>
            </a:solidFill>
            <a:effectLst/>
            <a:uLnTx/>
            <a:uFillTx/>
            <a:latin typeface="Arial"/>
            <a:ea typeface="+mn-ea"/>
            <a:cs typeface="Arial"/>
          </a:endParaRPr>
        </a:p>
        <a:p>
          <a:pPr marL="0" marR="0" lvl="0" indent="0" defTabSz="914400" rtl="0" eaLnBrk="1" fontAlgn="auto" latinLnBrk="0" hangingPunct="1">
            <a:lnSpc>
              <a:spcPct val="100000"/>
            </a:lnSpc>
            <a:spcBef>
              <a:spcPts val="0"/>
            </a:spcBef>
            <a:spcAft>
              <a:spcPts val="0"/>
            </a:spcAft>
            <a:buClrTx/>
            <a:buSzTx/>
            <a:buFontTx/>
            <a:buNone/>
            <a:tabLst/>
            <a:defRPr/>
          </a:pPr>
          <a:r>
            <a:rPr kumimoji="0" lang="de-CH" sz="8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Strategische Aufgabenüberprüfung zur Haushaltstabilisierung 2012-2014 (Portfolioanalyse):</a:t>
          </a:r>
        </a:p>
        <a:p>
          <a:pPr marL="0" marR="0" lvl="0" indent="0" defTabSz="914400" rtl="0" eaLnBrk="1" fontAlgn="auto" latinLnBrk="0" hangingPunct="1">
            <a:lnSpc>
              <a:spcPct val="100000"/>
            </a:lnSpc>
            <a:spcBef>
              <a:spcPts val="0"/>
            </a:spcBef>
            <a:spcAft>
              <a:spcPts val="0"/>
            </a:spcAft>
            <a:buClrTx/>
            <a:buSzTx/>
            <a:buFontTx/>
            <a:buNone/>
            <a:tabLst/>
            <a:defRPr/>
          </a:pPr>
          <a:r>
            <a:rPr kumimoji="0" lang="de-CH" sz="8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Die Massnahmen P510210 Verkehrsflächen, P510220 Kunstbauten, P510230 Wasserbau und P510240 Verkehrsmanagement , Verschiebung von Investitionsvorhaben, Senkung der Kapitalfolgekosten werden wie vorgesehen mit gesamthaft Fr. 1 800 000.00 im Jahr 2012, 1 620 000.00 im Jahr 2013 und 1 459 000.00 im Jahr 2014 umgesetzt.</a:t>
          </a:r>
        </a:p>
      </xdr:txBody>
    </xdr:sp>
    <xdr:clientData/>
  </xdr:twoCellAnchor>
  <xdr:twoCellAnchor>
    <xdr:from>
      <xdr:col>0</xdr:col>
      <xdr:colOff>0</xdr:colOff>
      <xdr:row>5551</xdr:row>
      <xdr:rowOff>0</xdr:rowOff>
    </xdr:from>
    <xdr:to>
      <xdr:col>8</xdr:col>
      <xdr:colOff>0</xdr:colOff>
      <xdr:row>5557</xdr:row>
      <xdr:rowOff>47625</xdr:rowOff>
    </xdr:to>
    <xdr:sp macro="" textlink="">
      <xdr:nvSpPr>
        <xdr:cNvPr id="367" name="Text Box 9"/>
        <xdr:cNvSpPr txBox="1">
          <a:spLocks noChangeArrowheads="1"/>
        </xdr:cNvSpPr>
      </xdr:nvSpPr>
      <xdr:spPr bwMode="auto">
        <a:xfrm>
          <a:off x="0" y="765771900"/>
          <a:ext cx="6667500" cy="7143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I510-027 Zubringer Neufeld, Länggasse 2004, Kreditsumme 23'612'000, Realisierungsjahre 2006-2013</a:t>
          </a:r>
        </a:p>
        <a:p>
          <a:pPr algn="l" rtl="0">
            <a:defRPr sz="1000"/>
          </a:pPr>
          <a:r>
            <a:rPr lang="de-CH" sz="800" b="0" i="0" u="none" strike="noStrike" baseline="0">
              <a:solidFill>
                <a:srgbClr val="000000"/>
              </a:solidFill>
              <a:latin typeface="Arial"/>
              <a:cs typeface="Arial"/>
            </a:rPr>
            <a:t>I510-339 Bollwerk, Strassensanierung 6.3 Mio. Franken, Realisierungsjahre 2010 - 2013</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800" b="0" i="0" u="none" strike="noStrike" kern="0" cap="none" spc="0" normalizeH="0" baseline="0" noProof="0">
              <a:ln>
                <a:noFill/>
              </a:ln>
              <a:solidFill>
                <a:sysClr val="windowText" lastClr="000000"/>
              </a:solidFill>
              <a:effectLst/>
              <a:uLnTx/>
              <a:uFillTx/>
              <a:latin typeface="Arial"/>
              <a:ea typeface="+mn-ea"/>
              <a:cs typeface="Arial"/>
            </a:rPr>
            <a:t>I510-060 Langfristiger Hochwasserschutz, brutto (ohne Subventionen) 81.3  Mio. Franken, Realisierungsjahr 2006-2017</a:t>
          </a:r>
        </a:p>
        <a:p>
          <a:pPr algn="l" rtl="0">
            <a:defRPr sz="1000"/>
          </a:pPr>
          <a:r>
            <a:rPr lang="de-CH" sz="800" b="0" i="0" u="none" strike="noStrike" baseline="0">
              <a:solidFill>
                <a:srgbClr val="000000"/>
              </a:solidFill>
              <a:latin typeface="Arial"/>
              <a:cs typeface="Arial"/>
            </a:rPr>
            <a:t>I510-187 Marktgasse, Sanierung Schäden Plästerung, 4.5 Mio. Franken, Realisierungsjahre 2012/2013</a:t>
          </a:r>
        </a:p>
      </xdr:txBody>
    </xdr:sp>
    <xdr:clientData/>
  </xdr:twoCellAnchor>
  <xdr:twoCellAnchor>
    <xdr:from>
      <xdr:col>0</xdr:col>
      <xdr:colOff>0</xdr:colOff>
      <xdr:row>5527</xdr:row>
      <xdr:rowOff>0</xdr:rowOff>
    </xdr:from>
    <xdr:to>
      <xdr:col>8</xdr:col>
      <xdr:colOff>0</xdr:colOff>
      <xdr:row>5529</xdr:row>
      <xdr:rowOff>0</xdr:rowOff>
    </xdr:to>
    <xdr:sp macro="" textlink="">
      <xdr:nvSpPr>
        <xdr:cNvPr id="368" name="Text Box 10"/>
        <xdr:cNvSpPr txBox="1">
          <a:spLocks noChangeArrowheads="1"/>
        </xdr:cNvSpPr>
      </xdr:nvSpPr>
      <xdr:spPr bwMode="auto">
        <a:xfrm>
          <a:off x="0" y="761914275"/>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lvl="0" indent="0" defTabSz="914400" rtl="0" eaLnBrk="1" fontAlgn="auto" latinLnBrk="0" hangingPunct="1">
            <a:lnSpc>
              <a:spcPct val="100000"/>
            </a:lnSpc>
            <a:spcBef>
              <a:spcPts val="0"/>
            </a:spcBef>
            <a:spcAft>
              <a:spcPts val="0"/>
            </a:spcAft>
            <a:buClrTx/>
            <a:buSzTx/>
            <a:buFontTx/>
            <a:buNone/>
            <a:tabLst/>
            <a:defRPr/>
          </a:pPr>
          <a:r>
            <a:rPr kumimoji="0" lang="de-CH" sz="8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Verwaltung, politische Behörden, Bund, Kanton, Quartierorganisationen, Medien, Bauherren im öffentlichen Raum (ewb, Bernmobil, Stadtbauten, Telekommunikationsanbieter etc), Ingenieur- und Planungsfirmen, Bauunternehmungen, Lieferanten, Bürgerinnen und Bürger.</a:t>
          </a:r>
        </a:p>
      </xdr:txBody>
    </xdr:sp>
    <xdr:clientData/>
  </xdr:twoCellAnchor>
  <xdr:twoCellAnchor>
    <xdr:from>
      <xdr:col>0</xdr:col>
      <xdr:colOff>0</xdr:colOff>
      <xdr:row>5507</xdr:row>
      <xdr:rowOff>0</xdr:rowOff>
    </xdr:from>
    <xdr:to>
      <xdr:col>8</xdr:col>
      <xdr:colOff>0</xdr:colOff>
      <xdr:row>5513</xdr:row>
      <xdr:rowOff>0</xdr:rowOff>
    </xdr:to>
    <xdr:sp macro="" textlink="">
      <xdr:nvSpPr>
        <xdr:cNvPr id="369" name="Text Box 11"/>
        <xdr:cNvSpPr txBox="1">
          <a:spLocks noChangeArrowheads="1"/>
        </xdr:cNvSpPr>
      </xdr:nvSpPr>
      <xdr:spPr bwMode="auto">
        <a:xfrm>
          <a:off x="0" y="758285250"/>
          <a:ext cx="6667500" cy="5619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Legislaturziel 1.1: Bern ist das Lebenszentrum für 135 000 Menschen und verfügt über 155 000 Arbeitsplätze. </a:t>
          </a:r>
        </a:p>
        <a:p>
          <a:pPr algn="l" rtl="0">
            <a:defRPr sz="1000"/>
          </a:pPr>
          <a:r>
            <a:rPr lang="de-CH" sz="800" b="0" i="0" u="none" strike="noStrike" baseline="0">
              <a:solidFill>
                <a:srgbClr val="000000"/>
              </a:solidFill>
              <a:latin typeface="Arial"/>
              <a:cs typeface="Arial"/>
            </a:rPr>
            <a:t>Massnahme 2: Die Stadt Bern verfügt über einen ausgeglichenen Haushalt. </a:t>
          </a:r>
        </a:p>
        <a:p>
          <a:pPr algn="l" rtl="0">
            <a:defRPr sz="1000"/>
          </a:pPr>
          <a:r>
            <a:rPr lang="de-CH" sz="800" b="0" i="0" u="none" strike="noStrike" baseline="0">
              <a:solidFill>
                <a:srgbClr val="000000"/>
              </a:solidFill>
              <a:latin typeface="Arial"/>
              <a:cs typeface="Arial"/>
            </a:rPr>
            <a:t>Indikator 2.5: Die Stadt Bern strebt bei den Infrastrukturanlagen ein Verhältnis von 60 zu 40 Prozent (Werterhalt/Neuwert) an.</a:t>
          </a:r>
        </a:p>
      </xdr:txBody>
    </xdr:sp>
    <xdr:clientData/>
  </xdr:twoCellAnchor>
  <xdr:twoCellAnchor>
    <xdr:from>
      <xdr:col>0</xdr:col>
      <xdr:colOff>0</xdr:colOff>
      <xdr:row>5587</xdr:row>
      <xdr:rowOff>0</xdr:rowOff>
    </xdr:from>
    <xdr:to>
      <xdr:col>8</xdr:col>
      <xdr:colOff>0</xdr:colOff>
      <xdr:row>5590</xdr:row>
      <xdr:rowOff>123825</xdr:rowOff>
    </xdr:to>
    <xdr:sp macro="" textlink="">
      <xdr:nvSpPr>
        <xdr:cNvPr id="370" name="Text Box 6"/>
        <xdr:cNvSpPr txBox="1">
          <a:spLocks noChangeArrowheads="1"/>
        </xdr:cNvSpPr>
      </xdr:nvSpPr>
      <xdr:spPr bwMode="auto">
        <a:xfrm>
          <a:off x="0" y="770591550"/>
          <a:ext cx="6667500" cy="22288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800" b="0" i="0" u="none" strike="noStrike" kern="0" cap="none" spc="0" normalizeH="0" baseline="0" noProof="0">
              <a:ln>
                <a:noFill/>
              </a:ln>
              <a:solidFill>
                <a:sysClr val="windowText" lastClr="000000"/>
              </a:solidFill>
              <a:effectLst/>
              <a:uLnTx/>
              <a:uFillTx/>
              <a:latin typeface="Arial"/>
              <a:ea typeface="+mn-ea"/>
              <a:cs typeface="Arial"/>
            </a:rPr>
            <a:t>Der stetig zunehmende Nutzungsdruck und  gesellschaftliche Entwicklungen haben direkte Auswirkungen auf den Betrieb und den Unterhalt der städtischen </a:t>
          </a:r>
          <a:r>
            <a:rPr kumimoji="0" lang="de-CH" sz="8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Infrastrukturen. So führen die zahlreichen Veranstaltungen und Events, die weit verbreitete Take-Away-Kultur, das Nachtleben und die geänderten Freizeitaktivitäten regelmässig zu Verunreinigungen des öffentlichen Raums. Dazu kommen Schmierereien und Vandalenakte. Gegenmassnahmen wie die Aktion CasaBlanca oder die Kampagne "Subers Bärn - zäme geits!" sind daher wichtig und müssen fortgeführt werden. Ein besonderes Augenmerk ist dabei auf den neuen Bahnhofplatz als Visitenkarte der Stadt Bern sowie die Haltestellen des öffentlichen Verkerhs zu richten: sie sollen weiterhin prioritär gereinigt und unterhalten werden. </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CH" sz="800" b="0" i="0" u="none" strike="noStrike" kern="0" cap="none" spc="0" normalizeH="0" baseline="0" noProof="0">
            <a:ln>
              <a:noFill/>
            </a:ln>
            <a:solidFill>
              <a:sysClr val="windowText" lastClr="000000"/>
            </a:solidFill>
            <a:effectLst/>
            <a:uLnTx/>
            <a:uFillTx/>
            <a:latin typeface="Arial"/>
            <a:ea typeface="+mn-ea"/>
            <a:cs typeface="Arial"/>
          </a:endParaRPr>
        </a:p>
        <a:p>
          <a:pPr marL="0" marR="0" lvl="0" indent="0" defTabSz="914400" rtl="0" eaLnBrk="1" fontAlgn="auto" latinLnBrk="0" hangingPunct="1">
            <a:lnSpc>
              <a:spcPct val="100000"/>
            </a:lnSpc>
            <a:spcBef>
              <a:spcPts val="0"/>
            </a:spcBef>
            <a:spcAft>
              <a:spcPts val="0"/>
            </a:spcAft>
            <a:buClrTx/>
            <a:buSzTx/>
            <a:buFontTx/>
            <a:buNone/>
            <a:tabLst/>
            <a:defRPr/>
          </a:pPr>
          <a:r>
            <a:rPr kumimoji="0" lang="de-CH" sz="8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Strategische Aufgabenüberprüfung zur Haushaltstabilisierung 2012-2014 (Portfolioanalyse):</a:t>
          </a:r>
        </a:p>
        <a:p>
          <a:pPr marL="0" marR="0" lvl="0" indent="0" defTabSz="914400" rtl="0" eaLnBrk="1" fontAlgn="auto" latinLnBrk="0" hangingPunct="1">
            <a:lnSpc>
              <a:spcPct val="100000"/>
            </a:lnSpc>
            <a:spcBef>
              <a:spcPts val="0"/>
            </a:spcBef>
            <a:spcAft>
              <a:spcPts val="0"/>
            </a:spcAft>
            <a:buClrTx/>
            <a:buSzTx/>
            <a:buFontTx/>
            <a:buNone/>
            <a:tabLst/>
            <a:defRPr/>
          </a:pPr>
          <a:r>
            <a:rPr kumimoji="0" lang="de-CH" sz="8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Die Massnahme P510310 Dienstleistungen Betrieb und Unterhalt Strassen, Ufer- und Wanderwege, Teuerungsbedingte Anpassung der Parkuhrengebühren; Weiterverrechnung der Mehrwertsteuer an Sonderrechnung; Kostenreduktion Unterhalt wird wie vorgesehen mit Fr. 691 591.00 pro Jahr umgesetzt. </a:t>
          </a:r>
        </a:p>
        <a:p>
          <a:pPr marL="0" marR="0" lvl="0" indent="0" defTabSz="914400" rtl="0" eaLnBrk="1" fontAlgn="auto" latinLnBrk="0" hangingPunct="1">
            <a:lnSpc>
              <a:spcPct val="100000"/>
            </a:lnSpc>
            <a:spcBef>
              <a:spcPts val="0"/>
            </a:spcBef>
            <a:spcAft>
              <a:spcPts val="0"/>
            </a:spcAft>
            <a:buClrTx/>
            <a:buSzTx/>
            <a:buFontTx/>
            <a:buNone/>
            <a:tabLst/>
            <a:defRPr/>
          </a:pPr>
          <a:r>
            <a:rPr kumimoji="0" lang="de-CH" sz="8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Die Massnahme P510330 Dienstleistungen Betrieb und Unterhalb TAB, Weniger Gebührenerlasse bei Veranstaltungen wird vom Veranstaltungsmanagement der Direktion für Sicherheit, Umwelt und Energie (P230280) mit Fr. 100 000.00 pro Jahr umgesetzt, da die Kostenerlasse mit dem Produktegruppenbudget 2012 zentralisiert wurden.</a:t>
          </a:r>
        </a:p>
        <a:p>
          <a:pPr algn="l" rtl="0">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5593</xdr:row>
      <xdr:rowOff>0</xdr:rowOff>
    </xdr:from>
    <xdr:to>
      <xdr:col>8</xdr:col>
      <xdr:colOff>0</xdr:colOff>
      <xdr:row>5597</xdr:row>
      <xdr:rowOff>314325</xdr:rowOff>
    </xdr:to>
    <xdr:sp macro="" textlink="">
      <xdr:nvSpPr>
        <xdr:cNvPr id="371" name="Text Box 7"/>
        <xdr:cNvSpPr txBox="1">
          <a:spLocks noChangeArrowheads="1"/>
        </xdr:cNvSpPr>
      </xdr:nvSpPr>
      <xdr:spPr bwMode="auto">
        <a:xfrm>
          <a:off x="0" y="773096625"/>
          <a:ext cx="6667500" cy="8286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0</xdr:colOff>
      <xdr:row>5624</xdr:row>
      <xdr:rowOff>0</xdr:rowOff>
    </xdr:from>
    <xdr:to>
      <xdr:col>8</xdr:col>
      <xdr:colOff>0</xdr:colOff>
      <xdr:row>5627</xdr:row>
      <xdr:rowOff>0</xdr:rowOff>
    </xdr:to>
    <xdr:sp macro="" textlink="">
      <xdr:nvSpPr>
        <xdr:cNvPr id="372" name="Text Box 9"/>
        <xdr:cNvSpPr txBox="1">
          <a:spLocks noChangeArrowheads="1"/>
        </xdr:cNvSpPr>
      </xdr:nvSpPr>
      <xdr:spPr bwMode="auto">
        <a:xfrm>
          <a:off x="0" y="777678150"/>
          <a:ext cx="6667500"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0</xdr:colOff>
      <xdr:row>5600</xdr:row>
      <xdr:rowOff>0</xdr:rowOff>
    </xdr:from>
    <xdr:to>
      <xdr:col>8</xdr:col>
      <xdr:colOff>0</xdr:colOff>
      <xdr:row>5602</xdr:row>
      <xdr:rowOff>0</xdr:rowOff>
    </xdr:to>
    <xdr:sp macro="" textlink="">
      <xdr:nvSpPr>
        <xdr:cNvPr id="373" name="Text Box 10"/>
        <xdr:cNvSpPr txBox="1">
          <a:spLocks noChangeArrowheads="1"/>
        </xdr:cNvSpPr>
      </xdr:nvSpPr>
      <xdr:spPr bwMode="auto">
        <a:xfrm>
          <a:off x="0" y="774249150"/>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800" b="0" i="0" u="none" strike="noStrike" kern="0" cap="none" spc="0" normalizeH="0" baseline="0" noProof="0">
              <a:ln>
                <a:noFill/>
              </a:ln>
              <a:solidFill>
                <a:sysClr val="windowText" lastClr="000000"/>
              </a:solidFill>
              <a:effectLst/>
              <a:uLnTx/>
              <a:uFillTx/>
              <a:latin typeface="Arial"/>
              <a:ea typeface="+mn-ea"/>
              <a:cs typeface="Arial"/>
            </a:rPr>
            <a:t>Bürgerinnen und Bürger, Verwaltung, Bund, Kanton, Quartierorganisationen, Medien, Ingenieur- und Planungsfirmen, Bauunternehmungen, Lieferanten.</a:t>
          </a:r>
        </a:p>
      </xdr:txBody>
    </xdr:sp>
    <xdr:clientData/>
  </xdr:twoCellAnchor>
  <xdr:twoCellAnchor>
    <xdr:from>
      <xdr:col>0</xdr:col>
      <xdr:colOff>0</xdr:colOff>
      <xdr:row>5579</xdr:row>
      <xdr:rowOff>0</xdr:rowOff>
    </xdr:from>
    <xdr:to>
      <xdr:col>8</xdr:col>
      <xdr:colOff>0</xdr:colOff>
      <xdr:row>5583</xdr:row>
      <xdr:rowOff>47625</xdr:rowOff>
    </xdr:to>
    <xdr:sp macro="" textlink="">
      <xdr:nvSpPr>
        <xdr:cNvPr id="374" name="Text Box 11"/>
        <xdr:cNvSpPr txBox="1">
          <a:spLocks noChangeArrowheads="1"/>
        </xdr:cNvSpPr>
      </xdr:nvSpPr>
      <xdr:spPr bwMode="auto">
        <a:xfrm>
          <a:off x="0" y="769439025"/>
          <a:ext cx="6667500" cy="7143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Legislaturziel 1.2: Lebenswerte Quartiere, grüne Freiflächen und sichere Stadträume prägen Berns Lebensqualität</a:t>
          </a:r>
        </a:p>
        <a:p>
          <a:pPr algn="l" rtl="0">
            <a:defRPr sz="1000"/>
          </a:pPr>
          <a:r>
            <a:rPr lang="de-CH" sz="800" b="0" i="0" u="none" strike="noStrike" baseline="0">
              <a:solidFill>
                <a:srgbClr val="000000"/>
              </a:solidFill>
              <a:latin typeface="Arial"/>
              <a:cs typeface="Arial"/>
            </a:rPr>
            <a:t>Massnahme 2: Die Stadt Bern sorgt dafür, dass sie sauber wahrgenommen wird.</a:t>
          </a:r>
        </a:p>
        <a:p>
          <a:pPr algn="l" rtl="0">
            <a:defRPr sz="1000"/>
          </a:pPr>
          <a:r>
            <a:rPr lang="de-CH" sz="800" b="0" i="0" u="none" strike="noStrike" baseline="0">
              <a:solidFill>
                <a:srgbClr val="000000"/>
              </a:solidFill>
              <a:latin typeface="Arial"/>
              <a:cs typeface="Arial"/>
            </a:rPr>
            <a:t>Indikator 3.1: Die Kampagne und die Projektorganisation "Subers Bärn - zäme geits!" werden mit jährlich angepassten Schwerpunktsetzungen weitergeführt.</a:t>
          </a:r>
        </a:p>
        <a:p>
          <a:pPr algn="l" rtl="0">
            <a:defRPr sz="1000"/>
          </a:pPr>
          <a:r>
            <a:rPr lang="de-CH" sz="800" b="0" i="0" u="none" strike="noStrike" baseline="0">
              <a:solidFill>
                <a:srgbClr val="000000"/>
              </a:solidFill>
              <a:latin typeface="Arial"/>
              <a:cs typeface="Arial"/>
            </a:rPr>
            <a:t>Indikator 3.2: Der Sauberkeitsindex der Stadt Bern ist um 0,5 Punkte verbessert (Zielwert:3,3 Punkte)</a:t>
          </a:r>
        </a:p>
        <a:p>
          <a:pPr algn="l" rtl="0">
            <a:defRPr sz="1000"/>
          </a:pPr>
          <a:endParaRPr lang="de-CH" sz="800" b="0" i="0" u="none" strike="noStrike" baseline="0">
            <a:solidFill>
              <a:srgbClr val="000000"/>
            </a:solidFill>
            <a:latin typeface="Arial"/>
            <a:cs typeface="Arial"/>
          </a:endParaRPr>
        </a:p>
      </xdr:txBody>
    </xdr:sp>
    <xdr:clientData/>
  </xdr:twoCellAnchor>
  <xdr:twoCellAnchor>
    <xdr:from>
      <xdr:col>0</xdr:col>
      <xdr:colOff>9526</xdr:colOff>
      <xdr:row>5593</xdr:row>
      <xdr:rowOff>11430</xdr:rowOff>
    </xdr:from>
    <xdr:to>
      <xdr:col>8</xdr:col>
      <xdr:colOff>0</xdr:colOff>
      <xdr:row>5597</xdr:row>
      <xdr:rowOff>133350</xdr:rowOff>
    </xdr:to>
    <xdr:sp macro="" textlink="">
      <xdr:nvSpPr>
        <xdr:cNvPr id="375" name="Textfeld 374"/>
        <xdr:cNvSpPr txBox="1"/>
      </xdr:nvSpPr>
      <xdr:spPr>
        <a:xfrm>
          <a:off x="9526" y="773108055"/>
          <a:ext cx="6648450" cy="807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de-CH" sz="8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Als Folge der Zentralisierung der Reinigungsstützpunkte fallen ab dem Jahr 2013 zusätzliche Mietkosten an (inkl. Mieterausbauten); die entsprechenden Bedürfnisse sind bei den Stadtbauten bestellt. </a:t>
          </a:r>
        </a:p>
        <a:p>
          <a:pPr marL="0" marR="0" lvl="0" indent="0" defTabSz="914400" eaLnBrk="1" fontAlgn="auto" latinLnBrk="0" hangingPunct="1">
            <a:lnSpc>
              <a:spcPct val="100000"/>
            </a:lnSpc>
            <a:spcBef>
              <a:spcPts val="0"/>
            </a:spcBef>
            <a:spcAft>
              <a:spcPts val="0"/>
            </a:spcAft>
            <a:buClrTx/>
            <a:buSzTx/>
            <a:buFontTx/>
            <a:buNone/>
            <a:tabLst/>
            <a:defRPr/>
          </a:pPr>
          <a:r>
            <a:rPr kumimoji="0" lang="de-CH" sz="8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Im Rahmen des städtischen WC-Konzeptes werden zudem in den nächsten Jahren zwei neue WC-Anlagen realisert (Mühleplatz und Bahnhof West/Schanzenpost). Allfällige Änderungen in der Zuständigkeit für die WC-Anlagen werden im Zusammenhang mit der Integration von Stadtbauten Bern in die Stadtverwaltung zu prüfen sein; sie können heute noch nicht abgeschätzt werden. </a:t>
          </a:r>
        </a:p>
        <a:p>
          <a:pPr marL="0" marR="0" lvl="0" indent="0" defTabSz="914400" eaLnBrk="1" fontAlgn="auto" latinLnBrk="0" hangingPunct="1">
            <a:lnSpc>
              <a:spcPct val="100000"/>
            </a:lnSpc>
            <a:spcBef>
              <a:spcPts val="0"/>
            </a:spcBef>
            <a:spcAft>
              <a:spcPts val="0"/>
            </a:spcAft>
            <a:buClrTx/>
            <a:buSzTx/>
            <a:buFontTx/>
            <a:buNone/>
            <a:tabLst/>
            <a:defRPr/>
          </a:pPr>
          <a:r>
            <a:rPr kumimoji="0" lang="de-CH" sz="8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Der Mehraufwand für  den Betrieb und den Unterhalt des Neubaugebietes Wankdorf-City ist ab 2015 enthalten. </a:t>
          </a:r>
        </a:p>
        <a:p>
          <a:pPr>
            <a:lnSpc>
              <a:spcPts val="700"/>
            </a:lnSpc>
          </a:pPr>
          <a:endParaRPr lang="de-CH" sz="800">
            <a:solidFill>
              <a:srgbClr val="FF0000"/>
            </a:solidFill>
            <a:latin typeface="Arial" pitchFamily="34" charset="0"/>
            <a:cs typeface="Arial" pitchFamily="34" charset="0"/>
          </a:endParaRPr>
        </a:p>
      </xdr:txBody>
    </xdr:sp>
    <xdr:clientData/>
  </xdr:twoCellAnchor>
  <xdr:twoCellAnchor>
    <xdr:from>
      <xdr:col>0</xdr:col>
      <xdr:colOff>0</xdr:colOff>
      <xdr:row>5656</xdr:row>
      <xdr:rowOff>0</xdr:rowOff>
    </xdr:from>
    <xdr:to>
      <xdr:col>8</xdr:col>
      <xdr:colOff>0</xdr:colOff>
      <xdr:row>5660</xdr:row>
      <xdr:rowOff>0</xdr:rowOff>
    </xdr:to>
    <xdr:sp macro="" textlink="">
      <xdr:nvSpPr>
        <xdr:cNvPr id="376" name="Text Box 6"/>
        <xdr:cNvSpPr txBox="1">
          <a:spLocks noChangeArrowheads="1"/>
        </xdr:cNvSpPr>
      </xdr:nvSpPr>
      <xdr:spPr bwMode="auto">
        <a:xfrm>
          <a:off x="0" y="782059650"/>
          <a:ext cx="6667500" cy="10382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8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Der stetig wachsende Nutzungsdruck erhöht zugleich die Herausforderungen für die Bewirtschaftung des öffentlichen Bodens. </a:t>
          </a:r>
          <a:r>
            <a:rPr kumimoji="0" lang="de-CH" sz="800" b="0" i="0" u="none" strike="noStrike" kern="0" cap="none" spc="0" normalizeH="0" baseline="0" noProof="0">
              <a:ln>
                <a:noFill/>
              </a:ln>
              <a:solidFill>
                <a:sysClr val="windowText" lastClr="000000"/>
              </a:solidFill>
              <a:effectLst/>
              <a:uLnTx/>
              <a:uFillTx/>
              <a:latin typeface="Arial"/>
              <a:ea typeface="+mn-ea"/>
              <a:cs typeface="Arial"/>
            </a:rPr>
            <a:t>Die zunehmende Anzahl Gesuche mit unterschiedlichsten Partnern und Beteiligten steigert die Komplexität und den Aufwand für  die Bewirtschaftung.</a:t>
          </a:r>
        </a:p>
        <a:p>
          <a:pPr marL="0" marR="0" indent="0" algn="l" defTabSz="914400" rtl="0" eaLnBrk="1" fontAlgn="auto" latinLnBrk="0" hangingPunct="1">
            <a:lnSpc>
              <a:spcPct val="100000"/>
            </a:lnSpc>
            <a:spcBef>
              <a:spcPts val="0"/>
            </a:spcBef>
            <a:spcAft>
              <a:spcPts val="0"/>
            </a:spcAft>
            <a:buClrTx/>
            <a:buSzTx/>
            <a:buFontTx/>
            <a:buNone/>
            <a:tabLst/>
            <a:defRPr sz="1000"/>
          </a:pPr>
          <a:endParaRPr lang="de-CH" sz="800" b="0" i="0" u="none" strike="noStrike" baseline="0">
            <a:solidFill>
              <a:srgbClr val="000000"/>
            </a:solidFill>
            <a:latin typeface="Arial"/>
            <a:ea typeface="+mn-ea"/>
            <a:cs typeface="Arial"/>
          </a:endParaRPr>
        </a:p>
        <a:p>
          <a:pPr marL="0" marR="0" lvl="0" indent="0" defTabSz="914400" rtl="0" eaLnBrk="1" fontAlgn="auto" latinLnBrk="0" hangingPunct="1">
            <a:lnSpc>
              <a:spcPct val="100000"/>
            </a:lnSpc>
            <a:spcBef>
              <a:spcPts val="0"/>
            </a:spcBef>
            <a:spcAft>
              <a:spcPts val="0"/>
            </a:spcAft>
            <a:buClrTx/>
            <a:buSzTx/>
            <a:buFontTx/>
            <a:buNone/>
            <a:tabLst/>
            <a:defRPr/>
          </a:pPr>
          <a:r>
            <a:rPr kumimoji="0" lang="de-CH" sz="8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Strategische Aufgabenüberprüfung zur Haushaltstabilisierung 2012-2014 (Portfolioanalyse):</a:t>
          </a:r>
        </a:p>
        <a:p>
          <a:pPr marL="0" marR="0" lvl="0" indent="0" defTabSz="914400" rtl="0" eaLnBrk="1" fontAlgn="auto" latinLnBrk="0" hangingPunct="1">
            <a:lnSpc>
              <a:spcPct val="100000"/>
            </a:lnSpc>
            <a:spcBef>
              <a:spcPts val="0"/>
            </a:spcBef>
            <a:spcAft>
              <a:spcPts val="0"/>
            </a:spcAft>
            <a:buClrTx/>
            <a:buSzTx/>
            <a:buFontTx/>
            <a:buNone/>
            <a:tabLst/>
            <a:defRPr/>
          </a:pPr>
          <a:r>
            <a:rPr kumimoji="0" lang="de-CH" sz="8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Die Massnahme P510410 Bewirtschaftung des öffentlichen Bodens, Mehr Konzessionseinnahmen von Telekommunikationsanbieter/innen wird wie vorgesehen mit Fr. 300 000.00 Zusatzertrag pro Jahr umgesetzt. </a:t>
          </a:r>
        </a:p>
        <a:p>
          <a:pPr algn="l" rtl="0">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5662</xdr:row>
      <xdr:rowOff>0</xdr:rowOff>
    </xdr:from>
    <xdr:to>
      <xdr:col>8</xdr:col>
      <xdr:colOff>0</xdr:colOff>
      <xdr:row>5667</xdr:row>
      <xdr:rowOff>19050</xdr:rowOff>
    </xdr:to>
    <xdr:sp macro="" textlink="">
      <xdr:nvSpPr>
        <xdr:cNvPr id="377" name="Text Box 7"/>
        <xdr:cNvSpPr txBox="1">
          <a:spLocks noChangeArrowheads="1"/>
        </xdr:cNvSpPr>
      </xdr:nvSpPr>
      <xdr:spPr bwMode="auto">
        <a:xfrm>
          <a:off x="0" y="783355050"/>
          <a:ext cx="6667500" cy="6858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800" b="0" i="0" u="none" strike="noStrike" kern="0" cap="none" spc="0" normalizeH="0" baseline="0" noProof="0">
              <a:ln>
                <a:noFill/>
              </a:ln>
              <a:solidFill>
                <a:sysClr val="windowText" lastClr="000000"/>
              </a:solidFill>
              <a:effectLst/>
              <a:uLnTx/>
              <a:uFillTx/>
              <a:latin typeface="Arial"/>
              <a:ea typeface="+mn-ea"/>
              <a:cs typeface="Arial"/>
            </a:rPr>
            <a:t>Ab 2013 können  zusätzliche Konzessionseinnahmen für die Leuchtplakate bei den Wartehallen generiert werden (die dortigen Plakatstellen werden gestützt auf einen Vertrag aus dem Jahr 2000 bis Ende 2012 direkt von der APG bewirtschaftet, welche seinerzeit die Wartehallen finanzierte). Eine entsprechende Ausschreibung für die Vergabe der Konzession erfolgt im Jahr 2012. </a:t>
          </a:r>
        </a:p>
        <a:p>
          <a:pPr algn="l" rtl="0">
            <a:defRPr sz="1000"/>
          </a:pPr>
          <a:endParaRPr lang="de-CH" sz="800" b="0" i="0" u="none" strike="noStrike" baseline="0">
            <a:solidFill>
              <a:srgbClr val="000000"/>
            </a:solidFill>
            <a:latin typeface="Arial"/>
            <a:cs typeface="Arial"/>
          </a:endParaRPr>
        </a:p>
        <a:p>
          <a:pPr algn="l" rtl="0">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5693</xdr:row>
      <xdr:rowOff>0</xdr:rowOff>
    </xdr:from>
    <xdr:to>
      <xdr:col>8</xdr:col>
      <xdr:colOff>0</xdr:colOff>
      <xdr:row>5696</xdr:row>
      <xdr:rowOff>0</xdr:rowOff>
    </xdr:to>
    <xdr:sp macro="" textlink="">
      <xdr:nvSpPr>
        <xdr:cNvPr id="378" name="Text Box 9"/>
        <xdr:cNvSpPr txBox="1">
          <a:spLocks noChangeArrowheads="1"/>
        </xdr:cNvSpPr>
      </xdr:nvSpPr>
      <xdr:spPr bwMode="auto">
        <a:xfrm>
          <a:off x="0" y="787707975"/>
          <a:ext cx="6667500"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0</xdr:colOff>
      <xdr:row>5669</xdr:row>
      <xdr:rowOff>0</xdr:rowOff>
    </xdr:from>
    <xdr:to>
      <xdr:col>8</xdr:col>
      <xdr:colOff>0</xdr:colOff>
      <xdr:row>5671</xdr:row>
      <xdr:rowOff>0</xdr:rowOff>
    </xdr:to>
    <xdr:sp macro="" textlink="">
      <xdr:nvSpPr>
        <xdr:cNvPr id="379" name="Text Box 10"/>
        <xdr:cNvSpPr txBox="1">
          <a:spLocks noChangeArrowheads="1"/>
        </xdr:cNvSpPr>
      </xdr:nvSpPr>
      <xdr:spPr bwMode="auto">
        <a:xfrm>
          <a:off x="0" y="784278975"/>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lvl="0" indent="0" defTabSz="914400" rtl="0" eaLnBrk="1" fontAlgn="auto" latinLnBrk="0" hangingPunct="1">
            <a:lnSpc>
              <a:spcPct val="100000"/>
            </a:lnSpc>
            <a:spcBef>
              <a:spcPts val="0"/>
            </a:spcBef>
            <a:spcAft>
              <a:spcPts val="0"/>
            </a:spcAft>
            <a:buClrTx/>
            <a:buSzTx/>
            <a:buFontTx/>
            <a:buNone/>
            <a:tabLst/>
            <a:defRPr/>
          </a:pPr>
          <a:r>
            <a:rPr kumimoji="0" lang="de-CH" sz="8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Verwaltung, politische Behörden, Bund, Kanton, Quartierorganisationen, Medien, Bauherren im öffentlichen Raum (ewb, Bernmobil, Stadtbauten, Telekommunikationsanbieter etc), Ingenieur- und Planungsfirmen, Bauunternehmungen, Lieferanten, Bürgerinnen und Bürger.</a:t>
          </a:r>
        </a:p>
      </xdr:txBody>
    </xdr:sp>
    <xdr:clientData/>
  </xdr:twoCellAnchor>
  <xdr:twoCellAnchor>
    <xdr:from>
      <xdr:col>0</xdr:col>
      <xdr:colOff>0</xdr:colOff>
      <xdr:row>5648</xdr:row>
      <xdr:rowOff>0</xdr:rowOff>
    </xdr:from>
    <xdr:to>
      <xdr:col>8</xdr:col>
      <xdr:colOff>0</xdr:colOff>
      <xdr:row>5654</xdr:row>
      <xdr:rowOff>0</xdr:rowOff>
    </xdr:to>
    <xdr:sp macro="" textlink="">
      <xdr:nvSpPr>
        <xdr:cNvPr id="380" name="Text Box 11"/>
        <xdr:cNvSpPr txBox="1">
          <a:spLocks noChangeArrowheads="1"/>
        </xdr:cNvSpPr>
      </xdr:nvSpPr>
      <xdr:spPr bwMode="auto">
        <a:xfrm>
          <a:off x="0" y="780964275"/>
          <a:ext cx="6667500" cy="8572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5723</xdr:row>
      <xdr:rowOff>0</xdr:rowOff>
    </xdr:from>
    <xdr:to>
      <xdr:col>8</xdr:col>
      <xdr:colOff>0</xdr:colOff>
      <xdr:row>5727</xdr:row>
      <xdr:rowOff>11471</xdr:rowOff>
    </xdr:to>
    <xdr:sp macro="" textlink="">
      <xdr:nvSpPr>
        <xdr:cNvPr id="381" name="Text Box 6"/>
        <xdr:cNvSpPr txBox="1">
          <a:spLocks noChangeArrowheads="1"/>
        </xdr:cNvSpPr>
      </xdr:nvSpPr>
      <xdr:spPr bwMode="auto">
        <a:xfrm>
          <a:off x="0" y="791965650"/>
          <a:ext cx="6667500" cy="73537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8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Der steigende Nutzungsdruck, die Stadterweiterung sowie ein generell wachsendes Sicherheitsbedürfnis erfordern  punktuelle Anpassungen der Stadtbeleuchtung - es braucht mehr und/oder andere Leuchtkörper. Besonders an neuralgischen Stellen wie z.B. dem Bollwerk oder dem Marzili ist absehbar, dass der heutige Beleuchtungsstandard nicht ausreichen wird. Kostentreibend wirken zudem oft gestalterische Anliegen. Dieser gesamthafte Mehrbedarf kann nur teilweise mit effizienteren Leuchtmitteln abgedeckt werden.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CH" sz="800" b="0" i="0" u="none" strike="noStrike" kern="0" cap="none" spc="0" normalizeH="0" baseline="0" noProof="0">
            <a:ln>
              <a:noFill/>
            </a:ln>
            <a:solidFill>
              <a:sysClr val="windowText" lastClr="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800" b="0" i="0" u="none" strike="noStrike" kern="0" cap="none" spc="0" normalizeH="0" baseline="0" noProof="0">
              <a:ln>
                <a:noFill/>
              </a:ln>
              <a:solidFill>
                <a:sysClr val="windowText" lastClr="000000"/>
              </a:solidFill>
              <a:effectLst/>
              <a:uLnTx/>
              <a:uFillTx/>
              <a:latin typeface="Arial"/>
              <a:ea typeface="+mn-ea"/>
              <a:cs typeface="Arial"/>
            </a:rPr>
            <a:t>Die Dienstleistung ist vertraglich an ewb ausgelagert.</a:t>
          </a:r>
        </a:p>
        <a:p>
          <a:pPr algn="l" rtl="0">
            <a:lnSpc>
              <a:spcPts val="600"/>
            </a:lnSpc>
            <a:defRPr sz="1000"/>
          </a:pPr>
          <a:endParaRPr lang="de-CH" sz="800" b="0" i="0" u="none" strike="noStrike" baseline="0">
            <a:solidFill>
              <a:srgbClr val="800080"/>
            </a:solidFill>
            <a:latin typeface="Arial"/>
            <a:cs typeface="Arial"/>
          </a:endParaRPr>
        </a:p>
        <a:p>
          <a:pPr algn="l" rtl="0">
            <a:lnSpc>
              <a:spcPts val="500"/>
            </a:lnSpc>
            <a:defRPr sz="1000"/>
          </a:pPr>
          <a:endParaRPr lang="de-CH" sz="800" b="0" i="0" u="none" strike="noStrike" baseline="0">
            <a:solidFill>
              <a:srgbClr val="000000"/>
            </a:solidFill>
            <a:latin typeface="Arial"/>
            <a:cs typeface="Arial"/>
          </a:endParaRPr>
        </a:p>
        <a:p>
          <a:pPr algn="l" rtl="0">
            <a:lnSpc>
              <a:spcPts val="600"/>
            </a:lnSpc>
            <a:defRPr sz="1000"/>
          </a:pPr>
          <a:endParaRPr lang="de-CH" sz="800" b="0" i="0" u="none" strike="noStrike" baseline="0">
            <a:solidFill>
              <a:srgbClr val="000000"/>
            </a:solidFill>
            <a:latin typeface="Arial"/>
            <a:cs typeface="Arial"/>
          </a:endParaRPr>
        </a:p>
        <a:p>
          <a:pPr algn="l" rtl="0">
            <a:lnSpc>
              <a:spcPts val="600"/>
            </a:lnSpc>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5760</xdr:row>
      <xdr:rowOff>0</xdr:rowOff>
    </xdr:from>
    <xdr:to>
      <xdr:col>8</xdr:col>
      <xdr:colOff>0</xdr:colOff>
      <xdr:row>5763</xdr:row>
      <xdr:rowOff>0</xdr:rowOff>
    </xdr:to>
    <xdr:sp macro="" textlink="">
      <xdr:nvSpPr>
        <xdr:cNvPr id="382" name="Text Box 9"/>
        <xdr:cNvSpPr txBox="1">
          <a:spLocks noChangeArrowheads="1"/>
        </xdr:cNvSpPr>
      </xdr:nvSpPr>
      <xdr:spPr bwMode="auto">
        <a:xfrm>
          <a:off x="0" y="797385375"/>
          <a:ext cx="6667500"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0</xdr:colOff>
      <xdr:row>5736</xdr:row>
      <xdr:rowOff>0</xdr:rowOff>
    </xdr:from>
    <xdr:to>
      <xdr:col>8</xdr:col>
      <xdr:colOff>0</xdr:colOff>
      <xdr:row>5738</xdr:row>
      <xdr:rowOff>0</xdr:rowOff>
    </xdr:to>
    <xdr:sp macro="" textlink="">
      <xdr:nvSpPr>
        <xdr:cNvPr id="383" name="Text Box 10"/>
        <xdr:cNvSpPr txBox="1">
          <a:spLocks noChangeArrowheads="1"/>
        </xdr:cNvSpPr>
      </xdr:nvSpPr>
      <xdr:spPr bwMode="auto">
        <a:xfrm>
          <a:off x="0" y="793956375"/>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lvl="0" indent="0" defTabSz="914400" rtl="0" eaLnBrk="1" fontAlgn="auto" latinLnBrk="0" hangingPunct="1">
            <a:lnSpc>
              <a:spcPct val="100000"/>
            </a:lnSpc>
            <a:spcBef>
              <a:spcPts val="0"/>
            </a:spcBef>
            <a:spcAft>
              <a:spcPts val="0"/>
            </a:spcAft>
            <a:buClrTx/>
            <a:buSzTx/>
            <a:buFontTx/>
            <a:buNone/>
            <a:tabLst/>
            <a:defRPr/>
          </a:pPr>
          <a:r>
            <a:rPr kumimoji="0" lang="de-CH" sz="8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ewb, Verwaltung, politische Behörden, Quartierorganisationen, Betriebe, Bürgerinnen und Bürger.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de-CH" sz="8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de-CH" sz="8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endParaRPr>
        </a:p>
      </xdr:txBody>
    </xdr:sp>
    <xdr:clientData/>
  </xdr:twoCellAnchor>
  <xdr:twoCellAnchor>
    <xdr:from>
      <xdr:col>0</xdr:col>
      <xdr:colOff>0</xdr:colOff>
      <xdr:row>5715</xdr:row>
      <xdr:rowOff>0</xdr:rowOff>
    </xdr:from>
    <xdr:to>
      <xdr:col>8</xdr:col>
      <xdr:colOff>0</xdr:colOff>
      <xdr:row>5721</xdr:row>
      <xdr:rowOff>0</xdr:rowOff>
    </xdr:to>
    <xdr:sp macro="" textlink="">
      <xdr:nvSpPr>
        <xdr:cNvPr id="384" name="Text Box 11"/>
        <xdr:cNvSpPr txBox="1">
          <a:spLocks noChangeArrowheads="1"/>
        </xdr:cNvSpPr>
      </xdr:nvSpPr>
      <xdr:spPr bwMode="auto">
        <a:xfrm>
          <a:off x="0" y="790708350"/>
          <a:ext cx="6667500" cy="8572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1.2 Lebenswerte Quartiere, grüne Freiflächen und sichere Stadträume prägen Berns Lebensqualität: 2. Die Stadt Bern sorgt dafür, dass sie als sicher wahrgenommen wird.</a:t>
          </a:r>
        </a:p>
        <a:p>
          <a:pPr algn="l" rtl="0">
            <a:defRPr sz="1000"/>
          </a:pPr>
          <a:r>
            <a:rPr lang="de-CH" sz="800" b="0" i="0" u="none" strike="noStrike" baseline="0">
              <a:solidFill>
                <a:srgbClr val="000000"/>
              </a:solidFill>
              <a:latin typeface="Arial"/>
              <a:cs typeface="Arial"/>
            </a:rPr>
            <a:t>3.1 Bern ist weiterhin führend als Klima- und Ökostadt: 1. Die Stadt Bern lebt eine nachhaltige Energiepolitik vor.</a:t>
          </a:r>
        </a:p>
      </xdr:txBody>
    </xdr:sp>
    <xdr:clientData/>
  </xdr:twoCellAnchor>
  <xdr:twoCellAnchor>
    <xdr:from>
      <xdr:col>0</xdr:col>
      <xdr:colOff>0</xdr:colOff>
      <xdr:row>5792</xdr:row>
      <xdr:rowOff>0</xdr:rowOff>
    </xdr:from>
    <xdr:to>
      <xdr:col>8</xdr:col>
      <xdr:colOff>0</xdr:colOff>
      <xdr:row>5796</xdr:row>
      <xdr:rowOff>0</xdr:rowOff>
    </xdr:to>
    <xdr:sp macro="" textlink="">
      <xdr:nvSpPr>
        <xdr:cNvPr id="385" name="Text Box 6"/>
        <xdr:cNvSpPr txBox="1">
          <a:spLocks noChangeArrowheads="1"/>
        </xdr:cNvSpPr>
      </xdr:nvSpPr>
      <xdr:spPr bwMode="auto">
        <a:xfrm>
          <a:off x="0" y="801785925"/>
          <a:ext cx="6667500" cy="13430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8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Der öffentliche Raum steht seit Jahren unter hohem Nutzungsdruck. Die öffentlichen Infrastrukturen werden daher stark beansprucht, was wiederum einen intensiven baulichen Unterhalt und eine sorgfältige Werterhaltungsplanung erfordert. Dies gilt insbesondere auch für die attraktiven städtischen Grün- und Parkanlagen, welche sich grosser Beliebtheit erfreuen, gleichzeitig aber seit Jahren  einem beschleunigten Wertzerfall ausgesetzt sind. </a:t>
          </a:r>
          <a:r>
            <a:rPr kumimoji="0" lang="de-CH" sz="800" b="0" i="0" u="none" strike="noStrike" kern="0" cap="none" spc="0" normalizeH="0" baseline="0" noProof="0">
              <a:ln>
                <a:noFill/>
              </a:ln>
              <a:solidFill>
                <a:sysClr val="windowText" lastClr="000000"/>
              </a:solidFill>
              <a:effectLst/>
              <a:uLnTx/>
              <a:uFillTx/>
              <a:latin typeface="Arial"/>
              <a:ea typeface="+mn-ea"/>
              <a:cs typeface="Arial"/>
            </a:rPr>
            <a:t>Der Nachholbedarf für den Werterhalt wird gegenwärtig auf rund 27 Mio. Franken beziffert und ist damit in den letzten Jahren weiter angestiegen. </a:t>
          </a:r>
          <a:r>
            <a:rPr kumimoji="0" lang="de-CH" sz="8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Diesem zunehmenden Wertzerfall wird einerseits mit gezielten Sanierungsprojekten begegnet, welche vom Bereich Grünraumgestaltung über die Investitionsrechnung abgewickelt werden. Anderseits ist ein regelmässiger intensiver baulicher Unterhalt nötig, welcher im Sinne von Kleinmassnahmen über die Laufende Rechnung finanziert wird (siehe dazu PG520200). </a:t>
          </a:r>
          <a:r>
            <a:rPr kumimoji="0" lang="de-CH" sz="800" b="0" i="0" u="none" strike="noStrike" kern="0" cap="none" spc="0" normalizeH="0" baseline="0" noProof="0">
              <a:ln>
                <a:noFill/>
              </a:ln>
              <a:solidFill>
                <a:sysClr val="windowText" lastClr="000000"/>
              </a:solidFill>
              <a:effectLst/>
              <a:uLnTx/>
              <a:uFillTx/>
              <a:latin typeface="Arial"/>
              <a:ea typeface="+mn-ea"/>
              <a:cs typeface="Arial"/>
            </a:rPr>
            <a:t>Dazu kommen schliesslich Projekte zur Aufwertung der Anlagen und Spielplätze (z.B. Wohnumfeldverbesserung WUV).</a:t>
          </a:r>
        </a:p>
        <a:p>
          <a:pPr marL="0" marR="0" lvl="0" indent="0" algn="l" defTabSz="914400" rtl="0" eaLnBrk="1" fontAlgn="auto" latinLnBrk="0" hangingPunct="1">
            <a:lnSpc>
              <a:spcPts val="700"/>
            </a:lnSpc>
            <a:spcBef>
              <a:spcPts val="0"/>
            </a:spcBef>
            <a:spcAft>
              <a:spcPts val="0"/>
            </a:spcAft>
            <a:buClrTx/>
            <a:buSzTx/>
            <a:buFontTx/>
            <a:buNone/>
            <a:tabLst/>
            <a:defRPr sz="1000"/>
          </a:pPr>
          <a:endParaRPr kumimoji="0" lang="de-CH" sz="800" b="0" i="0" u="none" strike="noStrike" kern="0" cap="none" spc="0" normalizeH="0" baseline="0" noProof="0">
            <a:ln>
              <a:noFill/>
            </a:ln>
            <a:solidFill>
              <a:sysClr val="windowText" lastClr="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800" b="0" i="0" u="none" strike="noStrike" kern="0" cap="none" spc="0" normalizeH="0" baseline="0" noProof="0">
              <a:ln>
                <a:noFill/>
              </a:ln>
              <a:solidFill>
                <a:sysClr val="windowText" lastClr="000000"/>
              </a:solidFill>
              <a:effectLst/>
              <a:uLnTx/>
              <a:uFillTx/>
              <a:latin typeface="Arial"/>
              <a:ea typeface="+mn-ea"/>
              <a:cs typeface="Arial"/>
            </a:rPr>
            <a:t>Daneben erfordern die Stadterweiterung und die anhaltend rege Bautätigkeit in zahlreichen kleineren und grösseren Bauprojekten eine fachtechnische Begleitung durch die Stadtgärtnerei. Dadurch werden nicht zu unterschätzende Personalressourcen gebunden.</a:t>
          </a:r>
        </a:p>
        <a:p>
          <a:pPr algn="l" rtl="0">
            <a:lnSpc>
              <a:spcPts val="800"/>
            </a:lnSpc>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5798</xdr:row>
      <xdr:rowOff>0</xdr:rowOff>
    </xdr:from>
    <xdr:to>
      <xdr:col>8</xdr:col>
      <xdr:colOff>0</xdr:colOff>
      <xdr:row>5803</xdr:row>
      <xdr:rowOff>0</xdr:rowOff>
    </xdr:to>
    <xdr:sp macro="" textlink="">
      <xdr:nvSpPr>
        <xdr:cNvPr id="386" name="Text Box 7"/>
        <xdr:cNvSpPr txBox="1">
          <a:spLocks noChangeArrowheads="1"/>
        </xdr:cNvSpPr>
      </xdr:nvSpPr>
      <xdr:spPr bwMode="auto">
        <a:xfrm>
          <a:off x="0" y="803433750"/>
          <a:ext cx="6667500" cy="7048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800" b="0" i="0" u="none" strike="noStrike" kern="0" cap="none" spc="0" normalizeH="0" baseline="0" noProof="0">
              <a:ln>
                <a:noFill/>
              </a:ln>
              <a:solidFill>
                <a:sysClr val="windowText" lastClr="000000"/>
              </a:solidFill>
              <a:effectLst/>
              <a:uLnTx/>
              <a:uFillTx/>
              <a:latin typeface="Arial"/>
              <a:ea typeface="+mn-ea"/>
              <a:cs typeface="Arial"/>
            </a:rPr>
            <a:t>Um die anstehenden Investitionsprojekte für den Werterhalt und die Mitarbeit in den zahlreichen Bauprojekten bewältigen zu können, werden die personellen Kapazitäten punktuell erweitert (interne Umwandlung einer Stelle aus PG521100 Friedhöfe). Inhaltlich wird die Sanierung von Spielplätzen einen Schwerpunkt bilden (im Rahmen des in Erarbeitung stehenden Spielplatzkonzeptes).</a:t>
          </a:r>
        </a:p>
        <a:p>
          <a:pPr algn="l" rtl="0">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5829</xdr:row>
      <xdr:rowOff>0</xdr:rowOff>
    </xdr:from>
    <xdr:to>
      <xdr:col>8</xdr:col>
      <xdr:colOff>0</xdr:colOff>
      <xdr:row>5832</xdr:row>
      <xdr:rowOff>0</xdr:rowOff>
    </xdr:to>
    <xdr:sp macro="" textlink="">
      <xdr:nvSpPr>
        <xdr:cNvPr id="387" name="Text Box 9"/>
        <xdr:cNvSpPr txBox="1">
          <a:spLocks noChangeArrowheads="1"/>
        </xdr:cNvSpPr>
      </xdr:nvSpPr>
      <xdr:spPr bwMode="auto">
        <a:xfrm>
          <a:off x="0" y="807824775"/>
          <a:ext cx="6667500"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0</xdr:colOff>
      <xdr:row>5805</xdr:row>
      <xdr:rowOff>0</xdr:rowOff>
    </xdr:from>
    <xdr:to>
      <xdr:col>8</xdr:col>
      <xdr:colOff>0</xdr:colOff>
      <xdr:row>5807</xdr:row>
      <xdr:rowOff>9525</xdr:rowOff>
    </xdr:to>
    <xdr:sp macro="" textlink="">
      <xdr:nvSpPr>
        <xdr:cNvPr id="388" name="Text Box 10"/>
        <xdr:cNvSpPr txBox="1">
          <a:spLocks noChangeArrowheads="1"/>
        </xdr:cNvSpPr>
      </xdr:nvSpPr>
      <xdr:spPr bwMode="auto">
        <a:xfrm>
          <a:off x="0" y="804395775"/>
          <a:ext cx="6667500" cy="2952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lvl="0" indent="0" defTabSz="914400" rtl="0" eaLnBrk="1" fontAlgn="auto" latinLnBrk="0" hangingPunct="1">
            <a:lnSpc>
              <a:spcPct val="100000"/>
            </a:lnSpc>
            <a:spcBef>
              <a:spcPts val="0"/>
            </a:spcBef>
            <a:spcAft>
              <a:spcPts val="0"/>
            </a:spcAft>
            <a:buClrTx/>
            <a:buSzTx/>
            <a:buFontTx/>
            <a:buNone/>
            <a:tabLst/>
            <a:defRPr/>
          </a:pPr>
          <a:r>
            <a:rPr kumimoji="0" lang="de-CH" sz="8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Verwaltung, politische Behörden, Quartierorganisationen, Medien, Bauherren im öffentlichen Raum (ewb, Bernmobil, Stadtbauten, etc.), Gartenbauunternehmungen, Lieferanten, Bürgerinnen und Bürger.</a:t>
          </a:r>
        </a:p>
      </xdr:txBody>
    </xdr:sp>
    <xdr:clientData/>
  </xdr:twoCellAnchor>
  <xdr:twoCellAnchor>
    <xdr:from>
      <xdr:col>0</xdr:col>
      <xdr:colOff>0</xdr:colOff>
      <xdr:row>5784</xdr:row>
      <xdr:rowOff>129540</xdr:rowOff>
    </xdr:from>
    <xdr:to>
      <xdr:col>8</xdr:col>
      <xdr:colOff>0</xdr:colOff>
      <xdr:row>5789</xdr:row>
      <xdr:rowOff>37901</xdr:rowOff>
    </xdr:to>
    <xdr:sp macro="" textlink="">
      <xdr:nvSpPr>
        <xdr:cNvPr id="389" name="Text Box 11"/>
        <xdr:cNvSpPr txBox="1">
          <a:spLocks noChangeArrowheads="1"/>
        </xdr:cNvSpPr>
      </xdr:nvSpPr>
      <xdr:spPr bwMode="auto">
        <a:xfrm>
          <a:off x="0" y="800848665"/>
          <a:ext cx="6667500" cy="527486"/>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Legislaturziel 1.2: Die Stadt Bern verbessert das Wohnumfeld insbesondere für Kinder und sorgt für eine hohe Aufenthaltsqualität. </a:t>
          </a:r>
        </a:p>
        <a:p>
          <a:pPr algn="l" rtl="0">
            <a:defRPr sz="1000"/>
          </a:pPr>
          <a:r>
            <a:rPr lang="de-CH" sz="800" b="0" i="0" u="none" strike="noStrike" baseline="0">
              <a:solidFill>
                <a:srgbClr val="000000"/>
              </a:solidFill>
              <a:latin typeface="Arial"/>
              <a:cs typeface="Arial"/>
            </a:rPr>
            <a:t>Indikatoren 1.1, 1.2</a:t>
          </a:r>
        </a:p>
        <a:p>
          <a:pPr algn="l" rtl="0">
            <a:defRPr sz="1000"/>
          </a:pPr>
          <a:r>
            <a:rPr lang="de-CH" sz="800" b="0" i="0" u="none" strike="noStrike" baseline="0">
              <a:solidFill>
                <a:srgbClr val="000000"/>
              </a:solidFill>
              <a:latin typeface="Arial"/>
              <a:cs typeface="Arial"/>
            </a:rPr>
            <a:t>Legislaturziel 3.1: Die Stadt Bern fördert die Biodiversität auf dem Stadtgebiet. Indikator 4.1</a:t>
          </a:r>
        </a:p>
        <a:p>
          <a:pPr algn="l" rtl="0">
            <a:defRPr sz="1000"/>
          </a:pPr>
          <a:endParaRPr lang="de-CH" sz="800" b="0" i="0" u="none" strike="noStrike" baseline="0">
            <a:solidFill>
              <a:srgbClr val="000000"/>
            </a:solidFill>
            <a:latin typeface="Arial"/>
            <a:cs typeface="Arial"/>
          </a:endParaRPr>
        </a:p>
        <a:p>
          <a:pPr algn="l" rtl="0">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5860</xdr:row>
      <xdr:rowOff>0</xdr:rowOff>
    </xdr:from>
    <xdr:to>
      <xdr:col>8</xdr:col>
      <xdr:colOff>0</xdr:colOff>
      <xdr:row>5867</xdr:row>
      <xdr:rowOff>0</xdr:rowOff>
    </xdr:to>
    <xdr:sp macro="" textlink="">
      <xdr:nvSpPr>
        <xdr:cNvPr id="390" name="Text Box 6"/>
        <xdr:cNvSpPr txBox="1">
          <a:spLocks noChangeArrowheads="1"/>
        </xdr:cNvSpPr>
      </xdr:nvSpPr>
      <xdr:spPr bwMode="auto">
        <a:xfrm>
          <a:off x="0" y="812225325"/>
          <a:ext cx="6667500" cy="17240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lvl="0" indent="0" defTabSz="914400" rtl="0" eaLnBrk="1" fontAlgn="auto" latinLnBrk="0" hangingPunct="1">
            <a:lnSpc>
              <a:spcPct val="100000"/>
            </a:lnSpc>
            <a:spcBef>
              <a:spcPts val="0"/>
            </a:spcBef>
            <a:spcAft>
              <a:spcPts val="0"/>
            </a:spcAft>
            <a:buClrTx/>
            <a:buSzTx/>
            <a:buFontTx/>
            <a:buNone/>
            <a:tabLst/>
            <a:defRPr/>
          </a:pPr>
          <a:r>
            <a:rPr kumimoji="0" lang="de-CH" sz="8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Der stetig zunehmende Nutzungsdruck und die veränderten Freizeitgewohnheiten haben direkte Auswirkungen auf den Unterhalt der städtischen Grünanlagen. So kommt es regelmässig zu Verunreinigungen und Vandalenschäden, zudem akzentuiert die starke Beanspruchung die Gefahr des beschleunigten Wertzerfalls. Dazu kommen vermehrt Wetterextreme wie längere Trockenperioden oder lang anhaltende Niederschläge, was zu höherem Pflegeaufwand führt.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de-CH" sz="8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kumimoji="0" lang="de-CH" sz="8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Dem beschleunigten Wertzerfall wird einerseits mit gezielten Sanierungsprojekten begegnet, welche vom Bereich Grünraumgestaltung über die Investitionsrechnung abgewickelt werden (siehe P520100, Nachholbedarf von 27 Mio. Fr.). Anderseits ist für den Werterhalt bereits sanierter Anlagen ein regelmässiger intensiver baulicher Unterhalt nötig, welcher im Sinne von Kleinmassnahmen über die Laufende Rechnung finanziert werden muss. Weil dazu seit Jahren die Mittel fehlen, ist ein erheblicher Nachholbedarf entstanden.</a:t>
          </a:r>
        </a:p>
        <a:p>
          <a:pPr marL="0" marR="0" lvl="0" indent="0" algn="l" defTabSz="914400" rtl="0" eaLnBrk="1" fontAlgn="auto" latinLnBrk="0" hangingPunct="1">
            <a:lnSpc>
              <a:spcPts val="900"/>
            </a:lnSpc>
            <a:spcBef>
              <a:spcPts val="0"/>
            </a:spcBef>
            <a:spcAft>
              <a:spcPts val="0"/>
            </a:spcAft>
            <a:buClrTx/>
            <a:buSzTx/>
            <a:buFontTx/>
            <a:buNone/>
            <a:tabLst/>
            <a:defRPr sz="1000"/>
          </a:pPr>
          <a:endParaRPr kumimoji="0" lang="de-CH" sz="800" b="0" i="0" u="none" strike="sngStrike" kern="0" cap="none" spc="0" normalizeH="0" baseline="0" noProof="0">
            <a:ln>
              <a:noFill/>
            </a:ln>
            <a:solidFill>
              <a:srgbClr val="000000"/>
            </a:solidFill>
            <a:effectLst/>
            <a:uLnTx/>
            <a:uFillTx/>
            <a:latin typeface="Arial"/>
            <a:ea typeface="+mn-ea"/>
            <a:cs typeface="Arial"/>
          </a:endParaRPr>
        </a:p>
        <a:p>
          <a:pPr marL="0" marR="0" lvl="0" indent="0" defTabSz="914400" rtl="0" eaLnBrk="1" fontAlgn="auto" latinLnBrk="0" hangingPunct="1">
            <a:lnSpc>
              <a:spcPct val="100000"/>
            </a:lnSpc>
            <a:spcBef>
              <a:spcPts val="0"/>
            </a:spcBef>
            <a:spcAft>
              <a:spcPts val="0"/>
            </a:spcAft>
            <a:buClrTx/>
            <a:buSzTx/>
            <a:buFontTx/>
            <a:buNone/>
            <a:tabLst/>
            <a:defRPr/>
          </a:pPr>
          <a:r>
            <a:rPr kumimoji="0" lang="de-CH" sz="8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Strategische Aufgabenüberprüfung zur Haushaltstabilisierung 2012-2014 (Portfolioanalyse):</a:t>
          </a:r>
        </a:p>
        <a:p>
          <a:pPr marL="0" marR="0" lvl="0" indent="0" defTabSz="914400" rtl="0" eaLnBrk="1" fontAlgn="auto" latinLnBrk="0" hangingPunct="1">
            <a:lnSpc>
              <a:spcPts val="800"/>
            </a:lnSpc>
            <a:spcBef>
              <a:spcPts val="0"/>
            </a:spcBef>
            <a:spcAft>
              <a:spcPts val="0"/>
            </a:spcAft>
            <a:buClrTx/>
            <a:buSzTx/>
            <a:buFontTx/>
            <a:buNone/>
            <a:tabLst/>
            <a:defRPr/>
          </a:pPr>
          <a:r>
            <a:rPr kumimoji="0" lang="de-CH" sz="8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Die Massnahme P520210 Parkanlagen, Reduktion der Drittaufträge für Pflege und Unterhalt (Fr. 130 000.00 pro Jahr) ist zwar vollumfänglich im IAFP enthalten, wird aber durch die beantragten zusätzlichen Mittel für den Werterhalt (Nachholbedarf) bereits sanierter Anlagen von insgesamt Fr. 200 000.00 (siehe unten, Aufgabenplanung: Baulicher Unterhalt) um Fr. 70 000.00 überkompensiert. </a:t>
          </a:r>
        </a:p>
      </xdr:txBody>
    </xdr:sp>
    <xdr:clientData/>
  </xdr:twoCellAnchor>
  <xdr:twoCellAnchor>
    <xdr:from>
      <xdr:col>0</xdr:col>
      <xdr:colOff>0</xdr:colOff>
      <xdr:row>5869</xdr:row>
      <xdr:rowOff>0</xdr:rowOff>
    </xdr:from>
    <xdr:to>
      <xdr:col>8</xdr:col>
      <xdr:colOff>0</xdr:colOff>
      <xdr:row>5875</xdr:row>
      <xdr:rowOff>19050</xdr:rowOff>
    </xdr:to>
    <xdr:sp macro="" textlink="">
      <xdr:nvSpPr>
        <xdr:cNvPr id="391" name="Text Box 7"/>
        <xdr:cNvSpPr txBox="1">
          <a:spLocks noChangeArrowheads="1"/>
        </xdr:cNvSpPr>
      </xdr:nvSpPr>
      <xdr:spPr bwMode="auto">
        <a:xfrm>
          <a:off x="0" y="814206525"/>
          <a:ext cx="6667500" cy="1190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lvl="0" indent="0" defTabSz="914400" rtl="0" eaLnBrk="1" fontAlgn="auto" latinLnBrk="0" hangingPunct="1">
            <a:lnSpc>
              <a:spcPct val="100000"/>
            </a:lnSpc>
            <a:spcBef>
              <a:spcPts val="0"/>
            </a:spcBef>
            <a:spcAft>
              <a:spcPts val="0"/>
            </a:spcAft>
            <a:buClrTx/>
            <a:buSzTx/>
            <a:buFontTx/>
            <a:buNone/>
            <a:tabLst/>
            <a:defRPr/>
          </a:pPr>
          <a:r>
            <a:rPr kumimoji="0" lang="de-CH" sz="8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Die Stadtgärtnerei wird in den kommenden Jahren verschiedene neue Grünanlagen und Bäume in ihre Verantwortung übernehmen, was mit jährlichen Mehraufwendungen verbunden ist (siehe unten, Aufgabenplanung: Grünanlagen und Bäume): Zusätzliche Pflegeleistungen ergeben sich z. B. im Zusammenhang mit Tram Bern West (2. Tranche nach Ablauf der Garantiefristen), WUV3, Grünanlage über Rathausparking, Parkplatz Schlösser Bümpliz, ESP Wankdorf (Daetwylerplatz, Klawastrasse) sowie ab 2015 Wankdorf-City.</a:t>
          </a:r>
        </a:p>
        <a:p>
          <a:pPr marL="0" marR="0" lvl="0" indent="0" defTabSz="914400" rtl="0" eaLnBrk="1" fontAlgn="auto" latinLnBrk="0" hangingPunct="1">
            <a:lnSpc>
              <a:spcPct val="100000"/>
            </a:lnSpc>
            <a:spcBef>
              <a:spcPts val="0"/>
            </a:spcBef>
            <a:spcAft>
              <a:spcPts val="0"/>
            </a:spcAft>
            <a:buClrTx/>
            <a:buSzTx/>
            <a:buFontTx/>
            <a:buNone/>
            <a:tabLst/>
            <a:defRPr/>
          </a:pPr>
          <a:r>
            <a:rPr kumimoji="0" lang="de-CH" sz="8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Nötig ist eine generelle Erhöhung der Mittel für den baulichen Unterhalt, um dem beschleunigten Wertzerfall begegnen zu können (0.2 Mio. Fr.). Ab Mitte 2014 wird  für die sanierten Gewächshäuser in der Elfenau eine Mietzinserhöhung von jährlich 40 000.00 Franken anfallen. </a:t>
          </a:r>
        </a:p>
        <a:p>
          <a:pPr marL="0" marR="0" lvl="0" indent="0" defTabSz="914400" eaLnBrk="1" fontAlgn="auto" latinLnBrk="0" hangingPunct="1">
            <a:lnSpc>
              <a:spcPct val="100000"/>
            </a:lnSpc>
            <a:spcBef>
              <a:spcPts val="0"/>
            </a:spcBef>
            <a:spcAft>
              <a:spcPts val="0"/>
            </a:spcAft>
            <a:buClrTx/>
            <a:buSzTx/>
            <a:buFontTx/>
            <a:buNone/>
            <a:tabLst/>
            <a:defRPr/>
          </a:pPr>
          <a:r>
            <a:rPr kumimoji="0" lang="de-CH" sz="800" b="0" i="0" u="none" strike="noStrike" kern="100" cap="none" spc="0" normalizeH="0" baseline="0" noProof="0">
              <a:ln>
                <a:noFill/>
              </a:ln>
              <a:solidFill>
                <a:sysClr val="windowText" lastClr="000000"/>
              </a:solidFill>
              <a:effectLst/>
              <a:uLnTx/>
              <a:uFillTx/>
              <a:latin typeface="Arial"/>
              <a:ea typeface="+mn-ea"/>
              <a:cs typeface="Arial"/>
            </a:rPr>
            <a:t>Ebenfalls 2014 ergibt sich bei den Nettokosten eine Entspannung: Die Abschreibungskosten sinken aufgrund der Einführung des angepassten Rechnungsmodells HRM2 um rund Fr. 300 000.00, steigen aber in den nachfolgenden Jahren markant an.</a:t>
          </a:r>
          <a:endParaRPr kumimoji="0" lang="de-CH" sz="800" b="0" i="0" u="none" strike="noStrike" kern="0" cap="none" spc="0" normalizeH="0" baseline="0" noProof="0">
            <a:ln>
              <a:noFill/>
            </a:ln>
            <a:solidFill>
              <a:sysClr val="windowText" lastClr="000000"/>
            </a:solidFill>
            <a:effectLst/>
            <a:uLnTx/>
            <a:uFillTx/>
            <a:latin typeface="Arial"/>
            <a:ea typeface="+mn-ea"/>
            <a:cs typeface="Arial"/>
          </a:endParaRPr>
        </a:p>
        <a:p>
          <a:endParaRPr lang="de-CH" sz="800" b="0" i="0" u="none" strike="noStrike" baseline="0">
            <a:solidFill>
              <a:srgbClr val="FF0000"/>
            </a:solidFill>
            <a:latin typeface="Arial"/>
            <a:ea typeface="+mn-ea"/>
            <a:cs typeface="Arial"/>
          </a:endParaRPr>
        </a:p>
      </xdr:txBody>
    </xdr:sp>
    <xdr:clientData/>
  </xdr:twoCellAnchor>
  <xdr:twoCellAnchor>
    <xdr:from>
      <xdr:col>0</xdr:col>
      <xdr:colOff>0</xdr:colOff>
      <xdr:row>5901</xdr:row>
      <xdr:rowOff>0</xdr:rowOff>
    </xdr:from>
    <xdr:to>
      <xdr:col>8</xdr:col>
      <xdr:colOff>0</xdr:colOff>
      <xdr:row>5904</xdr:row>
      <xdr:rowOff>0</xdr:rowOff>
    </xdr:to>
    <xdr:sp macro="" textlink="">
      <xdr:nvSpPr>
        <xdr:cNvPr id="392" name="Text Box 9"/>
        <xdr:cNvSpPr txBox="1">
          <a:spLocks noChangeArrowheads="1"/>
        </xdr:cNvSpPr>
      </xdr:nvSpPr>
      <xdr:spPr bwMode="auto">
        <a:xfrm>
          <a:off x="0" y="819064275"/>
          <a:ext cx="6667500"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Wohnumfeldverbesserung (WUV)</a:t>
          </a:r>
        </a:p>
        <a:p>
          <a:pPr algn="l" rtl="0">
            <a:defRPr sz="1000"/>
          </a:pPr>
          <a:r>
            <a:rPr lang="de-CH" sz="800" b="0" i="0" u="none" strike="noStrike" baseline="0">
              <a:solidFill>
                <a:srgbClr val="000000"/>
              </a:solidFill>
              <a:latin typeface="Arial"/>
              <a:cs typeface="Arial"/>
            </a:rPr>
            <a:t>Nachholbedarf Werterhalt Friedhöfe / Grünanlagen</a:t>
          </a:r>
        </a:p>
        <a:p>
          <a:pPr algn="l" rtl="0">
            <a:defRPr sz="1000"/>
          </a:pPr>
          <a:r>
            <a:rPr lang="de-CH" sz="800" b="0" i="0" u="none" strike="noStrike" baseline="0">
              <a:solidFill>
                <a:srgbClr val="000000"/>
              </a:solidFill>
              <a:latin typeface="Arial"/>
              <a:cs typeface="Arial"/>
            </a:rPr>
            <a:t>Grünflächen-Management</a:t>
          </a:r>
        </a:p>
        <a:p>
          <a:pPr algn="l" rtl="0">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5877</xdr:row>
      <xdr:rowOff>0</xdr:rowOff>
    </xdr:from>
    <xdr:to>
      <xdr:col>8</xdr:col>
      <xdr:colOff>0</xdr:colOff>
      <xdr:row>5879</xdr:row>
      <xdr:rowOff>0</xdr:rowOff>
    </xdr:to>
    <xdr:sp macro="" textlink="">
      <xdr:nvSpPr>
        <xdr:cNvPr id="393" name="Text Box 10"/>
        <xdr:cNvSpPr txBox="1">
          <a:spLocks noChangeArrowheads="1"/>
        </xdr:cNvSpPr>
      </xdr:nvSpPr>
      <xdr:spPr bwMode="auto">
        <a:xfrm>
          <a:off x="0" y="815635275"/>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lvl="0" indent="0" defTabSz="914400" rtl="0" eaLnBrk="1" fontAlgn="auto" latinLnBrk="0" hangingPunct="1">
            <a:lnSpc>
              <a:spcPct val="100000"/>
            </a:lnSpc>
            <a:spcBef>
              <a:spcPts val="0"/>
            </a:spcBef>
            <a:spcAft>
              <a:spcPts val="0"/>
            </a:spcAft>
            <a:buClrTx/>
            <a:buSzTx/>
            <a:buFontTx/>
            <a:buNone/>
            <a:tabLst/>
            <a:defRPr/>
          </a:pPr>
          <a:r>
            <a:rPr kumimoji="0" lang="de-CH" sz="8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Verwaltung, politische Behörden, Bund, Kanton, Quartierorganisationen, Medien, Bauherren im öffentlichen Raum (ewb, Bernmobil, Stadtbauten etc.), Gartenbauunternehmungen, Lieferanten, Bürgerinnen und Bürger.</a:t>
          </a:r>
        </a:p>
      </xdr:txBody>
    </xdr:sp>
    <xdr:clientData/>
  </xdr:twoCellAnchor>
  <xdr:twoCellAnchor>
    <xdr:from>
      <xdr:col>0</xdr:col>
      <xdr:colOff>0</xdr:colOff>
      <xdr:row>5856</xdr:row>
      <xdr:rowOff>0</xdr:rowOff>
    </xdr:from>
    <xdr:to>
      <xdr:col>8</xdr:col>
      <xdr:colOff>0</xdr:colOff>
      <xdr:row>5858</xdr:row>
      <xdr:rowOff>0</xdr:rowOff>
    </xdr:to>
    <xdr:sp macro="" textlink="">
      <xdr:nvSpPr>
        <xdr:cNvPr id="394" name="Text Box 11"/>
        <xdr:cNvSpPr txBox="1">
          <a:spLocks noChangeArrowheads="1"/>
        </xdr:cNvSpPr>
      </xdr:nvSpPr>
      <xdr:spPr bwMode="auto">
        <a:xfrm>
          <a:off x="0" y="811539525"/>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Legislaturziel 1.2: Die Stadt Bern sorgt dafür, dass sie als sauber wahrgenommen wird. Indikatoren 3.1, 3.2, 3.3</a:t>
          </a:r>
        </a:p>
        <a:p>
          <a:pPr algn="l" rtl="0">
            <a:defRPr sz="1000"/>
          </a:pPr>
          <a:r>
            <a:rPr lang="de-CH" sz="800" b="0" i="0" u="none" strike="noStrike" baseline="0">
              <a:solidFill>
                <a:srgbClr val="000000"/>
              </a:solidFill>
              <a:latin typeface="Arial"/>
              <a:cs typeface="Arial"/>
            </a:rPr>
            <a:t>Legislaturziel 3.1: Die Stadt Bern fördert die Biodiversität auf dem Stadtgebiet. Indikator 4.1</a:t>
          </a:r>
        </a:p>
        <a:p>
          <a:pPr algn="l" rtl="0">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5931</xdr:row>
      <xdr:rowOff>0</xdr:rowOff>
    </xdr:from>
    <xdr:to>
      <xdr:col>8</xdr:col>
      <xdr:colOff>0</xdr:colOff>
      <xdr:row>5935</xdr:row>
      <xdr:rowOff>0</xdr:rowOff>
    </xdr:to>
    <xdr:sp macro="" textlink="">
      <xdr:nvSpPr>
        <xdr:cNvPr id="395" name="Text Box 6"/>
        <xdr:cNvSpPr txBox="1">
          <a:spLocks noChangeArrowheads="1"/>
        </xdr:cNvSpPr>
      </xdr:nvSpPr>
      <xdr:spPr bwMode="auto">
        <a:xfrm>
          <a:off x="0" y="823321950"/>
          <a:ext cx="6667500" cy="12573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800" b="0" i="0" u="none" strike="noStrike" kern="0" cap="none" spc="0" normalizeH="0" baseline="0" noProof="0">
              <a:ln>
                <a:noFill/>
              </a:ln>
              <a:solidFill>
                <a:sysClr val="windowText" lastClr="000000"/>
              </a:solidFill>
              <a:effectLst/>
              <a:uLnTx/>
              <a:uFillTx/>
              <a:latin typeface="Arial"/>
              <a:ea typeface="+mn-ea"/>
              <a:cs typeface="Arial"/>
            </a:rPr>
            <a:t>Als UNESCO Weltkulturgut sowie als Hauptstadt trägt Bern Sorge zum Erscheinungsbild - dazu gehört der Blumenschmuck im öffentlichen Raum. Zudem hat die Stadt eine Bildungsaufgabe, der Bevölkerung die Nähe zu Natur und Ökologie zu vermitteln. </a:t>
          </a:r>
        </a:p>
        <a:p>
          <a:pPr algn="l" rtl="0">
            <a:defRPr sz="1000"/>
          </a:pPr>
          <a:endParaRPr lang="de-CH" sz="800" b="0" i="0" u="none" strike="noStrike" baseline="0">
            <a:solidFill>
              <a:srgbClr val="000000"/>
            </a:solidFill>
            <a:latin typeface="Arial"/>
            <a:cs typeface="Arial"/>
          </a:endParaRPr>
        </a:p>
        <a:p>
          <a:pPr marL="0" marR="0" lvl="0" indent="0" defTabSz="914400" rtl="0" eaLnBrk="1" fontAlgn="auto" latinLnBrk="0" hangingPunct="1">
            <a:lnSpc>
              <a:spcPct val="100000"/>
            </a:lnSpc>
            <a:spcBef>
              <a:spcPts val="0"/>
            </a:spcBef>
            <a:spcAft>
              <a:spcPts val="0"/>
            </a:spcAft>
            <a:buClrTx/>
            <a:buSzTx/>
            <a:buFontTx/>
            <a:buNone/>
            <a:tabLst/>
            <a:defRPr/>
          </a:pPr>
          <a:r>
            <a:rPr kumimoji="0" lang="de-CH" sz="8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Strategische Aufgabenüberprüfung zur Haushaltstabilisierung 2012-2014 (Portfolioanalyse):</a:t>
          </a:r>
        </a:p>
        <a:p>
          <a:pPr marL="0" marR="0" lvl="0" indent="0" defTabSz="914400" rtl="0" eaLnBrk="1" fontAlgn="auto" latinLnBrk="0" hangingPunct="1">
            <a:lnSpc>
              <a:spcPts val="800"/>
            </a:lnSpc>
            <a:spcBef>
              <a:spcPts val="0"/>
            </a:spcBef>
            <a:spcAft>
              <a:spcPts val="0"/>
            </a:spcAft>
            <a:buClrTx/>
            <a:buSzTx/>
            <a:buFontTx/>
            <a:buNone/>
            <a:tabLst/>
            <a:defRPr/>
          </a:pPr>
          <a:r>
            <a:rPr kumimoji="0" lang="de-CH" sz="8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Die Massnahme P520310 Bern in Blumen, Verzicht auf grössere Ausstellungen in der Elfenau und auf die Beteiligung an der Museumsnacht (Fr. 140 000.00) sowie die Massnahme P520320 Förderung Grünkompetenz Verzicht auf Pflanzenschauhaus bei Sanierung der Gewächshäuser in der Elfenau</a:t>
          </a:r>
        </a:p>
        <a:p>
          <a:pPr marL="0" marR="0" lvl="0" indent="0" defTabSz="914400" rtl="0" eaLnBrk="1" fontAlgn="auto" latinLnBrk="0" hangingPunct="1">
            <a:lnSpc>
              <a:spcPts val="800"/>
            </a:lnSpc>
            <a:spcBef>
              <a:spcPts val="0"/>
            </a:spcBef>
            <a:spcAft>
              <a:spcPts val="0"/>
            </a:spcAft>
            <a:buClrTx/>
            <a:buSzTx/>
            <a:buFontTx/>
            <a:buNone/>
            <a:tabLst/>
            <a:defRPr/>
          </a:pPr>
          <a:r>
            <a:rPr kumimoji="0" lang="de-CH" sz="8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(Fr. 110 000.00) werden ab 2013 vollumfänglich umgesetzt werden.</a:t>
          </a:r>
        </a:p>
        <a:p>
          <a:pPr algn="l" rtl="0">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5937</xdr:row>
      <xdr:rowOff>0</xdr:rowOff>
    </xdr:from>
    <xdr:to>
      <xdr:col>8</xdr:col>
      <xdr:colOff>0</xdr:colOff>
      <xdr:row>5942</xdr:row>
      <xdr:rowOff>19050</xdr:rowOff>
    </xdr:to>
    <xdr:sp macro="" textlink="">
      <xdr:nvSpPr>
        <xdr:cNvPr id="396" name="Text Box 7"/>
        <xdr:cNvSpPr txBox="1">
          <a:spLocks noChangeArrowheads="1"/>
        </xdr:cNvSpPr>
      </xdr:nvSpPr>
      <xdr:spPr bwMode="auto">
        <a:xfrm>
          <a:off x="0" y="824836425"/>
          <a:ext cx="6667500" cy="7048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800" b="0" i="0" u="none" strike="noStrike" kern="0" cap="none" spc="0" normalizeH="0" baseline="0" noProof="0">
              <a:ln>
                <a:noFill/>
              </a:ln>
              <a:solidFill>
                <a:sysClr val="windowText" lastClr="000000"/>
              </a:solidFill>
              <a:effectLst/>
              <a:uLnTx/>
              <a:uFillTx/>
              <a:latin typeface="Arial"/>
              <a:ea typeface="+mn-ea"/>
              <a:cs typeface="Arial"/>
            </a:rPr>
            <a:t>Im Jahre 2013 wird das Pflanzenschauhaus geschlossen (Massnahme P520320, Einsparung von Fr. 110'000.00).</a:t>
          </a:r>
        </a:p>
        <a:p>
          <a:pPr marL="0" marR="0" lvl="0" indent="0" algn="l" defTabSz="914400" rtl="0" eaLnBrk="1" fontAlgn="auto" latinLnBrk="0" hangingPunct="1">
            <a:lnSpc>
              <a:spcPts val="800"/>
            </a:lnSpc>
            <a:spcBef>
              <a:spcPts val="0"/>
            </a:spcBef>
            <a:spcAft>
              <a:spcPts val="0"/>
            </a:spcAft>
            <a:buClrTx/>
            <a:buSzTx/>
            <a:buFontTx/>
            <a:buNone/>
            <a:tabLst/>
            <a:defRPr sz="1000"/>
          </a:pPr>
          <a:endParaRPr kumimoji="0" lang="de-CH" sz="800" b="0" i="0" u="none" strike="noStrike" kern="0" cap="none" spc="0" normalizeH="0" baseline="0" noProof="0">
            <a:ln>
              <a:noFill/>
            </a:ln>
            <a:solidFill>
              <a:sysClr val="windowText" lastClr="000000"/>
            </a:solidFill>
            <a:effectLst/>
            <a:uLnTx/>
            <a:uFillTx/>
            <a:latin typeface="Arial"/>
            <a:ea typeface="+mn-ea"/>
            <a:cs typeface="Arial"/>
          </a:endParaRPr>
        </a:p>
        <a:p>
          <a:pPr marL="0" marR="0" lvl="0" indent="0" algn="l" defTabSz="914400" rtl="0" eaLnBrk="1" fontAlgn="auto" latinLnBrk="0" hangingPunct="1">
            <a:lnSpc>
              <a:spcPts val="800"/>
            </a:lnSpc>
            <a:spcBef>
              <a:spcPts val="0"/>
            </a:spcBef>
            <a:spcAft>
              <a:spcPts val="0"/>
            </a:spcAft>
            <a:buClrTx/>
            <a:buSzTx/>
            <a:buFontTx/>
            <a:buNone/>
            <a:tabLst/>
            <a:defRPr sz="1000"/>
          </a:pPr>
          <a:r>
            <a:rPr kumimoji="0" lang="de-CH" sz="800" b="0" i="0" u="none" strike="noStrike" kern="0" cap="none" spc="0" normalizeH="0" baseline="0" noProof="0">
              <a:ln>
                <a:noFill/>
              </a:ln>
              <a:solidFill>
                <a:sysClr val="windowText" lastClr="000000"/>
              </a:solidFill>
              <a:effectLst/>
              <a:uLnTx/>
              <a:uFillTx/>
              <a:latin typeface="Arial"/>
              <a:ea typeface="+mn-ea"/>
              <a:cs typeface="Arial"/>
            </a:rPr>
            <a:t>Die Übergangslösung für den Betrieb des Botanischen Gartens läuft per Ende 2013 ab; somit entfällt der jährlich zu bezahlende Beitrag von Fr. 100 000.00 ab dem Jahr 2014.</a:t>
          </a:r>
        </a:p>
        <a:p>
          <a:pPr algn="l" rtl="0">
            <a:lnSpc>
              <a:spcPts val="700"/>
            </a:lnSpc>
            <a:defRPr sz="1000"/>
          </a:pPr>
          <a:endParaRPr lang="de-CH" sz="800" b="0" i="0" u="none" strike="noStrike" baseline="0">
            <a:solidFill>
              <a:srgbClr val="000000"/>
            </a:solidFill>
            <a:latin typeface="Arial"/>
            <a:cs typeface="Arial"/>
          </a:endParaRPr>
        </a:p>
        <a:p>
          <a:pPr algn="l" rtl="0">
            <a:lnSpc>
              <a:spcPts val="700"/>
            </a:lnSpc>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5968</xdr:row>
      <xdr:rowOff>0</xdr:rowOff>
    </xdr:from>
    <xdr:to>
      <xdr:col>8</xdr:col>
      <xdr:colOff>0</xdr:colOff>
      <xdr:row>5971</xdr:row>
      <xdr:rowOff>0</xdr:rowOff>
    </xdr:to>
    <xdr:sp macro="" textlink="">
      <xdr:nvSpPr>
        <xdr:cNvPr id="397" name="Text Box 9"/>
        <xdr:cNvSpPr txBox="1">
          <a:spLocks noChangeArrowheads="1"/>
        </xdr:cNvSpPr>
      </xdr:nvSpPr>
      <xdr:spPr bwMode="auto">
        <a:xfrm>
          <a:off x="0" y="829208400"/>
          <a:ext cx="6667500"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0</xdr:colOff>
      <xdr:row>5944</xdr:row>
      <xdr:rowOff>0</xdr:rowOff>
    </xdr:from>
    <xdr:to>
      <xdr:col>8</xdr:col>
      <xdr:colOff>0</xdr:colOff>
      <xdr:row>5946</xdr:row>
      <xdr:rowOff>0</xdr:rowOff>
    </xdr:to>
    <xdr:sp macro="" textlink="">
      <xdr:nvSpPr>
        <xdr:cNvPr id="398" name="Text Box 10"/>
        <xdr:cNvSpPr txBox="1">
          <a:spLocks noChangeArrowheads="1"/>
        </xdr:cNvSpPr>
      </xdr:nvSpPr>
      <xdr:spPr bwMode="auto">
        <a:xfrm>
          <a:off x="0" y="825779400"/>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lvl="0" indent="0" defTabSz="914400" rtl="0" eaLnBrk="1" fontAlgn="auto" latinLnBrk="0" hangingPunct="1">
            <a:lnSpc>
              <a:spcPct val="100000"/>
            </a:lnSpc>
            <a:spcBef>
              <a:spcPts val="0"/>
            </a:spcBef>
            <a:spcAft>
              <a:spcPts val="0"/>
            </a:spcAft>
            <a:buClrTx/>
            <a:buSzTx/>
            <a:buFontTx/>
            <a:buNone/>
            <a:tabLst/>
            <a:defRPr/>
          </a:pPr>
          <a:r>
            <a:rPr kumimoji="0" lang="de-CH" sz="8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Verwaltung, politische Behörden, Quartierorganisationen, Institutionen, Medien, Lieferanten, Bürgerinnen und Bürger.</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de-CH" sz="8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endParaRPr>
        </a:p>
      </xdr:txBody>
    </xdr:sp>
    <xdr:clientData/>
  </xdr:twoCellAnchor>
  <xdr:twoCellAnchor>
    <xdr:from>
      <xdr:col>0</xdr:col>
      <xdr:colOff>0</xdr:colOff>
      <xdr:row>5925</xdr:row>
      <xdr:rowOff>0</xdr:rowOff>
    </xdr:from>
    <xdr:to>
      <xdr:col>8</xdr:col>
      <xdr:colOff>0</xdr:colOff>
      <xdr:row>5929</xdr:row>
      <xdr:rowOff>0</xdr:rowOff>
    </xdr:to>
    <xdr:sp macro="" textlink="">
      <xdr:nvSpPr>
        <xdr:cNvPr id="399" name="Text Box 11"/>
        <xdr:cNvSpPr txBox="1">
          <a:spLocks noChangeArrowheads="1"/>
        </xdr:cNvSpPr>
      </xdr:nvSpPr>
      <xdr:spPr bwMode="auto">
        <a:xfrm>
          <a:off x="0" y="822350400"/>
          <a:ext cx="6667500" cy="5715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Legislaturziel 3.1: Die Stadt Bern fördert die Biodiversität auf dem Stadtgebiet. Indikator 4.1</a:t>
          </a:r>
        </a:p>
      </xdr:txBody>
    </xdr:sp>
    <xdr:clientData/>
  </xdr:twoCellAnchor>
  <xdr:twoCellAnchor>
    <xdr:from>
      <xdr:col>0</xdr:col>
      <xdr:colOff>0</xdr:colOff>
      <xdr:row>5998</xdr:row>
      <xdr:rowOff>0</xdr:rowOff>
    </xdr:from>
    <xdr:to>
      <xdr:col>8</xdr:col>
      <xdr:colOff>0</xdr:colOff>
      <xdr:row>6002</xdr:row>
      <xdr:rowOff>0</xdr:rowOff>
    </xdr:to>
    <xdr:sp macro="" textlink="">
      <xdr:nvSpPr>
        <xdr:cNvPr id="400" name="Text Box 6"/>
        <xdr:cNvSpPr txBox="1">
          <a:spLocks noChangeArrowheads="1"/>
        </xdr:cNvSpPr>
      </xdr:nvSpPr>
      <xdr:spPr bwMode="auto">
        <a:xfrm>
          <a:off x="0" y="833466075"/>
          <a:ext cx="6667500" cy="11334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800" b="0" i="0" u="none" strike="noStrike" kern="0" cap="none" spc="0" normalizeH="0" baseline="0" noProof="0">
              <a:ln>
                <a:noFill/>
              </a:ln>
              <a:solidFill>
                <a:sysClr val="windowText" lastClr="000000"/>
              </a:solidFill>
              <a:effectLst/>
              <a:uLnTx/>
              <a:uFillTx/>
              <a:latin typeface="Arial"/>
              <a:ea typeface="+mn-ea"/>
              <a:cs typeface="Arial"/>
            </a:rPr>
            <a:t>Die Friedhöfe sind in ihrer Kernaufgabe stark mit gesellschaftlichen Veränderungen konfrontiert. So ist seit Jahren ein Trend weg von der </a:t>
          </a:r>
          <a:r>
            <a:rPr kumimoji="0" lang="de-CH" sz="8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Einzelbestattung hin zum Gemeinschaftsgrab feststellbar, was zu entsprechend tieferen Gebühreneinnahmen führt - der Anteil der Beisetzungen ins Gemeinschaftsgrab liegt weiterhin bei über 50 Prozent und ist auf diesem Niveau stabil. Gleichzeitig zeichnen sich Bedürfnisse für neue Bestattungsformen ab, auf welche die Friedhöfe werden reagieren müssen. Zudem werden immer weniger Grabstätten über die übliche Dauer von 20 Jahren hinaus verlängert.</a:t>
          </a:r>
        </a:p>
        <a:p>
          <a:pPr marL="0" marR="0" lvl="0" indent="0" defTabSz="914400" rtl="0" eaLnBrk="1" fontAlgn="auto" latinLnBrk="0" hangingPunct="1">
            <a:lnSpc>
              <a:spcPct val="100000"/>
            </a:lnSpc>
            <a:spcBef>
              <a:spcPts val="0"/>
            </a:spcBef>
            <a:spcAft>
              <a:spcPts val="0"/>
            </a:spcAft>
            <a:buClrTx/>
            <a:buSzTx/>
            <a:buFontTx/>
            <a:buNone/>
            <a:tabLst/>
            <a:defRPr/>
          </a:pPr>
          <a:r>
            <a:rPr kumimoji="0" lang="de-CH" sz="8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Weil die von der Stadtgärtnerei angebotene Grabpflege auf langjährigen Vorauszahlungen der Angehörigen beruht, hat die allgemeine Zinssituation direkte Auswirkungen auf die Einnahmen der Friedhöfe. Die tiefen Zinse führen deshalb zu Mindereinnahmen.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800" b="0" i="0" u="none" strike="noStrike" kern="0" cap="none" spc="0" normalizeH="0" baseline="0" noProof="0">
              <a:ln>
                <a:noFill/>
              </a:ln>
              <a:solidFill>
                <a:sysClr val="windowText" lastClr="000000"/>
              </a:solidFill>
              <a:effectLst/>
              <a:uLnTx/>
              <a:uFillTx/>
              <a:latin typeface="Arial"/>
              <a:ea typeface="+mn-ea"/>
              <a:cs typeface="Arial"/>
            </a:rPr>
            <a:t>Daneben stellen die Friedhöfe aufgrund ihrer Gesamterscheinung unverwechselbare, einmalige Grünanlagen dar, welche von einer breiten Bevölkerung genutzt werden. Auch hier stellt jedoch die Verhinderung des schleichenden Wertzerfalls eine grosse Herausforderung dar. </a:t>
          </a:r>
        </a:p>
        <a:p>
          <a:pPr algn="l" rtl="0">
            <a:lnSpc>
              <a:spcPts val="700"/>
            </a:lnSpc>
            <a:defRPr sz="1000"/>
          </a:pPr>
          <a:endParaRPr lang="de-CH" sz="800" b="0" i="0" u="none" strike="sngStrike" baseline="0">
            <a:solidFill>
              <a:srgbClr val="000000"/>
            </a:solidFill>
            <a:latin typeface="Arial"/>
            <a:cs typeface="Arial"/>
          </a:endParaRPr>
        </a:p>
      </xdr:txBody>
    </xdr:sp>
    <xdr:clientData/>
  </xdr:twoCellAnchor>
  <xdr:twoCellAnchor>
    <xdr:from>
      <xdr:col>0</xdr:col>
      <xdr:colOff>0</xdr:colOff>
      <xdr:row>6003</xdr:row>
      <xdr:rowOff>142874</xdr:rowOff>
    </xdr:from>
    <xdr:to>
      <xdr:col>8</xdr:col>
      <xdr:colOff>0</xdr:colOff>
      <xdr:row>6009</xdr:row>
      <xdr:rowOff>133350</xdr:rowOff>
    </xdr:to>
    <xdr:sp macro="" textlink="">
      <xdr:nvSpPr>
        <xdr:cNvPr id="401" name="Text Box 7"/>
        <xdr:cNvSpPr txBox="1">
          <a:spLocks noChangeArrowheads="1"/>
        </xdr:cNvSpPr>
      </xdr:nvSpPr>
      <xdr:spPr bwMode="auto">
        <a:xfrm>
          <a:off x="0" y="834856724"/>
          <a:ext cx="6667500" cy="89535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800" b="0" i="0" u="none" strike="noStrike" kern="0" cap="none" spc="0" normalizeH="0" baseline="0" noProof="0">
              <a:ln>
                <a:noFill/>
              </a:ln>
              <a:solidFill>
                <a:sysClr val="windowText" lastClr="000000"/>
              </a:solidFill>
              <a:effectLst/>
              <a:uLnTx/>
              <a:uFillTx/>
              <a:latin typeface="Arial"/>
              <a:ea typeface="+mn-ea"/>
              <a:cs typeface="Arial"/>
            </a:rPr>
            <a:t>Die tiefen Zinssätze führen bei den Vorauszahlungen für die Grabpflege zu Einnahmenverlusten von Fr. 150'000.00.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800" b="0" i="0" u="none" strike="noStrike" kern="0" cap="none" spc="0" normalizeH="0" baseline="0" noProof="0">
              <a:ln>
                <a:noFill/>
              </a:ln>
              <a:solidFill>
                <a:sysClr val="windowText" lastClr="000000"/>
              </a:solidFill>
              <a:effectLst/>
              <a:uLnTx/>
              <a:uFillTx/>
              <a:latin typeface="Arial"/>
              <a:ea typeface="+mn-ea"/>
              <a:cs typeface="Arial"/>
            </a:rPr>
            <a:t>Die Entwicklung mit den abnehmenden Einzelbestattungen bzw. der Abnahme der Verlängerungen von Grabstätten ist mit weiteren Einnahmenminderungen von Fr. 150'000.00 verbunden. Dies führt gleichzeitig zu vermindertem Pflegeaufwand, weshalb eine Stelle in den Bereich Grünraumgestaltung verschoben werden kann (PG520100; Fr. 100'000.00).</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800" b="0" i="0" u="none" strike="noStrike" kern="0" cap="none" spc="0" normalizeH="0" baseline="0" noProof="0">
              <a:ln>
                <a:noFill/>
              </a:ln>
              <a:solidFill>
                <a:sysClr val="windowText" lastClr="000000"/>
              </a:solidFill>
              <a:effectLst/>
              <a:uLnTx/>
              <a:uFillTx/>
              <a:latin typeface="Arial"/>
              <a:ea typeface="+mn-ea"/>
              <a:cs typeface="Arial"/>
            </a:rPr>
            <a:t>Mit der Umsetzung verschiedener Sanierungsprojekte kann der Werterhalt der Friedhöfe verbessert werden; dadurch erhöhen sich im Jahr 2013 jedoch gleichzeitig die Abschreibungskosten</a:t>
          </a:r>
          <a:r>
            <a:rPr kumimoji="0" lang="de-CH" sz="800" b="0" i="0" u="none" strike="noStrike" kern="100" cap="none" spc="0" normalizeH="0" baseline="0" noProof="0">
              <a:ln>
                <a:noFill/>
              </a:ln>
              <a:solidFill>
                <a:sysClr val="windowText" lastClr="000000"/>
              </a:solidFill>
              <a:effectLst/>
              <a:uLnTx/>
              <a:uFillTx/>
              <a:latin typeface="Arial"/>
              <a:ea typeface="+mn-ea"/>
              <a:cs typeface="Arial"/>
            </a:rPr>
            <a:t> gegenüber dem Jahr 2012 um Fr. 100 000.00. Ab 2014 ergibt sich bei den Abschreibungskosten aufgrund der Einführung des angepassten Rechnungsmodells HRM2 eine Entspannung.</a:t>
          </a:r>
        </a:p>
      </xdr:txBody>
    </xdr:sp>
    <xdr:clientData/>
  </xdr:twoCellAnchor>
  <xdr:twoCellAnchor>
    <xdr:from>
      <xdr:col>0</xdr:col>
      <xdr:colOff>0</xdr:colOff>
      <xdr:row>6036</xdr:row>
      <xdr:rowOff>0</xdr:rowOff>
    </xdr:from>
    <xdr:to>
      <xdr:col>8</xdr:col>
      <xdr:colOff>0</xdr:colOff>
      <xdr:row>6039</xdr:row>
      <xdr:rowOff>0</xdr:rowOff>
    </xdr:to>
    <xdr:sp macro="" textlink="">
      <xdr:nvSpPr>
        <xdr:cNvPr id="402" name="Text Box 9"/>
        <xdr:cNvSpPr txBox="1">
          <a:spLocks noChangeArrowheads="1"/>
        </xdr:cNvSpPr>
      </xdr:nvSpPr>
      <xdr:spPr bwMode="auto">
        <a:xfrm>
          <a:off x="0" y="839495400"/>
          <a:ext cx="6667500"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Nachholbedarf Werterhalt Friedhöfe / Grünanlagen</a:t>
          </a:r>
        </a:p>
        <a:p>
          <a:pPr algn="l" rtl="0">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6012</xdr:row>
      <xdr:rowOff>0</xdr:rowOff>
    </xdr:from>
    <xdr:to>
      <xdr:col>8</xdr:col>
      <xdr:colOff>0</xdr:colOff>
      <xdr:row>6014</xdr:row>
      <xdr:rowOff>0</xdr:rowOff>
    </xdr:to>
    <xdr:sp macro="" textlink="">
      <xdr:nvSpPr>
        <xdr:cNvPr id="403" name="Text Box 10"/>
        <xdr:cNvSpPr txBox="1">
          <a:spLocks noChangeArrowheads="1"/>
        </xdr:cNvSpPr>
      </xdr:nvSpPr>
      <xdr:spPr bwMode="auto">
        <a:xfrm>
          <a:off x="0" y="836066400"/>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lvl="0" indent="0" defTabSz="914400" rtl="0" eaLnBrk="1" fontAlgn="auto" latinLnBrk="0" hangingPunct="1">
            <a:lnSpc>
              <a:spcPct val="100000"/>
            </a:lnSpc>
            <a:spcBef>
              <a:spcPts val="0"/>
            </a:spcBef>
            <a:spcAft>
              <a:spcPts val="0"/>
            </a:spcAft>
            <a:buClrTx/>
            <a:buSzTx/>
            <a:buFontTx/>
            <a:buNone/>
            <a:tabLst/>
            <a:defRPr/>
          </a:pPr>
          <a:r>
            <a:rPr kumimoji="0" lang="de-CH" sz="8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Verwaltung, politische Behörden, Quartierorganisationen, Medien, Gartenbauunternehmungen, Lieferanten, Bürgerinnen und Bürger.</a:t>
          </a:r>
        </a:p>
      </xdr:txBody>
    </xdr:sp>
    <xdr:clientData/>
  </xdr:twoCellAnchor>
  <xdr:twoCellAnchor>
    <xdr:from>
      <xdr:col>0</xdr:col>
      <xdr:colOff>0</xdr:colOff>
      <xdr:row>5992</xdr:row>
      <xdr:rowOff>0</xdr:rowOff>
    </xdr:from>
    <xdr:to>
      <xdr:col>8</xdr:col>
      <xdr:colOff>0</xdr:colOff>
      <xdr:row>5996</xdr:row>
      <xdr:rowOff>0</xdr:rowOff>
    </xdr:to>
    <xdr:sp macro="" textlink="">
      <xdr:nvSpPr>
        <xdr:cNvPr id="404" name="Text Box 11"/>
        <xdr:cNvSpPr txBox="1">
          <a:spLocks noChangeArrowheads="1"/>
        </xdr:cNvSpPr>
      </xdr:nvSpPr>
      <xdr:spPr bwMode="auto">
        <a:xfrm>
          <a:off x="0" y="832494525"/>
          <a:ext cx="6667500" cy="5715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Legislaturziel 1.2: Die Stadt Bern sorgt dafür, dass sie als sauber wahrgenommen wird. Indikatoren 3.1, 3.2, 3.3</a:t>
          </a:r>
        </a:p>
        <a:p>
          <a:pPr algn="l" rtl="0">
            <a:defRPr sz="1000"/>
          </a:pPr>
          <a:r>
            <a:rPr lang="de-CH" sz="800" b="0" i="0" u="none" strike="noStrike" baseline="0">
              <a:solidFill>
                <a:srgbClr val="000000"/>
              </a:solidFill>
              <a:latin typeface="Arial"/>
              <a:cs typeface="Arial"/>
            </a:rPr>
            <a:t>Legislaturziel 3.1: Die Stadt Bern fördert die Biodiversität auf dem Stadtgebiet. Indikator 4.1</a:t>
          </a:r>
        </a:p>
        <a:p>
          <a:pPr algn="l" rtl="0">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6068</xdr:row>
      <xdr:rowOff>5824</xdr:rowOff>
    </xdr:from>
    <xdr:to>
      <xdr:col>8</xdr:col>
      <xdr:colOff>0</xdr:colOff>
      <xdr:row>6071</xdr:row>
      <xdr:rowOff>457200</xdr:rowOff>
    </xdr:to>
    <xdr:sp macro="" textlink="">
      <xdr:nvSpPr>
        <xdr:cNvPr id="405" name="Text Box 6"/>
        <xdr:cNvSpPr txBox="1">
          <a:spLocks noChangeArrowheads="1"/>
        </xdr:cNvSpPr>
      </xdr:nvSpPr>
      <xdr:spPr bwMode="auto">
        <a:xfrm>
          <a:off x="0" y="843730324"/>
          <a:ext cx="6659884" cy="88000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800" b="0" i="0" u="none" strike="noStrike" kern="0" cap="none" spc="0" normalizeH="0" baseline="0" noProof="0">
              <a:ln>
                <a:noFill/>
              </a:ln>
              <a:solidFill>
                <a:sysClr val="windowText" lastClr="000000"/>
              </a:solidFill>
              <a:effectLst/>
              <a:uLnTx/>
              <a:uFillTx/>
              <a:latin typeface="Arial"/>
              <a:ea typeface="+mn-ea"/>
              <a:cs typeface="Arial"/>
            </a:rPr>
            <a:t>Die Bedeutung von Geodaten nimmt weiter zu. Geografische Informationssysteme gehören zu den Schlüsseltechnologien des 21. Jahrhunderts. Das nationale Geoinformationsgesetz ist seit 2008 in Kraft und erste Umsetzungsarbeiten zum Aufbau einer nationalen Geodateninfrastruktur sind gestartet. Das Vermessungsamt hat seine zentrale Aufgabe in der kleinräumigen Bereitstellung von detaillierten, qualitativ hochwertigen und aktuellen Geodaten. Ein besonderes Gewicht liegt dabei auf der digitalen Nutzung und der Integration in Arbeitsprozesse. </a:t>
          </a:r>
        </a:p>
        <a:p>
          <a:pPr algn="l" rtl="0">
            <a:defRPr sz="1000"/>
          </a:pPr>
          <a:endParaRPr lang="de-CH" sz="800" b="0" i="0" u="none" strike="noStrike" baseline="0">
            <a:solidFill>
              <a:srgbClr val="000000"/>
            </a:solidFill>
            <a:latin typeface="Arial"/>
            <a:cs typeface="Arial"/>
          </a:endParaRPr>
        </a:p>
        <a:p>
          <a:pPr marL="0" marR="0" lvl="0" indent="0" defTabSz="914400" rtl="0" eaLnBrk="1" fontAlgn="auto" latinLnBrk="0" hangingPunct="1">
            <a:lnSpc>
              <a:spcPct val="100000"/>
            </a:lnSpc>
            <a:spcBef>
              <a:spcPts val="0"/>
            </a:spcBef>
            <a:spcAft>
              <a:spcPts val="0"/>
            </a:spcAft>
            <a:buClrTx/>
            <a:buSzTx/>
            <a:buFontTx/>
            <a:buNone/>
            <a:tabLst/>
            <a:defRPr/>
          </a:pPr>
          <a:r>
            <a:rPr kumimoji="0" lang="de-CH" sz="8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Strategische Aufgabenüberprüfung zur Haushaltstabilisierung 2012-2014 (Portfolioanalyse):</a:t>
          </a:r>
        </a:p>
        <a:p>
          <a:pPr marL="0" marR="0" lvl="0" indent="0" defTabSz="914400" rtl="0" eaLnBrk="1" fontAlgn="auto" latinLnBrk="0" hangingPunct="1">
            <a:lnSpc>
              <a:spcPct val="100000"/>
            </a:lnSpc>
            <a:spcBef>
              <a:spcPts val="0"/>
            </a:spcBef>
            <a:spcAft>
              <a:spcPts val="0"/>
            </a:spcAft>
            <a:buClrTx/>
            <a:buSzTx/>
            <a:buFontTx/>
            <a:buNone/>
            <a:tabLst/>
            <a:defRPr/>
          </a:pPr>
          <a:r>
            <a:rPr kumimoji="0" lang="de-CH" sz="8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Die Massnahme 570110 Vermessung, Einsparungen im Personal- und Sachaufwand wird wie vorgesehen mit Fr. 50 000.00 pro Jahr umgesetzt. </a:t>
          </a:r>
        </a:p>
        <a:p>
          <a:pPr algn="l" rtl="0">
            <a:lnSpc>
              <a:spcPts val="700"/>
            </a:lnSpc>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6074</xdr:row>
      <xdr:rowOff>1641</xdr:rowOff>
    </xdr:from>
    <xdr:to>
      <xdr:col>8</xdr:col>
      <xdr:colOff>0</xdr:colOff>
      <xdr:row>6081</xdr:row>
      <xdr:rowOff>0</xdr:rowOff>
    </xdr:to>
    <xdr:sp macro="" textlink="">
      <xdr:nvSpPr>
        <xdr:cNvPr id="406" name="Text Box 7"/>
        <xdr:cNvSpPr txBox="1">
          <a:spLocks noChangeArrowheads="1"/>
        </xdr:cNvSpPr>
      </xdr:nvSpPr>
      <xdr:spPr bwMode="auto">
        <a:xfrm>
          <a:off x="0" y="844859616"/>
          <a:ext cx="6659884" cy="168428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800" b="0" i="0" u="none" strike="noStrike" kern="0" cap="none" spc="0" normalizeH="0" baseline="0" noProof="0">
              <a:ln>
                <a:noFill/>
              </a:ln>
              <a:solidFill>
                <a:sysClr val="windowText" lastClr="000000"/>
              </a:solidFill>
              <a:effectLst/>
              <a:uLnTx/>
              <a:uFillTx/>
              <a:latin typeface="Arial"/>
              <a:ea typeface="+mn-ea"/>
              <a:cs typeface="Arial"/>
            </a:rPr>
            <a:t>Die Bruttokosten sinken im Planjahr 2013 gegenüber dem Voranschlag 2012 um rund Fr. 80 000.00, was in erster Linie auf rückläufige Personalkosten zurückzuführen ist (Abbau einer befristeten Stelle in der amtlichen Vermessung). </a:t>
          </a:r>
        </a:p>
        <a:p>
          <a:pPr marL="0" marR="0" lvl="0" indent="0" algn="l" defTabSz="914400" rtl="0" eaLnBrk="1" fontAlgn="auto" latinLnBrk="0" hangingPunct="1">
            <a:lnSpc>
              <a:spcPts val="800"/>
            </a:lnSpc>
            <a:spcBef>
              <a:spcPts val="0"/>
            </a:spcBef>
            <a:spcAft>
              <a:spcPts val="0"/>
            </a:spcAft>
            <a:buClrTx/>
            <a:buSzTx/>
            <a:buFontTx/>
            <a:buNone/>
            <a:tabLst/>
            <a:defRPr sz="1000"/>
          </a:pPr>
          <a:endParaRPr kumimoji="0" lang="de-CH" sz="800" b="0" i="0" u="none" strike="noStrike" kern="0" cap="none" spc="0" normalizeH="0" baseline="0" noProof="0">
            <a:ln>
              <a:noFill/>
            </a:ln>
            <a:solidFill>
              <a:sysClr val="windowText" lastClr="000000"/>
            </a:solidFill>
            <a:effectLst/>
            <a:uLnTx/>
            <a:uFillTx/>
            <a:latin typeface="Arial"/>
            <a:ea typeface="+mn-ea"/>
            <a:cs typeface="Arial"/>
          </a:endParaRPr>
        </a:p>
        <a:p>
          <a:pPr marL="0" marR="0" lvl="0" indent="0" algn="l" defTabSz="914400" rtl="0" eaLnBrk="1" fontAlgn="auto" latinLnBrk="0" hangingPunct="1">
            <a:lnSpc>
              <a:spcPts val="800"/>
            </a:lnSpc>
            <a:spcBef>
              <a:spcPts val="0"/>
            </a:spcBef>
            <a:spcAft>
              <a:spcPts val="0"/>
            </a:spcAft>
            <a:buClrTx/>
            <a:buSzTx/>
            <a:buFontTx/>
            <a:buNone/>
            <a:tabLst/>
            <a:defRPr sz="1000"/>
          </a:pPr>
          <a:r>
            <a:rPr kumimoji="0" lang="de-CH" sz="800" b="0" i="0" u="none" strike="noStrike" kern="0" cap="none" spc="0" normalizeH="0" baseline="0" noProof="0">
              <a:ln>
                <a:noFill/>
              </a:ln>
              <a:solidFill>
                <a:sysClr val="windowText" lastClr="000000"/>
              </a:solidFill>
              <a:effectLst/>
              <a:uLnTx/>
              <a:uFillTx/>
              <a:latin typeface="Arial"/>
              <a:ea typeface="+mn-ea"/>
              <a:cs typeface="Arial"/>
            </a:rPr>
            <a:t>Die befristete und per Ende 2012 auslaufende Stelle im GIS-Kompetenzzentrum Bern (GKB) soll  demgegenüber unbefristet verlängert werden, weil in diesem Bereich auch nach Abschluss des Projekts GREINA mit unverändert hohen Aufwänden gerechnet wird. Eine interne Kompensation dieser Stelle wird angestrebt. Einen einmaligen Aufwand verursacht 2013 zudem der Umzug ins Beer-Haus (siehe 'neue Aufgaben').</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CH" sz="800" b="0" i="0" u="none" strike="noStrike" kern="0" cap="none" spc="0" normalizeH="0" baseline="0" noProof="0">
            <a:ln>
              <a:noFill/>
            </a:ln>
            <a:solidFill>
              <a:sysClr val="windowText" lastClr="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800" b="0" i="0" u="none" strike="noStrike" kern="0" cap="none" spc="0" normalizeH="0" baseline="0" noProof="0">
              <a:ln>
                <a:noFill/>
              </a:ln>
              <a:solidFill>
                <a:sysClr val="windowText" lastClr="000000"/>
              </a:solidFill>
              <a:effectLst/>
              <a:uLnTx/>
              <a:uFillTx/>
              <a:latin typeface="Arial"/>
              <a:ea typeface="+mn-ea"/>
              <a:cs typeface="Arial"/>
            </a:rPr>
            <a:t>In den Planjahren 2014 und 2015 wird ebenfalls mit geringeren Bruttokosten gerechnet. Hier fallen hauptsächlich sinkende Abschreibungen ins Gewicht (deutlich geringere Investitionen nach Abschluss von GREINA). </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CH" sz="800" b="0" i="0" u="none" strike="noStrike" kern="0" cap="none" spc="0" normalizeH="0" baseline="0" noProof="0">
            <a:ln>
              <a:noFill/>
            </a:ln>
            <a:solidFill>
              <a:sysClr val="windowText" lastClr="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800" b="0" i="0" u="none" strike="noStrike" kern="0" cap="none" spc="0" normalizeH="0" baseline="0" noProof="0">
              <a:ln>
                <a:noFill/>
              </a:ln>
              <a:solidFill>
                <a:sysClr val="windowText" lastClr="000000"/>
              </a:solidFill>
              <a:effectLst/>
              <a:uLnTx/>
              <a:uFillTx/>
              <a:latin typeface="Arial"/>
              <a:ea typeface="+mn-ea"/>
              <a:cs typeface="Arial"/>
            </a:rPr>
            <a:t>Die Erlöse sinken im Planjahr 2013 gegenüber dem Voranschlag 2012 um rund Fr. 200 000.00. Einmalige Rückerstattungen des Bundes mit Mehrerträgen im Budgetjahr 2012 von Fr. 190 000.00 machen dabei den Hauptanteil aus. Rückläufige Entgelte können durch höhere interne Verrechnungen kompensiert werden. Die Nettokosten sinken</a:t>
          </a:r>
          <a:r>
            <a:rPr kumimoji="0" lang="de-CH" sz="800" b="0" i="0" u="none" strike="noStrike" kern="100" cap="none" spc="0" normalizeH="0" baseline="0" noProof="0">
              <a:ln>
                <a:noFill/>
              </a:ln>
              <a:solidFill>
                <a:sysClr val="windowText" lastClr="000000"/>
              </a:solidFill>
              <a:effectLst/>
              <a:uLnTx/>
              <a:uFillTx/>
              <a:latin typeface="Arial"/>
              <a:ea typeface="+mn-ea"/>
              <a:cs typeface="Arial"/>
            </a:rPr>
            <a:t> 2014 wegen tieferen Abschreibungskosten aufgrund der Einführung des angepassten Rechnungsmodells HRM2.</a:t>
          </a:r>
        </a:p>
        <a:p>
          <a:pPr marL="0" marR="0" lvl="0" indent="0" algn="l" defTabSz="914400" rtl="0" eaLnBrk="1" fontAlgn="auto" latinLnBrk="0" hangingPunct="1">
            <a:lnSpc>
              <a:spcPts val="800"/>
            </a:lnSpc>
            <a:spcBef>
              <a:spcPts val="0"/>
            </a:spcBef>
            <a:spcAft>
              <a:spcPts val="0"/>
            </a:spcAft>
            <a:buClrTx/>
            <a:buSzTx/>
            <a:buFontTx/>
            <a:buNone/>
            <a:tabLst/>
            <a:defRPr sz="1000"/>
          </a:pPr>
          <a:endParaRPr kumimoji="0" lang="de-CH" sz="800" b="0" i="0" u="none" strike="noStrike" kern="0" cap="none" spc="0" normalizeH="0" baseline="0" noProof="0">
            <a:ln>
              <a:noFill/>
            </a:ln>
            <a:solidFill>
              <a:sysClr val="windowText" lastClr="000000"/>
            </a:solidFill>
            <a:effectLst/>
            <a:uLnTx/>
            <a:uFillTx/>
            <a:latin typeface="Arial"/>
            <a:ea typeface="+mn-ea"/>
            <a:cs typeface="Arial"/>
          </a:endParaRPr>
        </a:p>
        <a:p>
          <a:pPr algn="l" rtl="0">
            <a:lnSpc>
              <a:spcPts val="1000"/>
            </a:lnSpc>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6109</xdr:row>
      <xdr:rowOff>0</xdr:rowOff>
    </xdr:from>
    <xdr:to>
      <xdr:col>8</xdr:col>
      <xdr:colOff>0</xdr:colOff>
      <xdr:row>6112</xdr:row>
      <xdr:rowOff>0</xdr:rowOff>
    </xdr:to>
    <xdr:sp macro="" textlink="">
      <xdr:nvSpPr>
        <xdr:cNvPr id="407" name="Text Box 9"/>
        <xdr:cNvSpPr txBox="1">
          <a:spLocks noChangeArrowheads="1"/>
        </xdr:cNvSpPr>
      </xdr:nvSpPr>
      <xdr:spPr bwMode="auto">
        <a:xfrm>
          <a:off x="0" y="850753950"/>
          <a:ext cx="6659884"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r>
            <a:rPr lang="de-CH" sz="800" b="0" i="0" u="none" strike="noStrike" baseline="0">
              <a:solidFill>
                <a:srgbClr val="000000"/>
              </a:solidFill>
              <a:latin typeface="Arial"/>
              <a:cs typeface="Arial"/>
            </a:rPr>
            <a:t>Die Vermarkung und Ersterhebung Kreis 6 (Oberbottigen / Riedern, GRB 0918 vom 22.06.2011) sowie die Einführung von neuen Landeskoordinaten (Bezugsrahmenwechsel LV95) machen in den nächsten Jahren die Hauptinvestitionen aus.</a:t>
          </a:r>
          <a:endParaRPr lang="de-CH" sz="1100">
            <a:effectLst/>
            <a:latin typeface="+mn-lt"/>
            <a:ea typeface="+mn-ea"/>
            <a:cs typeface="+mn-cs"/>
          </a:endParaRPr>
        </a:p>
        <a:p>
          <a:pPr algn="l" rtl="0">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6083</xdr:row>
      <xdr:rowOff>40005</xdr:rowOff>
    </xdr:from>
    <xdr:to>
      <xdr:col>8</xdr:col>
      <xdr:colOff>0</xdr:colOff>
      <xdr:row>6087</xdr:row>
      <xdr:rowOff>38202</xdr:rowOff>
    </xdr:to>
    <xdr:sp macro="" textlink="">
      <xdr:nvSpPr>
        <xdr:cNvPr id="408" name="Text Box 10"/>
        <xdr:cNvSpPr txBox="1">
          <a:spLocks noChangeArrowheads="1"/>
        </xdr:cNvSpPr>
      </xdr:nvSpPr>
      <xdr:spPr bwMode="auto">
        <a:xfrm>
          <a:off x="0" y="846745830"/>
          <a:ext cx="6659884" cy="464922"/>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lvl="0" indent="0" defTabSz="914400" rtl="0" eaLnBrk="1" fontAlgn="auto" latinLnBrk="0" hangingPunct="1">
            <a:lnSpc>
              <a:spcPct val="100000"/>
            </a:lnSpc>
            <a:spcBef>
              <a:spcPts val="0"/>
            </a:spcBef>
            <a:spcAft>
              <a:spcPts val="0"/>
            </a:spcAft>
            <a:buClrTx/>
            <a:buSzTx/>
            <a:buFontTx/>
            <a:buNone/>
            <a:tabLst/>
            <a:defRPr/>
          </a:pPr>
          <a:r>
            <a:rPr kumimoji="0" lang="de-CH" sz="8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Verwaltung, politische Behörden, Bund, Kanton, Quartierorganisationen, Medien, Notariate, Liegenschaftseigentümer, Banken, Versicherungen, Architekten, Ingenieur- und Planungsfirmen, Bauunternehmungen, grafisches Gewerbe, PR-Firmen, Bürgerinnen und Bürger.</a:t>
          </a:r>
        </a:p>
      </xdr:txBody>
    </xdr:sp>
    <xdr:clientData/>
  </xdr:twoCellAnchor>
  <xdr:twoCellAnchor>
    <xdr:from>
      <xdr:col>0</xdr:col>
      <xdr:colOff>0</xdr:colOff>
      <xdr:row>6060</xdr:row>
      <xdr:rowOff>0</xdr:rowOff>
    </xdr:from>
    <xdr:to>
      <xdr:col>8</xdr:col>
      <xdr:colOff>0</xdr:colOff>
      <xdr:row>6064</xdr:row>
      <xdr:rowOff>50530</xdr:rowOff>
    </xdr:to>
    <xdr:sp macro="" textlink="">
      <xdr:nvSpPr>
        <xdr:cNvPr id="409" name="Text Box 11"/>
        <xdr:cNvSpPr txBox="1">
          <a:spLocks noChangeArrowheads="1"/>
        </xdr:cNvSpPr>
      </xdr:nvSpPr>
      <xdr:spPr bwMode="auto">
        <a:xfrm>
          <a:off x="0" y="842657700"/>
          <a:ext cx="6659884" cy="57440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800" b="0" i="0" u="none" strike="noStrike" kern="0" cap="none" spc="0" normalizeH="0" baseline="0" noProof="0">
              <a:ln>
                <a:noFill/>
              </a:ln>
              <a:solidFill>
                <a:sysClr val="windowText" lastClr="000000"/>
              </a:solidFill>
              <a:effectLst/>
              <a:uLnTx/>
              <a:uFillTx/>
              <a:latin typeface="Arial"/>
              <a:ea typeface="+mn-ea"/>
              <a:cs typeface="Arial"/>
            </a:rPr>
            <a:t>Rund 60 bis 80% aller Entscheidungen zu den Legislaturrichtlinen 2013-2016 weisen einen Raumbezug auf. Um in einem komplexen Umfeld nachhaltige Entscheide zu fällen, sind die Entscheidungsträger auf zuverlässige und aktuelle räumliche Grundlagen angewiesen. Das Vermessungsamt übernimmt im Auftragsverhältnis die Bereitstellung, Pflege und Verbreitung dieser Geodaten und liefert der Verwaltung und Politik eine unerlässliche Grundlage für die Planung und Ausführung ihrer Aufgaben. </a:t>
          </a:r>
        </a:p>
        <a:p>
          <a:pPr algn="l" rtl="0">
            <a:lnSpc>
              <a:spcPts val="800"/>
            </a:lnSpc>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6140</xdr:row>
      <xdr:rowOff>266700</xdr:rowOff>
    </xdr:from>
    <xdr:to>
      <xdr:col>8</xdr:col>
      <xdr:colOff>0</xdr:colOff>
      <xdr:row>6155</xdr:row>
      <xdr:rowOff>103028</xdr:rowOff>
    </xdr:to>
    <xdr:sp macro="" textlink="">
      <xdr:nvSpPr>
        <xdr:cNvPr id="410" name="Text Box 6"/>
        <xdr:cNvSpPr txBox="1">
          <a:spLocks noChangeArrowheads="1"/>
        </xdr:cNvSpPr>
      </xdr:nvSpPr>
      <xdr:spPr bwMode="auto">
        <a:xfrm>
          <a:off x="0" y="855002100"/>
          <a:ext cx="6657975" cy="209375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8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Die mit der Stadtentwicklung verbundenen Mobilitätsbedürfnisse erfordern in den kommenden Jahren einen markanten Ausbau der Strassen- und der Schieneninfrastruktur (u.a. Ausbau Bahnhof Bern, neue Osttangente A6, Tram Region Bern, zweite Tramachse und Velostation Schanzenpost). Auf der Grundlage des Infrastrukturfonds des Bundes und des Agglomerationsprogramms Siedlung + Verkehr sind diese Vorhaben zwar breit abgestützt, die Finanzierung und Abwicklung wird aber für alle beteiligten Partner - und insbesondere auch für die in diesen Projekten stark engagierte Verkehrsplanung - zu einer grossen Herausforderung. </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CH" sz="800" b="0" i="0" u="none" strike="noStrike" kern="0" cap="none" spc="0" normalizeH="0" baseline="0" noProof="0">
            <a:ln>
              <a:noFill/>
            </a:ln>
            <a:solidFill>
              <a:sysClr val="windowText" lastClr="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800" b="0" i="0" u="none" strike="noStrike" kern="0" cap="none" spc="0" normalizeH="0" baseline="0" noProof="0">
              <a:ln>
                <a:noFill/>
              </a:ln>
              <a:solidFill>
                <a:sysClr val="windowText" lastClr="000000"/>
              </a:solidFill>
              <a:effectLst/>
              <a:uLnTx/>
              <a:uFillTx/>
              <a:latin typeface="Arial"/>
              <a:ea typeface="+mn-ea"/>
              <a:cs typeface="Arial"/>
            </a:rPr>
            <a:t>Daneben stehen Jahr für Jahr zahlreiche mittlere und kleinere Vorhaben an, die wesentlich zur kleinräumigen Optimierung des Verkehrssystems beitragen und die einen erheblichen Anteil der Ressourcen der Verkehrsplanung in Anspruch nehmen. Diese Kleinmassnahmen stehen erfahrungsgemäss unter grossem öffentlichem Handlungsdruck (Elternräte, Quartierkommissionen, Verbände). </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CH" sz="800" b="0" i="0" u="none" strike="noStrike" kern="0" cap="none" spc="0" normalizeH="0" baseline="0" noProof="0">
            <a:ln>
              <a:noFill/>
            </a:ln>
            <a:solidFill>
              <a:sysClr val="windowText" lastClr="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800" b="0" i="0" u="none" strike="noStrike" kern="0" cap="none" spc="0" normalizeH="0" baseline="0" noProof="0">
              <a:ln>
                <a:noFill/>
              </a:ln>
              <a:solidFill>
                <a:sysClr val="windowText" lastClr="000000"/>
              </a:solidFill>
              <a:effectLst/>
              <a:uLnTx/>
              <a:uFillTx/>
              <a:latin typeface="Arial"/>
              <a:ea typeface="+mn-ea"/>
              <a:cs typeface="Arial"/>
            </a:rPr>
            <a:t>Auf strategischer Ebene steht in den kommenden Jahren die Überarbeitung des räumlichen Stadtentwicklungskonzepts aus dem  Jahr 1995 an (STEK 95). Die Federführung für dieses Projekt liegt beim Stadtplanungsamt. Weil der Verkehr erfahrungsgemäss zu den Schlüsselinhalten eines solchen Entwicklungsonzepts gehört, wird die Verkehrsplanung zentrale Beiträge dazu liefern müssen. </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CH" sz="800" b="0" i="0" u="none" strike="noStrike" kern="0" cap="none" spc="0" normalizeH="0" baseline="0" noProof="0">
            <a:ln>
              <a:noFill/>
            </a:ln>
            <a:solidFill>
              <a:sysClr val="windowText" lastClr="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800" b="0" i="0" u="none" strike="noStrike" kern="0" cap="none" spc="0" normalizeH="0" baseline="0" noProof="0">
              <a:ln>
                <a:noFill/>
              </a:ln>
              <a:solidFill>
                <a:sysClr val="windowText" lastClr="000000"/>
              </a:solidFill>
              <a:effectLst/>
              <a:uLnTx/>
              <a:uFillTx/>
              <a:latin typeface="Arial"/>
              <a:ea typeface="+mn-ea"/>
              <a:cs typeface="Arial"/>
            </a:rPr>
            <a:t>Strategische Aufgabenüberprüfung zur Haushaltstabilisierung 2012-2014 (Portfolioanalyse):</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800" b="0" i="0" u="none" strike="noStrike" kern="0" cap="none" spc="0" normalizeH="0" baseline="0" noProof="0">
              <a:ln>
                <a:noFill/>
              </a:ln>
              <a:solidFill>
                <a:sysClr val="windowText" lastClr="000000"/>
              </a:solidFill>
              <a:effectLst/>
              <a:uLnTx/>
              <a:uFillTx/>
              <a:latin typeface="Arial"/>
              <a:ea typeface="+mn-ea"/>
              <a:cs typeface="Arial"/>
            </a:rPr>
            <a:t>Die Massnahme P580110 Verkehrskonzepte Einsparungen im Sachaufwand (Fr. 40 000.00) wird vollumfänglich umgesetzt.</a:t>
          </a:r>
        </a:p>
      </xdr:txBody>
    </xdr:sp>
    <xdr:clientData/>
  </xdr:twoCellAnchor>
  <xdr:twoCellAnchor>
    <xdr:from>
      <xdr:col>0</xdr:col>
      <xdr:colOff>19050</xdr:colOff>
      <xdr:row>6158</xdr:row>
      <xdr:rowOff>70485</xdr:rowOff>
    </xdr:from>
    <xdr:to>
      <xdr:col>8</xdr:col>
      <xdr:colOff>0</xdr:colOff>
      <xdr:row>6164</xdr:row>
      <xdr:rowOff>2858</xdr:rowOff>
    </xdr:to>
    <xdr:sp macro="" textlink="">
      <xdr:nvSpPr>
        <xdr:cNvPr id="411" name="Text Box 7"/>
        <xdr:cNvSpPr txBox="1">
          <a:spLocks noChangeArrowheads="1"/>
        </xdr:cNvSpPr>
      </xdr:nvSpPr>
      <xdr:spPr bwMode="auto">
        <a:xfrm>
          <a:off x="19050" y="857453835"/>
          <a:ext cx="6638925" cy="1218248"/>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800" b="0" i="0" u="none" strike="noStrike" kern="0" cap="none" spc="0" normalizeH="0" baseline="0" noProof="0">
              <a:ln>
                <a:noFill/>
              </a:ln>
              <a:solidFill>
                <a:sysClr val="windowText" lastClr="000000"/>
              </a:solidFill>
              <a:effectLst/>
              <a:uLnTx/>
              <a:uFillTx/>
              <a:latin typeface="Arial"/>
              <a:ea typeface="+mn-ea"/>
              <a:cs typeface="Arial"/>
            </a:rPr>
            <a:t>Nach der Realisierung der beiden Investitionsprojekte des Fuss- und Veloverkehrs (Fuss- und Radweg Oberbottigen sowie Kalcheggweg) sinken die Abschreibungskosten und die Erlöse (keine Entnahmen aus der Spezialfinanzierung RFFV mehr ab 2013). Ab dem Jahr 2014 </a:t>
          </a:r>
          <a:r>
            <a:rPr kumimoji="0" lang="de-CH" sz="800" b="0" i="0" u="none" strike="noStrike" kern="100" cap="none" spc="0" normalizeH="0" baseline="0" noProof="0">
              <a:ln>
                <a:noFill/>
              </a:ln>
              <a:solidFill>
                <a:sysClr val="windowText" lastClr="000000"/>
              </a:solidFill>
              <a:effectLst/>
              <a:uLnTx/>
              <a:uFillTx/>
              <a:latin typeface="Arial"/>
              <a:ea typeface="+mn-ea"/>
              <a:cs typeface="Arial"/>
            </a:rPr>
            <a:t>ergibt sich bei den Abschreibungskosten nach Einführung des angepassten Rechnungsmodells HRM2 eine zusätzliche Entspannung.</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CH" sz="800" b="0" i="0" u="none" strike="noStrike" kern="0" cap="none" spc="0" normalizeH="0" baseline="0" noProof="0">
            <a:ln>
              <a:noFill/>
            </a:ln>
            <a:solidFill>
              <a:sysClr val="windowText" lastClr="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800" b="0" i="0" u="none" strike="noStrike" kern="0" cap="none" spc="0" normalizeH="0" baseline="0" noProof="0">
              <a:ln>
                <a:noFill/>
              </a:ln>
              <a:solidFill>
                <a:sysClr val="windowText" lastClr="000000"/>
              </a:solidFill>
              <a:effectLst/>
              <a:uLnTx/>
              <a:uFillTx/>
              <a:latin typeface="Arial"/>
              <a:ea typeface="+mn-ea"/>
              <a:cs typeface="Arial"/>
            </a:rPr>
            <a:t>Ab 2015 sind die Betriebsbeiträge an die neue Velostation Schanzenbrücke vorzusehen (siehe  auch unter 'Aufgabenplanung').</a:t>
          </a:r>
        </a:p>
        <a:p>
          <a:pPr algn="l" rtl="0">
            <a:defRPr sz="1000"/>
          </a:pPr>
          <a:endParaRPr lang="de-CH" sz="800" b="0" i="0" u="none" strike="sngStrike" baseline="0">
            <a:solidFill>
              <a:srgbClr val="000000"/>
            </a:solidFill>
            <a:latin typeface="Arial"/>
            <a:cs typeface="Arial"/>
          </a:endParaRPr>
        </a:p>
      </xdr:txBody>
    </xdr:sp>
    <xdr:clientData/>
  </xdr:twoCellAnchor>
  <xdr:twoCellAnchor>
    <xdr:from>
      <xdr:col>0</xdr:col>
      <xdr:colOff>0</xdr:colOff>
      <xdr:row>6190</xdr:row>
      <xdr:rowOff>0</xdr:rowOff>
    </xdr:from>
    <xdr:to>
      <xdr:col>8</xdr:col>
      <xdr:colOff>0</xdr:colOff>
      <xdr:row>6193</xdr:row>
      <xdr:rowOff>0</xdr:rowOff>
    </xdr:to>
    <xdr:sp macro="" textlink="">
      <xdr:nvSpPr>
        <xdr:cNvPr id="412" name="Text Box 9"/>
        <xdr:cNvSpPr txBox="1">
          <a:spLocks noChangeArrowheads="1"/>
        </xdr:cNvSpPr>
      </xdr:nvSpPr>
      <xdr:spPr bwMode="auto">
        <a:xfrm>
          <a:off x="0" y="862260150"/>
          <a:ext cx="6667500"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Förderung Fuss- und Veloverkehr, Erneuerung der Verkehrskonzepte (Abschluss Quartier-/Teilverkehrspläne, Verkehrsbericht), Tram Region Bern/Eigerplatz, Zukunft Bahnhof Bern, Sanierung Nordring/Thunstrasse.</a:t>
          </a:r>
        </a:p>
      </xdr:txBody>
    </xdr:sp>
    <xdr:clientData/>
  </xdr:twoCellAnchor>
  <xdr:twoCellAnchor>
    <xdr:from>
      <xdr:col>0</xdr:col>
      <xdr:colOff>0</xdr:colOff>
      <xdr:row>6166</xdr:row>
      <xdr:rowOff>0</xdr:rowOff>
    </xdr:from>
    <xdr:to>
      <xdr:col>8</xdr:col>
      <xdr:colOff>0</xdr:colOff>
      <xdr:row>6168</xdr:row>
      <xdr:rowOff>97784</xdr:rowOff>
    </xdr:to>
    <xdr:sp macro="" textlink="">
      <xdr:nvSpPr>
        <xdr:cNvPr id="413" name="Text Box 10"/>
        <xdr:cNvSpPr txBox="1">
          <a:spLocks noChangeArrowheads="1"/>
        </xdr:cNvSpPr>
      </xdr:nvSpPr>
      <xdr:spPr bwMode="auto">
        <a:xfrm>
          <a:off x="0" y="858954975"/>
          <a:ext cx="6667500" cy="259709"/>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lvl="0" indent="0" defTabSz="914400" rtl="0" eaLnBrk="1" fontAlgn="auto" latinLnBrk="0" hangingPunct="1">
            <a:lnSpc>
              <a:spcPct val="100000"/>
            </a:lnSpc>
            <a:spcBef>
              <a:spcPts val="0"/>
            </a:spcBef>
            <a:spcAft>
              <a:spcPts val="0"/>
            </a:spcAft>
            <a:buClrTx/>
            <a:buSzTx/>
            <a:buFontTx/>
            <a:buNone/>
            <a:tabLst/>
            <a:defRPr/>
          </a:pPr>
          <a:r>
            <a:rPr kumimoji="0" lang="de-CH" sz="8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Verwaltung, politische Behörden, Bund, Kanton, Quartierorganisationen und Interessenvertretungen, Medien, Bauherren, Ingenieur- und Planungsfirmen, Bauunternehmungen, Bürgerinnen und Bürger.</a:t>
          </a:r>
        </a:p>
      </xdr:txBody>
    </xdr:sp>
    <xdr:clientData/>
  </xdr:twoCellAnchor>
  <xdr:twoCellAnchor>
    <xdr:from>
      <xdr:col>0</xdr:col>
      <xdr:colOff>0</xdr:colOff>
      <xdr:row>6134</xdr:row>
      <xdr:rowOff>0</xdr:rowOff>
    </xdr:from>
    <xdr:to>
      <xdr:col>8</xdr:col>
      <xdr:colOff>0</xdr:colOff>
      <xdr:row>6138</xdr:row>
      <xdr:rowOff>0</xdr:rowOff>
    </xdr:to>
    <xdr:sp macro="" textlink="">
      <xdr:nvSpPr>
        <xdr:cNvPr id="414" name="Text Box 11"/>
        <xdr:cNvSpPr txBox="1">
          <a:spLocks noChangeArrowheads="1"/>
        </xdr:cNvSpPr>
      </xdr:nvSpPr>
      <xdr:spPr bwMode="auto">
        <a:xfrm>
          <a:off x="0" y="854182950"/>
          <a:ext cx="6657975" cy="4381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800" b="0" i="0" u="none" strike="noStrike" kern="0" cap="none" spc="0" normalizeH="0" baseline="0" noProof="0">
              <a:ln>
                <a:noFill/>
              </a:ln>
              <a:solidFill>
                <a:srgbClr val="000000"/>
              </a:solidFill>
              <a:effectLst/>
              <a:uLnTx/>
              <a:uFillTx/>
              <a:latin typeface="Arial"/>
              <a:ea typeface="+mn-ea"/>
              <a:cs typeface="Arial"/>
            </a:rPr>
            <a:t>1. Bern ist eine wachsende Stadt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800" b="0" i="0" u="none" strike="noStrike" kern="0" cap="none" spc="0" normalizeH="0" baseline="0" noProof="0">
              <a:ln>
                <a:noFill/>
              </a:ln>
              <a:solidFill>
                <a:srgbClr val="000000"/>
              </a:solidFill>
              <a:effectLst/>
              <a:uLnTx/>
              <a:uFillTx/>
              <a:latin typeface="Arial"/>
              <a:ea typeface="+mn-ea"/>
              <a:cs typeface="Arial"/>
            </a:rPr>
            <a:t>3. Bern ist eine ökologische Stadt: Massnahmen zu den Produkten Verkehrskonzepte (Überprüfung STEK 95), Vorprojekte Verkehrsanlagen (z.B. Zukunft Bahnhof Bern, 20 neue Begegnungszonen) und Förderung Fuss- und Veloverkehr (z.B.Velostation Schanzenstrasse in Bau).</a:t>
          </a:r>
        </a:p>
      </xdr:txBody>
    </xdr:sp>
    <xdr:clientData/>
  </xdr:twoCellAnchor>
  <xdr:twoCellAnchor>
    <xdr:from>
      <xdr:col>0</xdr:col>
      <xdr:colOff>0</xdr:colOff>
      <xdr:row>6218</xdr:row>
      <xdr:rowOff>0</xdr:rowOff>
    </xdr:from>
    <xdr:to>
      <xdr:col>8</xdr:col>
      <xdr:colOff>0</xdr:colOff>
      <xdr:row>6222</xdr:row>
      <xdr:rowOff>0</xdr:rowOff>
    </xdr:to>
    <xdr:sp macro="" textlink="">
      <xdr:nvSpPr>
        <xdr:cNvPr id="415" name="Text Box 6"/>
        <xdr:cNvSpPr txBox="1">
          <a:spLocks noChangeArrowheads="1"/>
        </xdr:cNvSpPr>
      </xdr:nvSpPr>
      <xdr:spPr bwMode="auto">
        <a:xfrm>
          <a:off x="0" y="866232075"/>
          <a:ext cx="6667500" cy="5715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Die Massnahmen aus der strategischen Aufgabenüberprüfung 2012-2014 über Total Fr. 22'500.00 können eingehaltenwerden (Einsparungen beim Büromaterial, Honorare Dritte, Portogebühren, Mobiliar).</a:t>
          </a:r>
        </a:p>
      </xdr:txBody>
    </xdr:sp>
    <xdr:clientData/>
  </xdr:twoCellAnchor>
  <xdr:twoCellAnchor>
    <xdr:from>
      <xdr:col>0</xdr:col>
      <xdr:colOff>0</xdr:colOff>
      <xdr:row>6224</xdr:row>
      <xdr:rowOff>0</xdr:rowOff>
    </xdr:from>
    <xdr:to>
      <xdr:col>8</xdr:col>
      <xdr:colOff>0</xdr:colOff>
      <xdr:row>6229</xdr:row>
      <xdr:rowOff>19050</xdr:rowOff>
    </xdr:to>
    <xdr:sp macro="" textlink="">
      <xdr:nvSpPr>
        <xdr:cNvPr id="416" name="Text Box 7"/>
        <xdr:cNvSpPr txBox="1">
          <a:spLocks noChangeArrowheads="1"/>
        </xdr:cNvSpPr>
      </xdr:nvSpPr>
      <xdr:spPr bwMode="auto">
        <a:xfrm>
          <a:off x="0" y="867060750"/>
          <a:ext cx="6667500" cy="733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6255</xdr:row>
      <xdr:rowOff>0</xdr:rowOff>
    </xdr:from>
    <xdr:to>
      <xdr:col>8</xdr:col>
      <xdr:colOff>0</xdr:colOff>
      <xdr:row>6258</xdr:row>
      <xdr:rowOff>0</xdr:rowOff>
    </xdr:to>
    <xdr:sp macro="" textlink="">
      <xdr:nvSpPr>
        <xdr:cNvPr id="417" name="Text Box 9"/>
        <xdr:cNvSpPr txBox="1">
          <a:spLocks noChangeArrowheads="1"/>
        </xdr:cNvSpPr>
      </xdr:nvSpPr>
      <xdr:spPr bwMode="auto">
        <a:xfrm>
          <a:off x="0" y="871461300"/>
          <a:ext cx="6667500"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0</xdr:colOff>
      <xdr:row>6231</xdr:row>
      <xdr:rowOff>0</xdr:rowOff>
    </xdr:from>
    <xdr:to>
      <xdr:col>8</xdr:col>
      <xdr:colOff>0</xdr:colOff>
      <xdr:row>6233</xdr:row>
      <xdr:rowOff>0</xdr:rowOff>
    </xdr:to>
    <xdr:sp macro="" textlink="">
      <xdr:nvSpPr>
        <xdr:cNvPr id="418" name="Text Box 10"/>
        <xdr:cNvSpPr txBox="1">
          <a:spLocks noChangeArrowheads="1"/>
        </xdr:cNvSpPr>
      </xdr:nvSpPr>
      <xdr:spPr bwMode="auto">
        <a:xfrm>
          <a:off x="0" y="868032300"/>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Verwaltung direktionsintern und direktionsübergreifend, Politik (Stadtrat), Kanton, Institutionen sowie Einwohnerinnen und Einwohner der Stadt Bern</a:t>
          </a:r>
        </a:p>
      </xdr:txBody>
    </xdr:sp>
    <xdr:clientData/>
  </xdr:twoCellAnchor>
  <xdr:twoCellAnchor>
    <xdr:from>
      <xdr:col>0</xdr:col>
      <xdr:colOff>0</xdr:colOff>
      <xdr:row>6210</xdr:row>
      <xdr:rowOff>0</xdr:rowOff>
    </xdr:from>
    <xdr:to>
      <xdr:col>8</xdr:col>
      <xdr:colOff>0</xdr:colOff>
      <xdr:row>6216</xdr:row>
      <xdr:rowOff>0</xdr:rowOff>
    </xdr:to>
    <xdr:sp macro="" textlink="">
      <xdr:nvSpPr>
        <xdr:cNvPr id="419" name="Text Box 11"/>
        <xdr:cNvSpPr txBox="1">
          <a:spLocks noChangeArrowheads="1"/>
        </xdr:cNvSpPr>
      </xdr:nvSpPr>
      <xdr:spPr bwMode="auto">
        <a:xfrm>
          <a:off x="0" y="864974775"/>
          <a:ext cx="6667500" cy="8572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6286</xdr:row>
      <xdr:rowOff>0</xdr:rowOff>
    </xdr:from>
    <xdr:to>
      <xdr:col>8</xdr:col>
      <xdr:colOff>0</xdr:colOff>
      <xdr:row>6290</xdr:row>
      <xdr:rowOff>0</xdr:rowOff>
    </xdr:to>
    <xdr:sp macro="" textlink="">
      <xdr:nvSpPr>
        <xdr:cNvPr id="420" name="Text Box 6"/>
        <xdr:cNvSpPr txBox="1">
          <a:spLocks noChangeArrowheads="1"/>
        </xdr:cNvSpPr>
      </xdr:nvSpPr>
      <xdr:spPr bwMode="auto">
        <a:xfrm>
          <a:off x="0" y="875861850"/>
          <a:ext cx="6667500" cy="7524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ct val="100000"/>
            </a:lnSpc>
            <a:defRPr sz="1000"/>
          </a:pPr>
          <a:r>
            <a:rPr lang="de-CH" sz="800" b="0" i="0" u="none" strike="noStrike" baseline="0">
              <a:solidFill>
                <a:srgbClr val="000000"/>
              </a:solidFill>
              <a:latin typeface="Arial"/>
              <a:cs typeface="Arial"/>
            </a:rPr>
            <a:t>Durch fach- bzw. termingerechte und effiziente Ressourcenbewirtschaftung mit allen städtischen Direktionen werden die Beschaffungen der Stadt gesetzeskonform durchgeführt. Durch Dialog und Support wird eine einheitliche Beschaffungspraxis sichergestellt. Kompetente Beratung von externen Stellen (Energie Wasser Bern, Stadtbauten Bern, Fonds für Boden- und Wohnbaupolitik, Personalvorsorgekasse der Stadt Bern, Burgergemeinde etc.)</a:t>
          </a:r>
        </a:p>
        <a:p>
          <a:pPr algn="l" rtl="0">
            <a:lnSpc>
              <a:spcPct val="100000"/>
            </a:lnSpc>
            <a:defRPr sz="1000"/>
          </a:pPr>
          <a:r>
            <a:rPr lang="de-CH" sz="800" b="0" i="0" u="none" strike="noStrike" baseline="0">
              <a:solidFill>
                <a:srgbClr val="000000"/>
              </a:solidFill>
              <a:latin typeface="Arial"/>
              <a:cs typeface="Arial"/>
            </a:rPr>
            <a:t>Die Massnahmen aus der strategischen Aufgabenüberprüfung 2012-2014 über Total Fr. 7'500.00 können eingehalten werden (Einsparungen bei den temporären Arbeitskräften, Büromaterial, Honorare Dritte, Mobiliar).</a:t>
          </a:r>
        </a:p>
      </xdr:txBody>
    </xdr:sp>
    <xdr:clientData/>
  </xdr:twoCellAnchor>
  <xdr:twoCellAnchor>
    <xdr:from>
      <xdr:col>0</xdr:col>
      <xdr:colOff>0</xdr:colOff>
      <xdr:row>6292</xdr:row>
      <xdr:rowOff>0</xdr:rowOff>
    </xdr:from>
    <xdr:to>
      <xdr:col>8</xdr:col>
      <xdr:colOff>0</xdr:colOff>
      <xdr:row>6297</xdr:row>
      <xdr:rowOff>19050</xdr:rowOff>
    </xdr:to>
    <xdr:sp macro="" textlink="">
      <xdr:nvSpPr>
        <xdr:cNvPr id="421" name="Text Box 7"/>
        <xdr:cNvSpPr txBox="1">
          <a:spLocks noChangeArrowheads="1"/>
        </xdr:cNvSpPr>
      </xdr:nvSpPr>
      <xdr:spPr bwMode="auto">
        <a:xfrm>
          <a:off x="0" y="876871500"/>
          <a:ext cx="6667500" cy="8572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indent="0" algn="l" rtl="0">
            <a:defRPr sz="1000"/>
          </a:pPr>
          <a:r>
            <a:rPr lang="de-CH" sz="800" b="0" i="0" u="none" strike="noStrike" baseline="0">
              <a:solidFill>
                <a:srgbClr val="000000"/>
              </a:solidFill>
              <a:latin typeface="Arial"/>
              <a:ea typeface="+mn-ea"/>
              <a:cs typeface="Arial"/>
            </a:rPr>
            <a:t>Zur Bewältigung der laufend ansteigenden Geschäftslast der FaBe wurden durch die Direktorin FPI 50 zusätzliche Stellenprozente bewilligt. Die Stellenprozente wurden von der STV an die FaBe übertragen. Die zusätzlich anfallenden Lohnkosten sind im IAFP 2013-2016 enthalten. Infolge Erfüllung Motion Imhof muss ab 2012 mit ca. Fr. 15'000.00 geringeren Einnahmen bei den Einladungsverfahren gerechnet werden, da diese nicht mehr verrechenbar sind. Laut Entscheid des Kantons Bern werden ab 2012 keine Ausschreibungen mehr im Amtsblatt des Kantons Bern publiziert. Die entsprechenden Minderaufwendungen und geringeren Erlöse sind im IAFP berücksichtigt. Durch die Rückführung der StaBe in die Stadtverwaltung können ab 2014 die Aufwendungen der FaBe für die StaBe im Umfang von Fr. 80'000.00 nicht mehr in Rechnung gestellt werden.</a:t>
          </a:r>
        </a:p>
      </xdr:txBody>
    </xdr:sp>
    <xdr:clientData/>
  </xdr:twoCellAnchor>
  <xdr:twoCellAnchor>
    <xdr:from>
      <xdr:col>0</xdr:col>
      <xdr:colOff>0</xdr:colOff>
      <xdr:row>6324</xdr:row>
      <xdr:rowOff>0</xdr:rowOff>
    </xdr:from>
    <xdr:to>
      <xdr:col>8</xdr:col>
      <xdr:colOff>0</xdr:colOff>
      <xdr:row>6327</xdr:row>
      <xdr:rowOff>0</xdr:rowOff>
    </xdr:to>
    <xdr:sp macro="" textlink="">
      <xdr:nvSpPr>
        <xdr:cNvPr id="422" name="Text Box 9"/>
        <xdr:cNvSpPr txBox="1">
          <a:spLocks noChangeArrowheads="1"/>
        </xdr:cNvSpPr>
      </xdr:nvSpPr>
      <xdr:spPr bwMode="auto">
        <a:xfrm>
          <a:off x="0" y="881538750"/>
          <a:ext cx="6667500"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0</xdr:colOff>
      <xdr:row>6299</xdr:row>
      <xdr:rowOff>0</xdr:rowOff>
    </xdr:from>
    <xdr:to>
      <xdr:col>8</xdr:col>
      <xdr:colOff>0</xdr:colOff>
      <xdr:row>6302</xdr:row>
      <xdr:rowOff>11501</xdr:rowOff>
    </xdr:to>
    <xdr:sp macro="" textlink="">
      <xdr:nvSpPr>
        <xdr:cNvPr id="423" name="Text Box 10"/>
        <xdr:cNvSpPr txBox="1">
          <a:spLocks noChangeArrowheads="1"/>
        </xdr:cNvSpPr>
      </xdr:nvSpPr>
      <xdr:spPr bwMode="auto">
        <a:xfrm>
          <a:off x="0" y="877966875"/>
          <a:ext cx="6667500" cy="440126"/>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Alle städtischen Direktionen und der Fonds für Boden- und Wohnbaupolitik sowie die öffentlich rechtlichen Anstalten der Stadt Bern (Energie Wasser Bern, Stadtbauten Bern, Personalvorsorgekasse der Stadt Bern), Burgergemeinde Bern, Regionalkonferenz Bern, Gemeinden Region Bern, paritätische Berufskommission, Unternehmungen usw.</a:t>
          </a:r>
        </a:p>
      </xdr:txBody>
    </xdr:sp>
    <xdr:clientData/>
  </xdr:twoCellAnchor>
  <xdr:twoCellAnchor>
    <xdr:from>
      <xdr:col>0</xdr:col>
      <xdr:colOff>0</xdr:colOff>
      <xdr:row>6278</xdr:row>
      <xdr:rowOff>0</xdr:rowOff>
    </xdr:from>
    <xdr:to>
      <xdr:col>8</xdr:col>
      <xdr:colOff>0</xdr:colOff>
      <xdr:row>6284</xdr:row>
      <xdr:rowOff>0</xdr:rowOff>
    </xdr:to>
    <xdr:sp macro="" textlink="">
      <xdr:nvSpPr>
        <xdr:cNvPr id="424" name="Text Box 11"/>
        <xdr:cNvSpPr txBox="1">
          <a:spLocks noChangeArrowheads="1"/>
        </xdr:cNvSpPr>
      </xdr:nvSpPr>
      <xdr:spPr bwMode="auto">
        <a:xfrm>
          <a:off x="0" y="874604550"/>
          <a:ext cx="6667500" cy="8572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endParaRPr lang="de-CH" sz="800" b="0" i="0" u="none" strike="noStrike" baseline="0">
            <a:solidFill>
              <a:srgbClr val="000000"/>
            </a:solidFill>
            <a:latin typeface="Arial"/>
            <a:cs typeface="Arial"/>
          </a:endParaRPr>
        </a:p>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6358</xdr:row>
      <xdr:rowOff>0</xdr:rowOff>
    </xdr:from>
    <xdr:to>
      <xdr:col>8</xdr:col>
      <xdr:colOff>0</xdr:colOff>
      <xdr:row>6362</xdr:row>
      <xdr:rowOff>76200</xdr:rowOff>
    </xdr:to>
    <xdr:sp macro="" textlink="">
      <xdr:nvSpPr>
        <xdr:cNvPr id="425" name="Text Box 6"/>
        <xdr:cNvSpPr txBox="1">
          <a:spLocks noChangeArrowheads="1"/>
        </xdr:cNvSpPr>
      </xdr:nvSpPr>
      <xdr:spPr bwMode="auto">
        <a:xfrm>
          <a:off x="0" y="886367925"/>
          <a:ext cx="6667500" cy="6477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Es ist geplant, die gesamtschweizerisch weiterentwickelte Rechnungslegung (HRM2) in den Gemeinden des Kantons Bern ab 2016 umzusetzen, was einen Anpassungsaufwand verursachen wird. Dabei ist die Stadt Bern als Testgemeinde vorgesehen, wodurch die Umstellung auf HRM2 bereits per 1.1.2014 erfolgen würde.</a:t>
          </a:r>
        </a:p>
        <a:p>
          <a:pPr algn="l" rtl="0">
            <a:defRPr sz="1000"/>
          </a:pPr>
          <a:r>
            <a:rPr kumimoji="0" lang="de-CH" sz="800" b="0" i="0" u="none" strike="noStrike" kern="0" cap="none" spc="0" normalizeH="0" baseline="0" noProof="0">
              <a:ln>
                <a:noFill/>
              </a:ln>
              <a:solidFill>
                <a:srgbClr val="000000"/>
              </a:solidFill>
              <a:effectLst/>
              <a:uLnTx/>
              <a:uFillTx/>
              <a:latin typeface="Arial"/>
              <a:ea typeface="+mn-ea"/>
              <a:cs typeface="Arial"/>
            </a:rPr>
            <a:t>Die Massnahme aus der Portfolio-Analyse von Fr. 45'000.-- im Produkt Finanzwesen FPI wird mittels erfolgter Reorganisation des Direktionsfinanzdienstes  ab 2012 eingehalten.</a:t>
          </a:r>
          <a:endParaRPr lang="de-CH" sz="800" b="0" i="0" u="none" strike="noStrike" baseline="0">
            <a:solidFill>
              <a:srgbClr val="000000"/>
            </a:solidFill>
            <a:latin typeface="Arial"/>
            <a:cs typeface="Arial"/>
          </a:endParaRPr>
        </a:p>
      </xdr:txBody>
    </xdr:sp>
    <xdr:clientData/>
  </xdr:twoCellAnchor>
  <xdr:twoCellAnchor>
    <xdr:from>
      <xdr:col>0</xdr:col>
      <xdr:colOff>0</xdr:colOff>
      <xdr:row>6364</xdr:row>
      <xdr:rowOff>0</xdr:rowOff>
    </xdr:from>
    <xdr:to>
      <xdr:col>8</xdr:col>
      <xdr:colOff>0</xdr:colOff>
      <xdr:row>6368</xdr:row>
      <xdr:rowOff>116232</xdr:rowOff>
    </xdr:to>
    <xdr:sp macro="" textlink="">
      <xdr:nvSpPr>
        <xdr:cNvPr id="426" name="Text Box 7"/>
        <xdr:cNvSpPr txBox="1">
          <a:spLocks noChangeArrowheads="1"/>
        </xdr:cNvSpPr>
      </xdr:nvSpPr>
      <xdr:spPr bwMode="auto">
        <a:xfrm>
          <a:off x="0" y="887196600"/>
          <a:ext cx="6667500" cy="687732"/>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Im Voranschlag 2012 ist ein einmaliger Aufwand zur Einführung eines Risikomanagements eingestellt, welcher ab 2013 teilweise und ab 2014 vollumfänglich wegfällt.</a:t>
          </a:r>
        </a:p>
      </xdr:txBody>
    </xdr:sp>
    <xdr:clientData/>
  </xdr:twoCellAnchor>
  <xdr:twoCellAnchor>
    <xdr:from>
      <xdr:col>0</xdr:col>
      <xdr:colOff>0</xdr:colOff>
      <xdr:row>6395</xdr:row>
      <xdr:rowOff>0</xdr:rowOff>
    </xdr:from>
    <xdr:to>
      <xdr:col>8</xdr:col>
      <xdr:colOff>0</xdr:colOff>
      <xdr:row>6398</xdr:row>
      <xdr:rowOff>0</xdr:rowOff>
    </xdr:to>
    <xdr:sp macro="" textlink="">
      <xdr:nvSpPr>
        <xdr:cNvPr id="427" name="Text Box 9"/>
        <xdr:cNvSpPr txBox="1">
          <a:spLocks noChangeArrowheads="1"/>
        </xdr:cNvSpPr>
      </xdr:nvSpPr>
      <xdr:spPr bwMode="auto">
        <a:xfrm>
          <a:off x="0" y="891597150"/>
          <a:ext cx="6667500"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1" i="0" u="none" strike="noStrike" baseline="0">
              <a:solidFill>
                <a:srgbClr val="000000"/>
              </a:solidFill>
              <a:latin typeface="Arial"/>
              <a:cs typeface="Arial"/>
            </a:rPr>
            <a:t>keine</a:t>
          </a:r>
        </a:p>
      </xdr:txBody>
    </xdr:sp>
    <xdr:clientData/>
  </xdr:twoCellAnchor>
  <xdr:twoCellAnchor>
    <xdr:from>
      <xdr:col>0</xdr:col>
      <xdr:colOff>0</xdr:colOff>
      <xdr:row>6371</xdr:row>
      <xdr:rowOff>0</xdr:rowOff>
    </xdr:from>
    <xdr:to>
      <xdr:col>8</xdr:col>
      <xdr:colOff>0</xdr:colOff>
      <xdr:row>6373</xdr:row>
      <xdr:rowOff>0</xdr:rowOff>
    </xdr:to>
    <xdr:sp macro="" textlink="">
      <xdr:nvSpPr>
        <xdr:cNvPr id="428" name="Text Box 10"/>
        <xdr:cNvSpPr txBox="1">
          <a:spLocks noChangeArrowheads="1"/>
        </xdr:cNvSpPr>
      </xdr:nvSpPr>
      <xdr:spPr bwMode="auto">
        <a:xfrm>
          <a:off x="0" y="888168150"/>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Die Finanzverwaltung ist Dienstleisterin für die gesamte Stadtverwaltung. Sie erfüllt dabei vom Kanton Bern gesetzlich vorgeschriebene Aufgaben.</a:t>
          </a:r>
        </a:p>
        <a:p>
          <a:pPr algn="l" rtl="0">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6350</xdr:row>
      <xdr:rowOff>0</xdr:rowOff>
    </xdr:from>
    <xdr:to>
      <xdr:col>8</xdr:col>
      <xdr:colOff>0</xdr:colOff>
      <xdr:row>6356</xdr:row>
      <xdr:rowOff>0</xdr:rowOff>
    </xdr:to>
    <xdr:sp macro="" textlink="">
      <xdr:nvSpPr>
        <xdr:cNvPr id="429" name="Text Box 11"/>
        <xdr:cNvSpPr txBox="1">
          <a:spLocks noChangeArrowheads="1"/>
        </xdr:cNvSpPr>
      </xdr:nvSpPr>
      <xdr:spPr bwMode="auto">
        <a:xfrm>
          <a:off x="0" y="885110625"/>
          <a:ext cx="6667500" cy="8572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Legislaturziel 1.1, Massnahme 2: Die Stadt Bern verfügt über einen ausgeglichenen Haushalt. Betroffen ist insbesondere das Produkt 610110 (gezielte Einnahmen- und Ausgabensteuerung, vollständig selbstfinanzierte Investitionen, FILAG 2012)</a:t>
          </a:r>
        </a:p>
      </xdr:txBody>
    </xdr:sp>
    <xdr:clientData/>
  </xdr:twoCellAnchor>
  <xdr:twoCellAnchor>
    <xdr:from>
      <xdr:col>0</xdr:col>
      <xdr:colOff>0</xdr:colOff>
      <xdr:row>6424</xdr:row>
      <xdr:rowOff>0</xdr:rowOff>
    </xdr:from>
    <xdr:to>
      <xdr:col>8</xdr:col>
      <xdr:colOff>0</xdr:colOff>
      <xdr:row>6428</xdr:row>
      <xdr:rowOff>66675</xdr:rowOff>
    </xdr:to>
    <xdr:sp macro="" textlink="">
      <xdr:nvSpPr>
        <xdr:cNvPr id="430" name="Text Box 6"/>
        <xdr:cNvSpPr txBox="1">
          <a:spLocks noChangeArrowheads="1"/>
        </xdr:cNvSpPr>
      </xdr:nvSpPr>
      <xdr:spPr bwMode="auto">
        <a:xfrm>
          <a:off x="0" y="895226175"/>
          <a:ext cx="6667500" cy="6381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Diese Produktegruppe wird von den Entwicklungen am Geld- und Kapitalmarkt beeinflusst; es muss mit steigenden Zinssätzen gerechnet werden, nachdem bis 2011 historisch tiefe Zinsniveaus erreicht worden sind.</a:t>
          </a:r>
        </a:p>
        <a:p>
          <a:pPr algn="l" rtl="0">
            <a:defRPr sz="1000"/>
          </a:pPr>
          <a:r>
            <a:rPr lang="de-CH" sz="800" b="0" i="0" u="none" strike="noStrike" baseline="0">
              <a:solidFill>
                <a:srgbClr val="000000"/>
              </a:solidFill>
              <a:latin typeface="Arial"/>
              <a:cs typeface="Arial"/>
            </a:rPr>
            <a:t>Die Massnahme aus der Portfolio-Analyse für das P610210 von Fr. 60'000.-- wird mit der Rationalisierung der Vermögens- und Schuldenbewirtschaftung ab 2012 umgesetzt. Die aus gleicher Analyse vorgesehenen Einsparungen bei den Nettozinsen, P610220, von Fr. 1'425'000.-- können ebenfalls bereits ab 2012 eingehalten werden.</a:t>
          </a:r>
        </a:p>
      </xdr:txBody>
    </xdr:sp>
    <xdr:clientData/>
  </xdr:twoCellAnchor>
  <xdr:twoCellAnchor>
    <xdr:from>
      <xdr:col>0</xdr:col>
      <xdr:colOff>0</xdr:colOff>
      <xdr:row>6430</xdr:row>
      <xdr:rowOff>0</xdr:rowOff>
    </xdr:from>
    <xdr:to>
      <xdr:col>8</xdr:col>
      <xdr:colOff>0</xdr:colOff>
      <xdr:row>6443</xdr:row>
      <xdr:rowOff>123824</xdr:rowOff>
    </xdr:to>
    <xdr:sp macro="" textlink="">
      <xdr:nvSpPr>
        <xdr:cNvPr id="431" name="Text Box 7"/>
        <xdr:cNvSpPr txBox="1">
          <a:spLocks noChangeArrowheads="1"/>
        </xdr:cNvSpPr>
      </xdr:nvSpPr>
      <xdr:spPr bwMode="auto">
        <a:xfrm>
          <a:off x="0" y="896083425"/>
          <a:ext cx="6667500" cy="1981199"/>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Bei den Passivzinsen für mittel- und langfristige Schulden des steuerfinanzierten Haushalts werden dank der im 2011 erfolgten Anleihensrückzahlungen von 200 Mio. Franken die Zinskosten nachhaltig gesenkt. Im 2012 werden zwei Darlehen von je 50 Mio. Franken (davon werden nur 50 Mio. refinanziert), im 2014 ein Darlehen von 70 Mio. Franken und im 2016 eine Anleihe von 200 Mio. Franken zur Refinanzierung fällig (kalkulierte Refinanzierungszinssätze: 2013 = 2.20%, 2014 = 2.40%, 2015 = 2.50%, 2016 = 2.60%).</a:t>
          </a:r>
        </a:p>
        <a:p>
          <a:pPr algn="l" rtl="0">
            <a:defRPr sz="1000"/>
          </a:pPr>
          <a:endParaRPr lang="de-CH" sz="800" b="0" i="0" u="none" strike="noStrike" baseline="0">
            <a:solidFill>
              <a:srgbClr val="000000"/>
            </a:solidFill>
            <a:latin typeface="Arial"/>
            <a:cs typeface="Arial"/>
          </a:endParaRPr>
        </a:p>
        <a:p>
          <a:pPr algn="l" rtl="0">
            <a:defRPr sz="1000"/>
          </a:pPr>
          <a:r>
            <a:rPr lang="de-CH" sz="800" b="0" i="0" u="none" strike="noStrike" baseline="0">
              <a:solidFill>
                <a:srgbClr val="000000"/>
              </a:solidFill>
              <a:latin typeface="Arial"/>
              <a:cs typeface="Arial"/>
            </a:rPr>
            <a:t>Die steigenden Zinsaufwände der Anstalten/Sonderrechnungen werden der Finanzverwaltung vollumfänglich abgegolten. </a:t>
          </a:r>
        </a:p>
        <a:p>
          <a:pPr algn="l" rtl="0">
            <a:defRPr sz="1000"/>
          </a:pPr>
          <a:endParaRPr lang="de-CH" sz="800" b="0" i="0" u="none" strike="noStrike" baseline="0">
            <a:solidFill>
              <a:srgbClr val="000000"/>
            </a:solidFill>
            <a:latin typeface="Arial"/>
            <a:cs typeface="Arial"/>
          </a:endParaRPr>
        </a:p>
        <a:p>
          <a:pPr algn="l" rtl="0">
            <a:defRPr sz="1000"/>
          </a:pPr>
          <a:r>
            <a:rPr lang="de-CH" sz="800" b="0" i="0" u="none" strike="noStrike" baseline="0">
              <a:solidFill>
                <a:srgbClr val="000000"/>
              </a:solidFill>
              <a:latin typeface="Arial"/>
              <a:cs typeface="Arial"/>
            </a:rPr>
            <a:t>Der ursprünglich für 2012 vorgesehene und budgetierte, ausserordentliche Erlös von rund 2,2 Mio. Franken aus der Übertragung des Baurechts Areal Tramdepot Burgernziel  wird erst im 2014 realisiert.</a:t>
          </a:r>
        </a:p>
        <a:p>
          <a:pPr algn="l" rtl="0">
            <a:defRPr sz="1000"/>
          </a:pPr>
          <a:endParaRPr lang="de-CH" sz="800" b="0" i="0" u="none" strike="noStrike" baseline="0">
            <a:solidFill>
              <a:srgbClr val="000000"/>
            </a:solidFill>
            <a:latin typeface="Arial"/>
            <a:cs typeface="Arial"/>
          </a:endParaRPr>
        </a:p>
        <a:p>
          <a:pPr algn="l" rtl="0">
            <a:defRPr sz="1000"/>
          </a:pPr>
          <a:r>
            <a:rPr lang="de-CH" sz="800" b="0" i="0" u="none" strike="noStrike" baseline="0">
              <a:solidFill>
                <a:srgbClr val="000000"/>
              </a:solidFill>
              <a:latin typeface="Arial"/>
              <a:cs typeface="Arial"/>
            </a:rPr>
            <a:t>Der Zins Dotationskapital Fonds wurde mit 6 % berücksichtigt (bisher 5 %).</a:t>
          </a:r>
        </a:p>
        <a:p>
          <a:pPr algn="l" rtl="0">
            <a:defRPr sz="1000"/>
          </a:pPr>
          <a:endParaRPr lang="de-CH" sz="800" b="0" i="0" u="none" strike="noStrike" baseline="0">
            <a:solidFill>
              <a:srgbClr val="000000"/>
            </a:solidFill>
            <a:latin typeface="Arial"/>
            <a:cs typeface="Arial"/>
          </a:endParaRPr>
        </a:p>
        <a:p>
          <a:pPr algn="l" rtl="0">
            <a:defRPr sz="1000"/>
          </a:pPr>
          <a:r>
            <a:rPr lang="de-CH" sz="800" b="0" i="0" u="none" strike="noStrike" baseline="0">
              <a:solidFill>
                <a:srgbClr val="000000"/>
              </a:solidFill>
              <a:latin typeface="Arial"/>
              <a:cs typeface="Arial"/>
            </a:rPr>
            <a:t>Die bestehende Rückstellung betreffend Ausgliederung ewb von 80 Mio. Franken kann mit den neuen Rechnungslegungsvorschriften HRM2 innerhalb von 25 Jahren aufgelöst werden. Die Rückstellungsauflösung von 3,2 Mio. Franken ist im Vermögensertrag ab 2014 enthalten.</a:t>
          </a:r>
        </a:p>
        <a:p>
          <a:pPr algn="l" rtl="0">
            <a:defRPr sz="1000"/>
          </a:pPr>
          <a:endParaRPr lang="de-CH" sz="800" b="0" i="0" u="none" strike="noStrike" baseline="0">
            <a:solidFill>
              <a:srgbClr val="000000"/>
            </a:solidFill>
            <a:latin typeface="Arial"/>
            <a:cs typeface="Arial"/>
          </a:endParaRPr>
        </a:p>
        <a:p>
          <a:pPr algn="l" rtl="0">
            <a:defRPr sz="1000"/>
          </a:pPr>
          <a:endParaRPr lang="de-CH" sz="800" b="0" i="0" u="none" strike="noStrike" baseline="0">
            <a:solidFill>
              <a:srgbClr val="000000"/>
            </a:solidFill>
            <a:latin typeface="Arial"/>
            <a:cs typeface="Arial"/>
          </a:endParaRPr>
        </a:p>
        <a:p>
          <a:pPr algn="l" rtl="0">
            <a:lnSpc>
              <a:spcPts val="700"/>
            </a:lnSpc>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6470</xdr:row>
      <xdr:rowOff>0</xdr:rowOff>
    </xdr:from>
    <xdr:to>
      <xdr:col>8</xdr:col>
      <xdr:colOff>0</xdr:colOff>
      <xdr:row>6473</xdr:row>
      <xdr:rowOff>0</xdr:rowOff>
    </xdr:to>
    <xdr:sp macro="" textlink="">
      <xdr:nvSpPr>
        <xdr:cNvPr id="432" name="Text Box 9"/>
        <xdr:cNvSpPr txBox="1">
          <a:spLocks noChangeArrowheads="1"/>
        </xdr:cNvSpPr>
      </xdr:nvSpPr>
      <xdr:spPr bwMode="auto">
        <a:xfrm>
          <a:off x="0" y="901750800"/>
          <a:ext cx="6667500"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Im ganzen Planungszeitraum fallen keine Emissionsspesen für Anleihensaufnahmen an.</a:t>
          </a:r>
        </a:p>
      </xdr:txBody>
    </xdr:sp>
    <xdr:clientData/>
  </xdr:twoCellAnchor>
  <xdr:twoCellAnchor>
    <xdr:from>
      <xdr:col>0</xdr:col>
      <xdr:colOff>0</xdr:colOff>
      <xdr:row>6446</xdr:row>
      <xdr:rowOff>0</xdr:rowOff>
    </xdr:from>
    <xdr:to>
      <xdr:col>8</xdr:col>
      <xdr:colOff>0</xdr:colOff>
      <xdr:row>6448</xdr:row>
      <xdr:rowOff>0</xdr:rowOff>
    </xdr:to>
    <xdr:sp macro="" textlink="">
      <xdr:nvSpPr>
        <xdr:cNvPr id="433" name="Text Box 10"/>
        <xdr:cNvSpPr txBox="1">
          <a:spLocks noChangeArrowheads="1"/>
        </xdr:cNvSpPr>
      </xdr:nvSpPr>
      <xdr:spPr bwMode="auto">
        <a:xfrm>
          <a:off x="0" y="898321800"/>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Ansprechgruppen sind Banken und institutionelle Anlegerinnen und Anleger, PostFinance und Versicherungen sowie verschiedene Broker (Wettbewerb).</a:t>
          </a:r>
        </a:p>
      </xdr:txBody>
    </xdr:sp>
    <xdr:clientData/>
  </xdr:twoCellAnchor>
  <xdr:twoCellAnchor>
    <xdr:from>
      <xdr:col>0</xdr:col>
      <xdr:colOff>0</xdr:colOff>
      <xdr:row>6418</xdr:row>
      <xdr:rowOff>0</xdr:rowOff>
    </xdr:from>
    <xdr:to>
      <xdr:col>8</xdr:col>
      <xdr:colOff>0</xdr:colOff>
      <xdr:row>6419</xdr:row>
      <xdr:rowOff>127666</xdr:rowOff>
    </xdr:to>
    <xdr:sp macro="" textlink="">
      <xdr:nvSpPr>
        <xdr:cNvPr id="434" name="Text Box 11"/>
        <xdr:cNvSpPr txBox="1">
          <a:spLocks noChangeArrowheads="1"/>
        </xdr:cNvSpPr>
      </xdr:nvSpPr>
      <xdr:spPr bwMode="auto">
        <a:xfrm>
          <a:off x="0" y="894464175"/>
          <a:ext cx="6667500" cy="27054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6500</xdr:row>
      <xdr:rowOff>0</xdr:rowOff>
    </xdr:from>
    <xdr:to>
      <xdr:col>8</xdr:col>
      <xdr:colOff>0</xdr:colOff>
      <xdr:row>6510</xdr:row>
      <xdr:rowOff>0</xdr:rowOff>
    </xdr:to>
    <xdr:sp macro="" textlink="">
      <xdr:nvSpPr>
        <xdr:cNvPr id="435" name="Text Box 6"/>
        <xdr:cNvSpPr txBox="1">
          <a:spLocks noChangeArrowheads="1"/>
        </xdr:cNvSpPr>
      </xdr:nvSpPr>
      <xdr:spPr bwMode="auto">
        <a:xfrm>
          <a:off x="0" y="905960850"/>
          <a:ext cx="6667500" cy="1428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Der altrechtliche Bilanzfehlbetrag wurde im Geschäftsjahr 2010 vollständig getilgt und fällt ab 2011 weg.</a:t>
          </a:r>
        </a:p>
        <a:p>
          <a:pPr algn="l" rtl="0">
            <a:defRPr sz="1000"/>
          </a:pPr>
          <a:endParaRPr lang="de-CH" sz="800" b="0" i="0" u="none" strike="noStrike" baseline="0">
            <a:solidFill>
              <a:srgbClr val="000000"/>
            </a:solidFill>
            <a:latin typeface="Arial"/>
            <a:cs typeface="Arial"/>
          </a:endParaRPr>
        </a:p>
        <a:p>
          <a:pPr algn="l" rtl="0">
            <a:defRPr sz="1000"/>
          </a:pPr>
          <a:r>
            <a:rPr lang="de-CH" sz="800" b="0" i="0" u="none" strike="noStrike" baseline="0">
              <a:solidFill>
                <a:srgbClr val="000000"/>
              </a:solidFill>
              <a:latin typeface="Arial"/>
              <a:cs typeface="Arial"/>
            </a:rPr>
            <a:t>Nach FILAG 2012 wird der städtische Beitrag an den Disparitätenabbau (direkter Finanzausgleich) voraussichtlich betragen: </a:t>
          </a:r>
        </a:p>
        <a:p>
          <a:pPr algn="l" rtl="0">
            <a:defRPr sz="1000"/>
          </a:pPr>
          <a:r>
            <a:rPr lang="de-CH" sz="800" b="0" i="0" u="none" strike="noStrike" baseline="0">
              <a:solidFill>
                <a:srgbClr val="000000"/>
              </a:solidFill>
              <a:latin typeface="Arial"/>
              <a:cs typeface="Arial"/>
            </a:rPr>
            <a:t>2013 = 43,6 Mio. Franken, 2014 = 40,4 Mio. Franken, 2015 = 37,5 Mio. Franken, 2016 = 37,6 Mio Franken.</a:t>
          </a:r>
        </a:p>
        <a:p>
          <a:pPr algn="l" rtl="0">
            <a:defRPr sz="1000"/>
          </a:pPr>
          <a:endParaRPr lang="de-CH" sz="800" b="0" i="0" u="none" strike="noStrike" baseline="0">
            <a:solidFill>
              <a:srgbClr val="000000"/>
            </a:solidFill>
            <a:latin typeface="Arial"/>
            <a:cs typeface="Arial"/>
          </a:endParaRPr>
        </a:p>
        <a:p>
          <a:pPr algn="l" rtl="0">
            <a:defRPr sz="1000"/>
          </a:pPr>
          <a:r>
            <a:rPr lang="de-CH" sz="800" b="0" i="0" u="none" strike="noStrike" baseline="0">
              <a:solidFill>
                <a:srgbClr val="000000"/>
              </a:solidFill>
              <a:latin typeface="Arial"/>
              <a:cs typeface="Arial"/>
            </a:rPr>
            <a:t>Für den neu eingeführten vertikalen Finanzausgleich sind voraussichtlich zu entrichten: 2013 = 13,1 Mio. Franken, ab 2014ff. = 13,6 Mio. Franken. </a:t>
          </a:r>
        </a:p>
        <a:p>
          <a:pPr algn="l" rtl="0">
            <a:defRPr sz="1000"/>
          </a:pPr>
          <a:endParaRPr lang="de-CH" sz="800" b="0" i="0" u="none" strike="noStrike" baseline="0">
            <a:solidFill>
              <a:srgbClr val="000000"/>
            </a:solidFill>
            <a:latin typeface="Arial"/>
            <a:cs typeface="Arial"/>
          </a:endParaRPr>
        </a:p>
        <a:p>
          <a:pPr algn="l" rtl="0">
            <a:defRPr sz="1000"/>
          </a:pPr>
          <a:r>
            <a:rPr lang="de-CH" sz="800" b="0" i="0" u="none" strike="noStrike" baseline="0">
              <a:solidFill>
                <a:srgbClr val="000000"/>
              </a:solidFill>
              <a:latin typeface="Arial"/>
              <a:cs typeface="Arial"/>
            </a:rPr>
            <a:t>Dafür beträgt die Zentrumslastenabgeltung zu Gunsten der Stadt durch den Kanton ab 2012 63,3 Mio. Franken (bisher 32,1 Mio. Franken).</a:t>
          </a:r>
        </a:p>
        <a:p>
          <a:pPr algn="l" rtl="0">
            <a:defRPr sz="1000"/>
          </a:pPr>
          <a:endParaRPr lang="de-CH" sz="800" b="0" i="0" u="none" strike="noStrike" baseline="0">
            <a:solidFill>
              <a:srgbClr val="000000"/>
            </a:solidFill>
            <a:latin typeface="Arial"/>
            <a:cs typeface="Arial"/>
          </a:endParaRPr>
        </a:p>
        <a:p>
          <a:pPr algn="l" rtl="0">
            <a:defRPr sz="1000"/>
          </a:pPr>
          <a:r>
            <a:rPr lang="de-CH" sz="800" b="0" i="0" u="none" strike="noStrike" baseline="0">
              <a:solidFill>
                <a:srgbClr val="000000"/>
              </a:solidFill>
              <a:latin typeface="Arial"/>
              <a:cs typeface="Arial"/>
            </a:rPr>
            <a:t>Diese Beiträge basieren auf den Angaben des Kantons, Basis Globalbilanz 2010 und sind noch nicht definitiv.</a:t>
          </a:r>
        </a:p>
      </xdr:txBody>
    </xdr:sp>
    <xdr:clientData/>
  </xdr:twoCellAnchor>
  <xdr:twoCellAnchor>
    <xdr:from>
      <xdr:col>0</xdr:col>
      <xdr:colOff>0</xdr:colOff>
      <xdr:row>6512</xdr:row>
      <xdr:rowOff>0</xdr:rowOff>
    </xdr:from>
    <xdr:to>
      <xdr:col>8</xdr:col>
      <xdr:colOff>0</xdr:colOff>
      <xdr:row>6515</xdr:row>
      <xdr:rowOff>19050</xdr:rowOff>
    </xdr:to>
    <xdr:sp macro="" textlink="">
      <xdr:nvSpPr>
        <xdr:cNvPr id="436" name="Text Box 7"/>
        <xdr:cNvSpPr txBox="1">
          <a:spLocks noChangeArrowheads="1"/>
        </xdr:cNvSpPr>
      </xdr:nvSpPr>
      <xdr:spPr bwMode="auto">
        <a:xfrm>
          <a:off x="0" y="907646775"/>
          <a:ext cx="6667500" cy="4476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Die Defizitgarantie an die Jugendherberge wird zwei Jahre später als ursprünglich geplant, also erst ab 2014 statt ab 2012, erfolgen.</a:t>
          </a:r>
        </a:p>
      </xdr:txBody>
    </xdr:sp>
    <xdr:clientData/>
  </xdr:twoCellAnchor>
  <xdr:twoCellAnchor>
    <xdr:from>
      <xdr:col>0</xdr:col>
      <xdr:colOff>0</xdr:colOff>
      <xdr:row>6541</xdr:row>
      <xdr:rowOff>0</xdr:rowOff>
    </xdr:from>
    <xdr:to>
      <xdr:col>8</xdr:col>
      <xdr:colOff>0</xdr:colOff>
      <xdr:row>6544</xdr:row>
      <xdr:rowOff>0</xdr:rowOff>
    </xdr:to>
    <xdr:sp macro="" textlink="">
      <xdr:nvSpPr>
        <xdr:cNvPr id="437" name="Text Box 9"/>
        <xdr:cNvSpPr txBox="1">
          <a:spLocks noChangeArrowheads="1"/>
        </xdr:cNvSpPr>
      </xdr:nvSpPr>
      <xdr:spPr bwMode="auto">
        <a:xfrm>
          <a:off x="0" y="911761575"/>
          <a:ext cx="6667500"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6517</xdr:row>
      <xdr:rowOff>0</xdr:rowOff>
    </xdr:from>
    <xdr:to>
      <xdr:col>8</xdr:col>
      <xdr:colOff>0</xdr:colOff>
      <xdr:row>6519</xdr:row>
      <xdr:rowOff>0</xdr:rowOff>
    </xdr:to>
    <xdr:sp macro="" textlink="">
      <xdr:nvSpPr>
        <xdr:cNvPr id="438" name="Text Box 10"/>
        <xdr:cNvSpPr txBox="1">
          <a:spLocks noChangeArrowheads="1"/>
        </xdr:cNvSpPr>
      </xdr:nvSpPr>
      <xdr:spPr bwMode="auto">
        <a:xfrm>
          <a:off x="0" y="908332575"/>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Kanton, private Institutionen, Kirchgemeinden, humanitäre Institutionen.</a:t>
          </a:r>
        </a:p>
      </xdr:txBody>
    </xdr:sp>
    <xdr:clientData/>
  </xdr:twoCellAnchor>
  <xdr:twoCellAnchor>
    <xdr:from>
      <xdr:col>0</xdr:col>
      <xdr:colOff>0</xdr:colOff>
      <xdr:row>6495</xdr:row>
      <xdr:rowOff>0</xdr:rowOff>
    </xdr:from>
    <xdr:to>
      <xdr:col>8</xdr:col>
      <xdr:colOff>0</xdr:colOff>
      <xdr:row>6498</xdr:row>
      <xdr:rowOff>0</xdr:rowOff>
    </xdr:to>
    <xdr:sp macro="" textlink="">
      <xdr:nvSpPr>
        <xdr:cNvPr id="439" name="Text Box 11"/>
        <xdr:cNvSpPr txBox="1">
          <a:spLocks noChangeArrowheads="1"/>
        </xdr:cNvSpPr>
      </xdr:nvSpPr>
      <xdr:spPr bwMode="auto">
        <a:xfrm>
          <a:off x="0" y="905132175"/>
          <a:ext cx="6667500"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Legislaturziel 1.1, Massnahme 2.1: Die Stadt Bern baut den Bilanzfehlbetrag bis Ende 2012 ab (betrifft Produkt 610440). Massnahme 2.4: Die Stadt stellt sicher, dass die Bedeutung und die Interessen der Städte bei der Revision des kantonalen Finanz- und Lastenausgleiches angemessen berücksichtigt werden.</a:t>
          </a:r>
        </a:p>
      </xdr:txBody>
    </xdr:sp>
    <xdr:clientData/>
  </xdr:twoCellAnchor>
  <xdr:twoCellAnchor>
    <xdr:from>
      <xdr:col>0</xdr:col>
      <xdr:colOff>0</xdr:colOff>
      <xdr:row>6571</xdr:row>
      <xdr:rowOff>0</xdr:rowOff>
    </xdr:from>
    <xdr:to>
      <xdr:col>8</xdr:col>
      <xdr:colOff>0</xdr:colOff>
      <xdr:row>6575</xdr:row>
      <xdr:rowOff>0</xdr:rowOff>
    </xdr:to>
    <xdr:sp macro="" textlink="">
      <xdr:nvSpPr>
        <xdr:cNvPr id="440" name="Text Box 6"/>
        <xdr:cNvSpPr txBox="1">
          <a:spLocks noChangeArrowheads="1"/>
        </xdr:cNvSpPr>
      </xdr:nvSpPr>
      <xdr:spPr bwMode="auto">
        <a:xfrm>
          <a:off x="0" y="916019250"/>
          <a:ext cx="6667500" cy="5715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Der Durchlaufcharakter dieser Produktegruppe bleibt bestehen. </a:t>
          </a:r>
        </a:p>
      </xdr:txBody>
    </xdr:sp>
    <xdr:clientData/>
  </xdr:twoCellAnchor>
  <xdr:twoCellAnchor>
    <xdr:from>
      <xdr:col>0</xdr:col>
      <xdr:colOff>0</xdr:colOff>
      <xdr:row>6577</xdr:row>
      <xdr:rowOff>0</xdr:rowOff>
    </xdr:from>
    <xdr:to>
      <xdr:col>8</xdr:col>
      <xdr:colOff>0</xdr:colOff>
      <xdr:row>6582</xdr:row>
      <xdr:rowOff>19050</xdr:rowOff>
    </xdr:to>
    <xdr:sp macro="" textlink="">
      <xdr:nvSpPr>
        <xdr:cNvPr id="441" name="Text Box 7"/>
        <xdr:cNvSpPr txBox="1">
          <a:spLocks noChangeArrowheads="1"/>
        </xdr:cNvSpPr>
      </xdr:nvSpPr>
      <xdr:spPr bwMode="auto">
        <a:xfrm>
          <a:off x="0" y="916847925"/>
          <a:ext cx="6667500" cy="733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Nach heutigem Wissenstand verbleiben im LiöI nur noch die Liegenschaft Glockenstrasse 3/5 und die übrigen Baurechte von BernMobil.</a:t>
          </a:r>
        </a:p>
      </xdr:txBody>
    </xdr:sp>
    <xdr:clientData/>
  </xdr:twoCellAnchor>
  <xdr:twoCellAnchor>
    <xdr:from>
      <xdr:col>0</xdr:col>
      <xdr:colOff>0</xdr:colOff>
      <xdr:row>6608</xdr:row>
      <xdr:rowOff>0</xdr:rowOff>
    </xdr:from>
    <xdr:to>
      <xdr:col>8</xdr:col>
      <xdr:colOff>0</xdr:colOff>
      <xdr:row>6611</xdr:row>
      <xdr:rowOff>0</xdr:rowOff>
    </xdr:to>
    <xdr:sp macro="" textlink="">
      <xdr:nvSpPr>
        <xdr:cNvPr id="442" name="Text Box 9"/>
        <xdr:cNvSpPr txBox="1">
          <a:spLocks noChangeArrowheads="1"/>
        </xdr:cNvSpPr>
      </xdr:nvSpPr>
      <xdr:spPr bwMode="auto">
        <a:xfrm>
          <a:off x="0" y="921248475"/>
          <a:ext cx="6667500"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Es sind keine grösseren Investitionen geplant. Überführung oder Abgabe der Liegenschaften an der  Glockenstrasse ist  seit längerem im Gespräch wurde aber in der Planung, da noch zuwenig konkret, nicht berücksichtigt.</a:t>
          </a:r>
        </a:p>
      </xdr:txBody>
    </xdr:sp>
    <xdr:clientData/>
  </xdr:twoCellAnchor>
  <xdr:twoCellAnchor>
    <xdr:from>
      <xdr:col>0</xdr:col>
      <xdr:colOff>0</xdr:colOff>
      <xdr:row>6584</xdr:row>
      <xdr:rowOff>0</xdr:rowOff>
    </xdr:from>
    <xdr:to>
      <xdr:col>8</xdr:col>
      <xdr:colOff>0</xdr:colOff>
      <xdr:row>6586</xdr:row>
      <xdr:rowOff>0</xdr:rowOff>
    </xdr:to>
    <xdr:sp macro="" textlink="">
      <xdr:nvSpPr>
        <xdr:cNvPr id="443" name="Text Box 10"/>
        <xdr:cNvSpPr txBox="1">
          <a:spLocks noChangeArrowheads="1"/>
        </xdr:cNvSpPr>
      </xdr:nvSpPr>
      <xdr:spPr bwMode="auto">
        <a:xfrm>
          <a:off x="0" y="917819475"/>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Mieterinnen und Mieter /  Handwerker / Städtische Stellen (z. B. Sozialdienst) / StaBe</a:t>
          </a:r>
        </a:p>
      </xdr:txBody>
    </xdr:sp>
    <xdr:clientData/>
  </xdr:twoCellAnchor>
  <xdr:twoCellAnchor>
    <xdr:from>
      <xdr:col>0</xdr:col>
      <xdr:colOff>0</xdr:colOff>
      <xdr:row>6563</xdr:row>
      <xdr:rowOff>0</xdr:rowOff>
    </xdr:from>
    <xdr:to>
      <xdr:col>8</xdr:col>
      <xdr:colOff>0</xdr:colOff>
      <xdr:row>6569</xdr:row>
      <xdr:rowOff>0</xdr:rowOff>
    </xdr:to>
    <xdr:sp macro="" textlink="">
      <xdr:nvSpPr>
        <xdr:cNvPr id="444" name="Text Box 11"/>
        <xdr:cNvSpPr txBox="1">
          <a:spLocks noChangeArrowheads="1"/>
        </xdr:cNvSpPr>
      </xdr:nvSpPr>
      <xdr:spPr bwMode="auto">
        <a:xfrm>
          <a:off x="0" y="914761950"/>
          <a:ext cx="6667500" cy="8572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0</xdr:colOff>
      <xdr:row>6638</xdr:row>
      <xdr:rowOff>0</xdr:rowOff>
    </xdr:from>
    <xdr:to>
      <xdr:col>8</xdr:col>
      <xdr:colOff>0</xdr:colOff>
      <xdr:row>6642</xdr:row>
      <xdr:rowOff>0</xdr:rowOff>
    </xdr:to>
    <xdr:sp macro="" textlink="">
      <xdr:nvSpPr>
        <xdr:cNvPr id="445" name="Text Box 6"/>
        <xdr:cNvSpPr txBox="1">
          <a:spLocks noChangeArrowheads="1"/>
        </xdr:cNvSpPr>
      </xdr:nvSpPr>
      <xdr:spPr bwMode="auto">
        <a:xfrm>
          <a:off x="0" y="925506150"/>
          <a:ext cx="6667500" cy="5715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Ernterisiko (z. B. Hagelschaden)</a:t>
          </a:r>
        </a:p>
      </xdr:txBody>
    </xdr:sp>
    <xdr:clientData/>
  </xdr:twoCellAnchor>
  <xdr:twoCellAnchor>
    <xdr:from>
      <xdr:col>0</xdr:col>
      <xdr:colOff>0</xdr:colOff>
      <xdr:row>6644</xdr:row>
      <xdr:rowOff>0</xdr:rowOff>
    </xdr:from>
    <xdr:to>
      <xdr:col>8</xdr:col>
      <xdr:colOff>0</xdr:colOff>
      <xdr:row>6649</xdr:row>
      <xdr:rowOff>19050</xdr:rowOff>
    </xdr:to>
    <xdr:sp macro="" textlink="">
      <xdr:nvSpPr>
        <xdr:cNvPr id="446" name="Text Box 7"/>
        <xdr:cNvSpPr txBox="1">
          <a:spLocks noChangeArrowheads="1"/>
        </xdr:cNvSpPr>
      </xdr:nvSpPr>
      <xdr:spPr bwMode="auto">
        <a:xfrm>
          <a:off x="0" y="926334825"/>
          <a:ext cx="6667500" cy="733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Fortsetzen des eingeschlagenen Weges zur Förderung der Spezialitäten. Spezielle Verkaufsförderungsmassnahmen sind in Umsetzung (z.B. neue Weinettikette für Wein von der St. Petersinsel, Besuche städtischer Restaurants, neuer Schaumwein, neue Assemblage).  Allfällige Gewinne der nächsten Jahre sollen in eine Spezialfinanzierung oder eine Rückstellung für Ernteausfälle zugewiesen werden. </a:t>
          </a:r>
        </a:p>
        <a:p>
          <a:pPr algn="l" rtl="0">
            <a:defRPr sz="1000"/>
          </a:pPr>
          <a:r>
            <a:rPr lang="de-CH" sz="800" b="0" i="0" u="none" strike="noStrike" baseline="0">
              <a:solidFill>
                <a:srgbClr val="000000"/>
              </a:solidFill>
              <a:latin typeface="Arial"/>
              <a:cs typeface="Arial"/>
            </a:rPr>
            <a:t>Es wird jährlich ein ausgeglichenes Ergebnis mit Saldo Null zugunsten der Stadtrechnung angestrebt unter Berücksichtigung der anstehenden Investitionen in Maschinen.</a:t>
          </a:r>
        </a:p>
      </xdr:txBody>
    </xdr:sp>
    <xdr:clientData/>
  </xdr:twoCellAnchor>
  <xdr:twoCellAnchor>
    <xdr:from>
      <xdr:col>0</xdr:col>
      <xdr:colOff>0</xdr:colOff>
      <xdr:row>6675</xdr:row>
      <xdr:rowOff>0</xdr:rowOff>
    </xdr:from>
    <xdr:to>
      <xdr:col>8</xdr:col>
      <xdr:colOff>0</xdr:colOff>
      <xdr:row>6678</xdr:row>
      <xdr:rowOff>0</xdr:rowOff>
    </xdr:to>
    <xdr:sp macro="" textlink="">
      <xdr:nvSpPr>
        <xdr:cNvPr id="447" name="Text Box 9"/>
        <xdr:cNvSpPr txBox="1">
          <a:spLocks noChangeArrowheads="1"/>
        </xdr:cNvSpPr>
      </xdr:nvSpPr>
      <xdr:spPr bwMode="auto">
        <a:xfrm>
          <a:off x="0" y="930735375"/>
          <a:ext cx="6667500"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indent="0" algn="l" rtl="0">
            <a:defRPr sz="1000"/>
          </a:pPr>
          <a:r>
            <a:rPr lang="de-CH" sz="800" b="0" i="0" u="none" strike="noStrike" baseline="0">
              <a:solidFill>
                <a:srgbClr val="000000"/>
              </a:solidFill>
              <a:latin typeface="Arial"/>
              <a:ea typeface="+mn-ea"/>
              <a:cs typeface="Arial"/>
            </a:rPr>
            <a:t>In den Jahren 2013 / 2014 / 2015 sind je Fr. 100'000.-- für die Anschaffung einer neuen Filteranlage, einer neuen Abfüllgruppe und einer neuen Weinpresse eingestellt und in den Zinsen und Abschreibungen berücksichtigt.</a:t>
          </a:r>
        </a:p>
      </xdr:txBody>
    </xdr:sp>
    <xdr:clientData/>
  </xdr:twoCellAnchor>
  <xdr:twoCellAnchor>
    <xdr:from>
      <xdr:col>0</xdr:col>
      <xdr:colOff>0</xdr:colOff>
      <xdr:row>6651</xdr:row>
      <xdr:rowOff>0</xdr:rowOff>
    </xdr:from>
    <xdr:to>
      <xdr:col>8</xdr:col>
      <xdr:colOff>0</xdr:colOff>
      <xdr:row>6653</xdr:row>
      <xdr:rowOff>0</xdr:rowOff>
    </xdr:to>
    <xdr:sp macro="" textlink="">
      <xdr:nvSpPr>
        <xdr:cNvPr id="448" name="Text Box 10"/>
        <xdr:cNvSpPr txBox="1">
          <a:spLocks noChangeArrowheads="1"/>
        </xdr:cNvSpPr>
      </xdr:nvSpPr>
      <xdr:spPr bwMode="auto">
        <a:xfrm>
          <a:off x="0" y="927306375"/>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Coop Bern (grösster Kunde)</a:t>
          </a:r>
        </a:p>
        <a:p>
          <a:pPr algn="l" rtl="0">
            <a:defRPr sz="1000"/>
          </a:pPr>
          <a:r>
            <a:rPr lang="de-CH" sz="800" b="0" i="0" u="none" strike="noStrike" baseline="0">
              <a:solidFill>
                <a:srgbClr val="000000"/>
              </a:solidFill>
              <a:latin typeface="Arial"/>
              <a:cs typeface="Arial"/>
            </a:rPr>
            <a:t>Restaurateure am Bielersee und in der Stadt Bern sowie Privatkundschaft innerhalb und ausserhalb der Stadtverwaltung</a:t>
          </a:r>
        </a:p>
      </xdr:txBody>
    </xdr:sp>
    <xdr:clientData/>
  </xdr:twoCellAnchor>
  <xdr:twoCellAnchor>
    <xdr:from>
      <xdr:col>0</xdr:col>
      <xdr:colOff>0</xdr:colOff>
      <xdr:row>6630</xdr:row>
      <xdr:rowOff>0</xdr:rowOff>
    </xdr:from>
    <xdr:to>
      <xdr:col>8</xdr:col>
      <xdr:colOff>0</xdr:colOff>
      <xdr:row>6636</xdr:row>
      <xdr:rowOff>0</xdr:rowOff>
    </xdr:to>
    <xdr:sp macro="" textlink="">
      <xdr:nvSpPr>
        <xdr:cNvPr id="449" name="Text Box 11"/>
        <xdr:cNvSpPr txBox="1">
          <a:spLocks noChangeArrowheads="1"/>
        </xdr:cNvSpPr>
      </xdr:nvSpPr>
      <xdr:spPr bwMode="auto">
        <a:xfrm>
          <a:off x="0" y="924248850"/>
          <a:ext cx="6667500" cy="8572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6705</xdr:row>
      <xdr:rowOff>0</xdr:rowOff>
    </xdr:from>
    <xdr:to>
      <xdr:col>8</xdr:col>
      <xdr:colOff>0</xdr:colOff>
      <xdr:row>6709</xdr:row>
      <xdr:rowOff>0</xdr:rowOff>
    </xdr:to>
    <xdr:sp macro="" textlink="">
      <xdr:nvSpPr>
        <xdr:cNvPr id="450" name="Text Box 6"/>
        <xdr:cNvSpPr txBox="1">
          <a:spLocks noChangeArrowheads="1"/>
        </xdr:cNvSpPr>
      </xdr:nvSpPr>
      <xdr:spPr bwMode="auto">
        <a:xfrm>
          <a:off x="0" y="934993050"/>
          <a:ext cx="6667500" cy="5715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Die Massnahme aus der Portfolio-Analyse von Fr. 60'000 (Einsparung Personalkosten) ist bereits ab VA 2012 umgesetzt.</a:t>
          </a:r>
        </a:p>
        <a:p>
          <a:pPr algn="l" rtl="0">
            <a:defRPr sz="1000"/>
          </a:pPr>
          <a:r>
            <a:rPr lang="de-CH" sz="800" b="0" i="0" u="none" strike="noStrike" baseline="0">
              <a:solidFill>
                <a:srgbClr val="000000"/>
              </a:solidFill>
              <a:latin typeface="Arial"/>
              <a:cs typeface="Arial"/>
            </a:rPr>
            <a:t>Reorganisation Abteilung per 1.1.2012.</a:t>
          </a:r>
        </a:p>
      </xdr:txBody>
    </xdr:sp>
    <xdr:clientData/>
  </xdr:twoCellAnchor>
  <xdr:twoCellAnchor>
    <xdr:from>
      <xdr:col>0</xdr:col>
      <xdr:colOff>0</xdr:colOff>
      <xdr:row>6711</xdr:row>
      <xdr:rowOff>0</xdr:rowOff>
    </xdr:from>
    <xdr:to>
      <xdr:col>8</xdr:col>
      <xdr:colOff>0</xdr:colOff>
      <xdr:row>6716</xdr:row>
      <xdr:rowOff>19050</xdr:rowOff>
    </xdr:to>
    <xdr:sp macro="" textlink="">
      <xdr:nvSpPr>
        <xdr:cNvPr id="451" name="Text Box 7"/>
        <xdr:cNvSpPr txBox="1">
          <a:spLocks noChangeArrowheads="1"/>
        </xdr:cNvSpPr>
      </xdr:nvSpPr>
      <xdr:spPr bwMode="auto">
        <a:xfrm>
          <a:off x="0" y="935821725"/>
          <a:ext cx="6667500" cy="733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Zusätzliche Einsparungen Personal Fr. 50'000.-- z.G. Fachstelle für Beschaffungswesen berücksichtigt.</a:t>
          </a:r>
        </a:p>
        <a:p>
          <a:pPr algn="l" rtl="0">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6742</xdr:row>
      <xdr:rowOff>0</xdr:rowOff>
    </xdr:from>
    <xdr:to>
      <xdr:col>8</xdr:col>
      <xdr:colOff>0</xdr:colOff>
      <xdr:row>6745</xdr:row>
      <xdr:rowOff>0</xdr:rowOff>
    </xdr:to>
    <xdr:sp macro="" textlink="">
      <xdr:nvSpPr>
        <xdr:cNvPr id="452" name="Text Box 9"/>
        <xdr:cNvSpPr txBox="1">
          <a:spLocks noChangeArrowheads="1"/>
        </xdr:cNvSpPr>
      </xdr:nvSpPr>
      <xdr:spPr bwMode="auto">
        <a:xfrm>
          <a:off x="0" y="940222275"/>
          <a:ext cx="6667500"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6718</xdr:row>
      <xdr:rowOff>0</xdr:rowOff>
    </xdr:from>
    <xdr:to>
      <xdr:col>8</xdr:col>
      <xdr:colOff>0</xdr:colOff>
      <xdr:row>6720</xdr:row>
      <xdr:rowOff>0</xdr:rowOff>
    </xdr:to>
    <xdr:sp macro="" textlink="">
      <xdr:nvSpPr>
        <xdr:cNvPr id="453" name="Text Box 10"/>
        <xdr:cNvSpPr txBox="1">
          <a:spLocks noChangeArrowheads="1"/>
        </xdr:cNvSpPr>
      </xdr:nvSpPr>
      <xdr:spPr bwMode="auto">
        <a:xfrm>
          <a:off x="0" y="936793275"/>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0</xdr:colOff>
      <xdr:row>6697</xdr:row>
      <xdr:rowOff>0</xdr:rowOff>
    </xdr:from>
    <xdr:to>
      <xdr:col>8</xdr:col>
      <xdr:colOff>0</xdr:colOff>
      <xdr:row>6703</xdr:row>
      <xdr:rowOff>0</xdr:rowOff>
    </xdr:to>
    <xdr:sp macro="" textlink="">
      <xdr:nvSpPr>
        <xdr:cNvPr id="454" name="Text Box 11"/>
        <xdr:cNvSpPr txBox="1">
          <a:spLocks noChangeArrowheads="1"/>
        </xdr:cNvSpPr>
      </xdr:nvSpPr>
      <xdr:spPr bwMode="auto">
        <a:xfrm>
          <a:off x="0" y="933735750"/>
          <a:ext cx="6667500" cy="8572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6774</xdr:row>
      <xdr:rowOff>0</xdr:rowOff>
    </xdr:from>
    <xdr:to>
      <xdr:col>8</xdr:col>
      <xdr:colOff>0</xdr:colOff>
      <xdr:row>6778</xdr:row>
      <xdr:rowOff>0</xdr:rowOff>
    </xdr:to>
    <xdr:sp macro="" textlink="">
      <xdr:nvSpPr>
        <xdr:cNvPr id="455" name="Text Box 6"/>
        <xdr:cNvSpPr txBox="1">
          <a:spLocks noChangeArrowheads="1"/>
        </xdr:cNvSpPr>
      </xdr:nvSpPr>
      <xdr:spPr bwMode="auto">
        <a:xfrm>
          <a:off x="0" y="944765700"/>
          <a:ext cx="6667500" cy="5715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de-CH" sz="800" b="0" i="0" u="none" strike="noStrike" baseline="0">
              <a:solidFill>
                <a:srgbClr val="000000"/>
              </a:solidFill>
              <a:latin typeface="Arial"/>
              <a:ea typeface="+mn-ea"/>
              <a:cs typeface="Arial"/>
            </a:rPr>
            <a:t>Reorganisation Abteilung per 1.1.2012.</a:t>
          </a:r>
        </a:p>
        <a:p>
          <a:pPr algn="l" rtl="0">
            <a:defRPr sz="1000"/>
          </a:pPr>
          <a:r>
            <a:rPr lang="de-CH" sz="800" b="0" i="0" u="none" strike="noStrike" baseline="0">
              <a:solidFill>
                <a:srgbClr val="000000"/>
              </a:solidFill>
              <a:latin typeface="Arial"/>
              <a:cs typeface="Arial"/>
            </a:rPr>
            <a:t> </a:t>
          </a:r>
        </a:p>
      </xdr:txBody>
    </xdr:sp>
    <xdr:clientData/>
  </xdr:twoCellAnchor>
  <xdr:twoCellAnchor>
    <xdr:from>
      <xdr:col>0</xdr:col>
      <xdr:colOff>0</xdr:colOff>
      <xdr:row>6780</xdr:row>
      <xdr:rowOff>0</xdr:rowOff>
    </xdr:from>
    <xdr:to>
      <xdr:col>8</xdr:col>
      <xdr:colOff>0</xdr:colOff>
      <xdr:row>6785</xdr:row>
      <xdr:rowOff>19050</xdr:rowOff>
    </xdr:to>
    <xdr:sp macro="" textlink="">
      <xdr:nvSpPr>
        <xdr:cNvPr id="456" name="Text Box 7"/>
        <xdr:cNvSpPr txBox="1">
          <a:spLocks noChangeArrowheads="1"/>
        </xdr:cNvSpPr>
      </xdr:nvSpPr>
      <xdr:spPr bwMode="auto">
        <a:xfrm>
          <a:off x="0" y="945594375"/>
          <a:ext cx="6667500" cy="733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800"/>
            </a:lnSpc>
            <a:defRPr sz="1000"/>
          </a:pPr>
          <a:r>
            <a:rPr lang="de-CH" sz="800" b="0" i="0" u="none" strike="noStrike" baseline="0">
              <a:solidFill>
                <a:srgbClr val="000000"/>
              </a:solidFill>
              <a:latin typeface="Arial"/>
              <a:cs typeface="Arial"/>
            </a:rPr>
            <a:t>Keine</a:t>
          </a:r>
        </a:p>
        <a:p>
          <a:pPr algn="l" rtl="0">
            <a:lnSpc>
              <a:spcPts val="800"/>
            </a:lnSpc>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6811</xdr:row>
      <xdr:rowOff>0</xdr:rowOff>
    </xdr:from>
    <xdr:to>
      <xdr:col>8</xdr:col>
      <xdr:colOff>0</xdr:colOff>
      <xdr:row>6814</xdr:row>
      <xdr:rowOff>0</xdr:rowOff>
    </xdr:to>
    <xdr:sp macro="" textlink="">
      <xdr:nvSpPr>
        <xdr:cNvPr id="457" name="Text Box 9"/>
        <xdr:cNvSpPr txBox="1">
          <a:spLocks noChangeArrowheads="1"/>
        </xdr:cNvSpPr>
      </xdr:nvSpPr>
      <xdr:spPr bwMode="auto">
        <a:xfrm>
          <a:off x="0" y="949994925"/>
          <a:ext cx="6667500"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6787</xdr:row>
      <xdr:rowOff>0</xdr:rowOff>
    </xdr:from>
    <xdr:to>
      <xdr:col>8</xdr:col>
      <xdr:colOff>0</xdr:colOff>
      <xdr:row>6790</xdr:row>
      <xdr:rowOff>0</xdr:rowOff>
    </xdr:to>
    <xdr:sp macro="" textlink="">
      <xdr:nvSpPr>
        <xdr:cNvPr id="458" name="Text Box 10"/>
        <xdr:cNvSpPr txBox="1">
          <a:spLocks noChangeArrowheads="1"/>
        </xdr:cNvSpPr>
      </xdr:nvSpPr>
      <xdr:spPr bwMode="auto">
        <a:xfrm>
          <a:off x="0" y="946565925"/>
          <a:ext cx="6667500"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0</xdr:colOff>
      <xdr:row>6766</xdr:row>
      <xdr:rowOff>0</xdr:rowOff>
    </xdr:from>
    <xdr:to>
      <xdr:col>8</xdr:col>
      <xdr:colOff>0</xdr:colOff>
      <xdr:row>6772</xdr:row>
      <xdr:rowOff>0</xdr:rowOff>
    </xdr:to>
    <xdr:sp macro="" textlink="">
      <xdr:nvSpPr>
        <xdr:cNvPr id="459" name="Text Box 11"/>
        <xdr:cNvSpPr txBox="1">
          <a:spLocks noChangeArrowheads="1"/>
        </xdr:cNvSpPr>
      </xdr:nvSpPr>
      <xdr:spPr bwMode="auto">
        <a:xfrm>
          <a:off x="0" y="943508400"/>
          <a:ext cx="6667500" cy="8572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6850</xdr:row>
      <xdr:rowOff>0</xdr:rowOff>
    </xdr:from>
    <xdr:to>
      <xdr:col>8</xdr:col>
      <xdr:colOff>0</xdr:colOff>
      <xdr:row>6855</xdr:row>
      <xdr:rowOff>19050</xdr:rowOff>
    </xdr:to>
    <xdr:sp macro="" textlink="">
      <xdr:nvSpPr>
        <xdr:cNvPr id="460" name="Text Box 7"/>
        <xdr:cNvSpPr txBox="1">
          <a:spLocks noChangeArrowheads="1"/>
        </xdr:cNvSpPr>
      </xdr:nvSpPr>
      <xdr:spPr bwMode="auto">
        <a:xfrm>
          <a:off x="0" y="955509900"/>
          <a:ext cx="6667500" cy="733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6881</xdr:row>
      <xdr:rowOff>0</xdr:rowOff>
    </xdr:from>
    <xdr:to>
      <xdr:col>8</xdr:col>
      <xdr:colOff>0</xdr:colOff>
      <xdr:row>6884</xdr:row>
      <xdr:rowOff>0</xdr:rowOff>
    </xdr:to>
    <xdr:sp macro="" textlink="">
      <xdr:nvSpPr>
        <xdr:cNvPr id="461" name="Text Box 9"/>
        <xdr:cNvSpPr txBox="1">
          <a:spLocks noChangeArrowheads="1"/>
        </xdr:cNvSpPr>
      </xdr:nvSpPr>
      <xdr:spPr bwMode="auto">
        <a:xfrm>
          <a:off x="0" y="959910450"/>
          <a:ext cx="6667500"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6857</xdr:row>
      <xdr:rowOff>0</xdr:rowOff>
    </xdr:from>
    <xdr:to>
      <xdr:col>8</xdr:col>
      <xdr:colOff>0</xdr:colOff>
      <xdr:row>6859</xdr:row>
      <xdr:rowOff>0</xdr:rowOff>
    </xdr:to>
    <xdr:sp macro="" textlink="">
      <xdr:nvSpPr>
        <xdr:cNvPr id="462" name="Text Box 10"/>
        <xdr:cNvSpPr txBox="1">
          <a:spLocks noChangeArrowheads="1"/>
        </xdr:cNvSpPr>
      </xdr:nvSpPr>
      <xdr:spPr bwMode="auto">
        <a:xfrm>
          <a:off x="0" y="956481450"/>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0</xdr:colOff>
      <xdr:row>6836</xdr:row>
      <xdr:rowOff>0</xdr:rowOff>
    </xdr:from>
    <xdr:to>
      <xdr:col>8</xdr:col>
      <xdr:colOff>0</xdr:colOff>
      <xdr:row>6842</xdr:row>
      <xdr:rowOff>0</xdr:rowOff>
    </xdr:to>
    <xdr:sp macro="" textlink="">
      <xdr:nvSpPr>
        <xdr:cNvPr id="463" name="Text Box 11"/>
        <xdr:cNvSpPr txBox="1">
          <a:spLocks noChangeArrowheads="1"/>
        </xdr:cNvSpPr>
      </xdr:nvSpPr>
      <xdr:spPr bwMode="auto">
        <a:xfrm>
          <a:off x="0" y="953423925"/>
          <a:ext cx="6667500" cy="8572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6844</xdr:row>
      <xdr:rowOff>0</xdr:rowOff>
    </xdr:from>
    <xdr:to>
      <xdr:col>8</xdr:col>
      <xdr:colOff>0</xdr:colOff>
      <xdr:row>6848</xdr:row>
      <xdr:rowOff>0</xdr:rowOff>
    </xdr:to>
    <xdr:sp macro="" textlink="">
      <xdr:nvSpPr>
        <xdr:cNvPr id="464" name="Text Box 6"/>
        <xdr:cNvSpPr txBox="1">
          <a:spLocks noChangeArrowheads="1"/>
        </xdr:cNvSpPr>
      </xdr:nvSpPr>
      <xdr:spPr bwMode="auto">
        <a:xfrm>
          <a:off x="0" y="954681225"/>
          <a:ext cx="6657975" cy="5715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lIns="36000"/>
        <a:lstStyle/>
        <a:p>
          <a:r>
            <a:rPr lang="de-CH" sz="800" b="0" i="0" u="none" strike="noStrike" baseline="0">
              <a:solidFill>
                <a:srgbClr val="000000"/>
              </a:solidFill>
              <a:latin typeface="Arial"/>
              <a:ea typeface="+mn-ea"/>
              <a:cs typeface="Arial"/>
            </a:rPr>
            <a:t>Reorganisation Abteilung per 1.1.2012</a:t>
          </a:r>
        </a:p>
      </xdr:txBody>
    </xdr:sp>
    <xdr:clientData/>
  </xdr:twoCellAnchor>
  <xdr:twoCellAnchor>
    <xdr:from>
      <xdr:col>0</xdr:col>
      <xdr:colOff>38101</xdr:colOff>
      <xdr:row>6912</xdr:row>
      <xdr:rowOff>9525</xdr:rowOff>
    </xdr:from>
    <xdr:to>
      <xdr:col>8</xdr:col>
      <xdr:colOff>0</xdr:colOff>
      <xdr:row>6918</xdr:row>
      <xdr:rowOff>85725</xdr:rowOff>
    </xdr:to>
    <xdr:sp macro="" textlink="">
      <xdr:nvSpPr>
        <xdr:cNvPr id="465" name="Text Box 6"/>
        <xdr:cNvSpPr txBox="1">
          <a:spLocks noChangeArrowheads="1"/>
        </xdr:cNvSpPr>
      </xdr:nvSpPr>
      <xdr:spPr bwMode="auto">
        <a:xfrm>
          <a:off x="38101" y="964320525"/>
          <a:ext cx="6619874" cy="8477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Für 2013 Basis Hochrechnung Steuerertrag per 31.12.2011. Auswirkungen Steuergesetzrevision mit 6,0 Mio. Franken berücksichtigt. Gemeindesteuerteilungen: 2011 Budgetbetrag. Ab Planjahr 2013 wird weiterhin mit einem negativen Saldo von rund 11,7 bis 12,9 Mio. Franken (berücksichtigte Zuteilungen 5 % von natürlichen Personen = 14,0 Mio. bis 14,8 Mio. Franken; 30% Wegteilungen von juristischen Personen = 25,7 bis 27,7 Mio. Franken) zu ungunsten der Stadt Bern gerechnet.</a:t>
          </a:r>
        </a:p>
      </xdr:txBody>
    </xdr:sp>
    <xdr:clientData/>
  </xdr:twoCellAnchor>
  <xdr:twoCellAnchor>
    <xdr:from>
      <xdr:col>0</xdr:col>
      <xdr:colOff>0</xdr:colOff>
      <xdr:row>6920</xdr:row>
      <xdr:rowOff>49530</xdr:rowOff>
    </xdr:from>
    <xdr:to>
      <xdr:col>8</xdr:col>
      <xdr:colOff>0</xdr:colOff>
      <xdr:row>6927</xdr:row>
      <xdr:rowOff>19050</xdr:rowOff>
    </xdr:to>
    <xdr:sp macro="" textlink="">
      <xdr:nvSpPr>
        <xdr:cNvPr id="466" name="Text Box 7"/>
        <xdr:cNvSpPr txBox="1">
          <a:spLocks noChangeArrowheads="1"/>
        </xdr:cNvSpPr>
      </xdr:nvSpPr>
      <xdr:spPr bwMode="auto">
        <a:xfrm>
          <a:off x="0" y="965389230"/>
          <a:ext cx="6667500" cy="96964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Siehe Entwicklungstendenzen</a:t>
          </a:r>
        </a:p>
      </xdr:txBody>
    </xdr:sp>
    <xdr:clientData/>
  </xdr:twoCellAnchor>
  <xdr:twoCellAnchor>
    <xdr:from>
      <xdr:col>0</xdr:col>
      <xdr:colOff>0</xdr:colOff>
      <xdr:row>6953</xdr:row>
      <xdr:rowOff>0</xdr:rowOff>
    </xdr:from>
    <xdr:to>
      <xdr:col>8</xdr:col>
      <xdr:colOff>0</xdr:colOff>
      <xdr:row>6956</xdr:row>
      <xdr:rowOff>0</xdr:rowOff>
    </xdr:to>
    <xdr:sp macro="" textlink="">
      <xdr:nvSpPr>
        <xdr:cNvPr id="467" name="Text Box 9"/>
        <xdr:cNvSpPr txBox="1">
          <a:spLocks noChangeArrowheads="1"/>
        </xdr:cNvSpPr>
      </xdr:nvSpPr>
      <xdr:spPr bwMode="auto">
        <a:xfrm>
          <a:off x="0" y="970026000"/>
          <a:ext cx="6667500"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6929</xdr:row>
      <xdr:rowOff>0</xdr:rowOff>
    </xdr:from>
    <xdr:to>
      <xdr:col>8</xdr:col>
      <xdr:colOff>0</xdr:colOff>
      <xdr:row>6931</xdr:row>
      <xdr:rowOff>0</xdr:rowOff>
    </xdr:to>
    <xdr:sp macro="" textlink="">
      <xdr:nvSpPr>
        <xdr:cNvPr id="468" name="Text Box 10"/>
        <xdr:cNvSpPr txBox="1">
          <a:spLocks noChangeArrowheads="1"/>
        </xdr:cNvSpPr>
      </xdr:nvSpPr>
      <xdr:spPr bwMode="auto">
        <a:xfrm>
          <a:off x="0" y="966597000"/>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Steuerpflichtige Personen</a:t>
          </a:r>
        </a:p>
      </xdr:txBody>
    </xdr:sp>
    <xdr:clientData/>
  </xdr:twoCellAnchor>
  <xdr:twoCellAnchor>
    <xdr:from>
      <xdr:col>0</xdr:col>
      <xdr:colOff>0</xdr:colOff>
      <xdr:row>6903</xdr:row>
      <xdr:rowOff>0</xdr:rowOff>
    </xdr:from>
    <xdr:to>
      <xdr:col>8</xdr:col>
      <xdr:colOff>0</xdr:colOff>
      <xdr:row>6909</xdr:row>
      <xdr:rowOff>0</xdr:rowOff>
    </xdr:to>
    <xdr:sp macro="" textlink="">
      <xdr:nvSpPr>
        <xdr:cNvPr id="469" name="Text Box 11"/>
        <xdr:cNvSpPr txBox="1">
          <a:spLocks noChangeArrowheads="1"/>
        </xdr:cNvSpPr>
      </xdr:nvSpPr>
      <xdr:spPr bwMode="auto">
        <a:xfrm>
          <a:off x="0" y="962910825"/>
          <a:ext cx="6667500" cy="8572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6987</xdr:row>
      <xdr:rowOff>0</xdr:rowOff>
    </xdr:from>
    <xdr:to>
      <xdr:col>8</xdr:col>
      <xdr:colOff>0</xdr:colOff>
      <xdr:row>6991</xdr:row>
      <xdr:rowOff>89549</xdr:rowOff>
    </xdr:to>
    <xdr:sp macro="" textlink="">
      <xdr:nvSpPr>
        <xdr:cNvPr id="470" name="Text Box 6"/>
        <xdr:cNvSpPr txBox="1">
          <a:spLocks noChangeArrowheads="1"/>
        </xdr:cNvSpPr>
      </xdr:nvSpPr>
      <xdr:spPr bwMode="auto">
        <a:xfrm>
          <a:off x="0" y="974998050"/>
          <a:ext cx="6667500" cy="661049"/>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Die demografische Entwicklung  wird im Personalmanagement zu einem wichtigen Faktor. Aussagen über finanzielle Konsequenzen sind im Moment noch nicht möglich, es wird jedoch ein zunehmender Wettbewerb um qualifizierte Arbeitnehmende und junge Mitarbeitende erwartet.</a:t>
          </a:r>
        </a:p>
        <a:p>
          <a:pPr algn="l" rtl="0">
            <a:defRPr sz="1000"/>
          </a:pPr>
          <a:r>
            <a:rPr lang="de-CH" sz="800" b="0" i="0" u="none" strike="noStrike" baseline="0">
              <a:solidFill>
                <a:srgbClr val="000000"/>
              </a:solidFill>
              <a:latin typeface="Arial"/>
              <a:cs typeface="Arial"/>
            </a:rPr>
            <a:t>Aufgrund der schwierigen Wirtschaftssituation ist tendenziell mit einer Abnahme der Personalfluktuation zu rechnen. Zudem dürfte sich die Konkurrenzfähigkeit der Stadt auf dem Arbeitsmarkt verbessern.</a:t>
          </a:r>
        </a:p>
      </xdr:txBody>
    </xdr:sp>
    <xdr:clientData/>
  </xdr:twoCellAnchor>
  <xdr:twoCellAnchor>
    <xdr:from>
      <xdr:col>0</xdr:col>
      <xdr:colOff>0</xdr:colOff>
      <xdr:row>6994</xdr:row>
      <xdr:rowOff>1</xdr:rowOff>
    </xdr:from>
    <xdr:to>
      <xdr:col>8</xdr:col>
      <xdr:colOff>0</xdr:colOff>
      <xdr:row>6997</xdr:row>
      <xdr:rowOff>99017</xdr:rowOff>
    </xdr:to>
    <xdr:sp macro="" textlink="">
      <xdr:nvSpPr>
        <xdr:cNvPr id="471" name="Text Box 7"/>
        <xdr:cNvSpPr txBox="1">
          <a:spLocks noChangeArrowheads="1"/>
        </xdr:cNvSpPr>
      </xdr:nvSpPr>
      <xdr:spPr bwMode="auto">
        <a:xfrm>
          <a:off x="0" y="975969601"/>
          <a:ext cx="6667500" cy="52764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Rückführung der Stadtbauten Bern, Projekt ZIMBE: 50 % Assistenz-Stelle im 2012 und 2013 (im VA2012 noch nicht enthalten, ab Planjahr 2013 berücksichtigt). Weitere Zusatzkosten für das Projekt sind nicht abschätzbar.</a:t>
          </a:r>
        </a:p>
        <a:p>
          <a:pPr algn="l" rtl="0">
            <a:defRPr sz="1000"/>
          </a:pPr>
          <a:r>
            <a:rPr lang="de-CH" sz="800" b="0" i="0" u="none" strike="noStrike" baseline="0">
              <a:solidFill>
                <a:srgbClr val="000000"/>
              </a:solidFill>
              <a:latin typeface="Arial"/>
              <a:cs typeface="Arial"/>
            </a:rPr>
            <a:t>Neue Aufgabe ab 2011: Anwendungsverantwortung HR-Informatik-Tools an Informatikstrategie angepasst, d.h. neu beim PA (Aufwand noch nicht abschätzbar).</a:t>
          </a:r>
        </a:p>
        <a:p>
          <a:pPr algn="l" rtl="0">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7024</xdr:row>
      <xdr:rowOff>0</xdr:rowOff>
    </xdr:from>
    <xdr:to>
      <xdr:col>8</xdr:col>
      <xdr:colOff>0</xdr:colOff>
      <xdr:row>7028</xdr:row>
      <xdr:rowOff>0</xdr:rowOff>
    </xdr:to>
    <xdr:sp macro="" textlink="">
      <xdr:nvSpPr>
        <xdr:cNvPr id="472" name="Text Box 9"/>
        <xdr:cNvSpPr txBox="1">
          <a:spLocks noChangeArrowheads="1"/>
        </xdr:cNvSpPr>
      </xdr:nvSpPr>
      <xdr:spPr bwMode="auto">
        <a:xfrm>
          <a:off x="0" y="980227275"/>
          <a:ext cx="6667500" cy="5715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Folgende Kosten sind in der Aufgabenplanung berücksichtigt:</a:t>
          </a:r>
        </a:p>
        <a:p>
          <a:pPr algn="l" rtl="0">
            <a:defRPr sz="1000"/>
          </a:pPr>
          <a:r>
            <a:rPr lang="de-CH" sz="800" b="0" i="0" u="none" strike="noStrike" baseline="0">
              <a:solidFill>
                <a:srgbClr val="000000"/>
              </a:solidFill>
              <a:latin typeface="Arial"/>
              <a:cs typeface="Arial"/>
            </a:rPr>
            <a:t>- Aufbau des Personalcontrollings und Sicherstellung der Rechtsgleichheit: Diese müssen der MIP vorgezogen werden, da eine Berichterstattung an den Stadtrat und an die Personalverbände verlangt wird.</a:t>
          </a:r>
        </a:p>
      </xdr:txBody>
    </xdr:sp>
    <xdr:clientData/>
  </xdr:twoCellAnchor>
  <xdr:twoCellAnchor>
    <xdr:from>
      <xdr:col>0</xdr:col>
      <xdr:colOff>0</xdr:colOff>
      <xdr:row>7000</xdr:row>
      <xdr:rowOff>0</xdr:rowOff>
    </xdr:from>
    <xdr:to>
      <xdr:col>8</xdr:col>
      <xdr:colOff>0</xdr:colOff>
      <xdr:row>7002</xdr:row>
      <xdr:rowOff>0</xdr:rowOff>
    </xdr:to>
    <xdr:sp macro="" textlink="">
      <xdr:nvSpPr>
        <xdr:cNvPr id="473" name="Text Box 10"/>
        <xdr:cNvSpPr txBox="1">
          <a:spLocks noChangeArrowheads="1"/>
        </xdr:cNvSpPr>
      </xdr:nvSpPr>
      <xdr:spPr bwMode="auto">
        <a:xfrm>
          <a:off x="0" y="976798275"/>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Stadtrat, Gemeinderat, Mitarbeiterinnen und Mitarbeiter der Verwaltung, Direktionspersonaldienste, Arbeitsmarkt, Aussengemeinden und andere ArbeitgeberInnen, ausgelagerte Betriebe, Sozialeinrichtungen, Sozialpartner</a:t>
          </a:r>
        </a:p>
      </xdr:txBody>
    </xdr:sp>
    <xdr:clientData/>
  </xdr:twoCellAnchor>
  <xdr:twoCellAnchor>
    <xdr:from>
      <xdr:col>0</xdr:col>
      <xdr:colOff>0</xdr:colOff>
      <xdr:row>6978</xdr:row>
      <xdr:rowOff>0</xdr:rowOff>
    </xdr:from>
    <xdr:to>
      <xdr:col>8</xdr:col>
      <xdr:colOff>0</xdr:colOff>
      <xdr:row>6984</xdr:row>
      <xdr:rowOff>47625</xdr:rowOff>
    </xdr:to>
    <xdr:sp macro="" textlink="">
      <xdr:nvSpPr>
        <xdr:cNvPr id="474" name="Text Box 11"/>
        <xdr:cNvSpPr txBox="1">
          <a:spLocks noChangeArrowheads="1"/>
        </xdr:cNvSpPr>
      </xdr:nvSpPr>
      <xdr:spPr bwMode="auto">
        <a:xfrm>
          <a:off x="0" y="973597875"/>
          <a:ext cx="6667500" cy="9048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Legislaturziel 2.2.2.1 Unterstützung und Zusammenarbeit Kompetenzzentrum für Public Management der Uni Bern</a:t>
          </a:r>
        </a:p>
        <a:p>
          <a:pPr algn="l" rtl="0">
            <a:defRPr sz="1000"/>
          </a:pPr>
          <a:r>
            <a:rPr lang="de-CH" sz="800" b="0" i="0" u="none" strike="noStrike" baseline="0">
              <a:solidFill>
                <a:srgbClr val="000000"/>
              </a:solidFill>
              <a:latin typeface="Arial"/>
              <a:cs typeface="Arial"/>
            </a:rPr>
            <a:t>Legislaturziel 4.2.1.2. Dienstleistungsangebote für weitere öffentliche Gemeinwesen</a:t>
          </a:r>
        </a:p>
        <a:p>
          <a:pPr algn="l" rtl="0">
            <a:defRPr sz="1000"/>
          </a:pPr>
          <a:r>
            <a:rPr lang="de-CH" sz="800" b="0" i="0" u="none" strike="noStrike" baseline="0">
              <a:solidFill>
                <a:srgbClr val="000000"/>
              </a:solidFill>
              <a:latin typeface="Arial"/>
              <a:cs typeface="Arial"/>
            </a:rPr>
            <a:t>Legislaturziel 4.2.3.1. Abschaffung Lohnbeschränkung, Konkurrenzfähigkeit: Projekt 200'000+ mit Erarbeitung von verschiedenen Lohnmodellen und Umsetzung inkl. fakultativer Volksabstimmung soll bis Ende 2012 abgeschlossen sein.</a:t>
          </a:r>
        </a:p>
        <a:p>
          <a:pPr algn="l" rtl="0">
            <a:defRPr sz="1000"/>
          </a:pPr>
          <a:r>
            <a:rPr lang="de-CH" sz="800" b="0" i="0" u="none" strike="noStrike" baseline="0">
              <a:solidFill>
                <a:srgbClr val="000000"/>
              </a:solidFill>
              <a:latin typeface="Arial"/>
              <a:cs typeface="Arial"/>
            </a:rPr>
            <a:t>Legislaturziel 4.2.3.2. Gezielte Weiterbildung und konsequente Schulung</a:t>
          </a:r>
        </a:p>
        <a:p>
          <a:pPr algn="l" rtl="0">
            <a:defRPr sz="1000"/>
          </a:pPr>
          <a:r>
            <a:rPr lang="de-CH" sz="800" b="0" i="0" u="none" strike="noStrike" baseline="0">
              <a:solidFill>
                <a:srgbClr val="000000"/>
              </a:solidFill>
              <a:latin typeface="Arial"/>
              <a:cs typeface="Arial"/>
            </a:rPr>
            <a:t>Legislaturziel 5.2.1.2. Schaffung von Praktikumsplätzen für Berufseinsteigende, falls von der Arbeitsmarksituation her notwendig</a:t>
          </a:r>
        </a:p>
      </xdr:txBody>
    </xdr:sp>
    <xdr:clientData/>
  </xdr:twoCellAnchor>
  <xdr:twoCellAnchor>
    <xdr:from>
      <xdr:col>0</xdr:col>
      <xdr:colOff>0</xdr:colOff>
      <xdr:row>7057</xdr:row>
      <xdr:rowOff>0</xdr:rowOff>
    </xdr:from>
    <xdr:to>
      <xdr:col>8</xdr:col>
      <xdr:colOff>0</xdr:colOff>
      <xdr:row>7061</xdr:row>
      <xdr:rowOff>0</xdr:rowOff>
    </xdr:to>
    <xdr:sp macro="" textlink="">
      <xdr:nvSpPr>
        <xdr:cNvPr id="475" name="Text Box 6"/>
        <xdr:cNvSpPr txBox="1">
          <a:spLocks noChangeArrowheads="1"/>
        </xdr:cNvSpPr>
      </xdr:nvSpPr>
      <xdr:spPr bwMode="auto">
        <a:xfrm>
          <a:off x="0" y="984913575"/>
          <a:ext cx="6667500" cy="5715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Aufgrund der demografischen Entwicklung wie auch aufgrund der Situation auf dem Arbeitsplatz Bern sind höhere Personalgewinnungskosten möglich.</a:t>
          </a:r>
        </a:p>
      </xdr:txBody>
    </xdr:sp>
    <xdr:clientData/>
  </xdr:twoCellAnchor>
  <xdr:twoCellAnchor>
    <xdr:from>
      <xdr:col>0</xdr:col>
      <xdr:colOff>0</xdr:colOff>
      <xdr:row>7063</xdr:row>
      <xdr:rowOff>0</xdr:rowOff>
    </xdr:from>
    <xdr:to>
      <xdr:col>8</xdr:col>
      <xdr:colOff>0</xdr:colOff>
      <xdr:row>7068</xdr:row>
      <xdr:rowOff>19050</xdr:rowOff>
    </xdr:to>
    <xdr:sp macro="" textlink="">
      <xdr:nvSpPr>
        <xdr:cNvPr id="476" name="Text Box 7"/>
        <xdr:cNvSpPr txBox="1">
          <a:spLocks noChangeArrowheads="1"/>
        </xdr:cNvSpPr>
      </xdr:nvSpPr>
      <xdr:spPr bwMode="auto">
        <a:xfrm>
          <a:off x="0" y="985742250"/>
          <a:ext cx="6667500" cy="733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Rückführung der Stadtbauten Bern - Projekt ZIMBE: Konsequenzen auf Ressourcen und Finanzen können noch nicht abgeschätzt werden.</a:t>
          </a:r>
        </a:p>
      </xdr:txBody>
    </xdr:sp>
    <xdr:clientData/>
  </xdr:twoCellAnchor>
  <xdr:twoCellAnchor>
    <xdr:from>
      <xdr:col>0</xdr:col>
      <xdr:colOff>0</xdr:colOff>
      <xdr:row>7094</xdr:row>
      <xdr:rowOff>0</xdr:rowOff>
    </xdr:from>
    <xdr:to>
      <xdr:col>8</xdr:col>
      <xdr:colOff>0</xdr:colOff>
      <xdr:row>7097</xdr:row>
      <xdr:rowOff>0</xdr:rowOff>
    </xdr:to>
    <xdr:sp macro="" textlink="">
      <xdr:nvSpPr>
        <xdr:cNvPr id="477" name="Text Box 9"/>
        <xdr:cNvSpPr txBox="1">
          <a:spLocks noChangeArrowheads="1"/>
        </xdr:cNvSpPr>
      </xdr:nvSpPr>
      <xdr:spPr bwMode="auto">
        <a:xfrm>
          <a:off x="0" y="990142800"/>
          <a:ext cx="6667500"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0</xdr:colOff>
      <xdr:row>7070</xdr:row>
      <xdr:rowOff>0</xdr:rowOff>
    </xdr:from>
    <xdr:to>
      <xdr:col>8</xdr:col>
      <xdr:colOff>0</xdr:colOff>
      <xdr:row>7072</xdr:row>
      <xdr:rowOff>0</xdr:rowOff>
    </xdr:to>
    <xdr:sp macro="" textlink="">
      <xdr:nvSpPr>
        <xdr:cNvPr id="478" name="Text Box 10"/>
        <xdr:cNvSpPr txBox="1">
          <a:spLocks noChangeArrowheads="1"/>
        </xdr:cNvSpPr>
      </xdr:nvSpPr>
      <xdr:spPr bwMode="auto">
        <a:xfrm>
          <a:off x="0" y="986713800"/>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DPD: Mitarbeiterinnen und Mitarbeiter FPI, Personalverantwortliche der anderen Direktionen, Arbeitsmarkt-Partnerinnen.</a:t>
          </a:r>
        </a:p>
        <a:p>
          <a:pPr algn="l" rtl="0">
            <a:defRPr sz="1000"/>
          </a:pPr>
          <a:r>
            <a:rPr lang="de-CH" sz="800" b="0" i="0" u="none" strike="noStrike" baseline="0">
              <a:solidFill>
                <a:srgbClr val="000000"/>
              </a:solidFill>
              <a:latin typeface="Arial"/>
              <a:cs typeface="Arial"/>
            </a:rPr>
            <a:t>Tel.Zentrale: Externe (erste Anlaufstelle für Bürgerinnen und Bürger, Partner…) sowie Mitarbeiterinnen und Mitarbeiter in der Verwaltung.</a:t>
          </a:r>
        </a:p>
      </xdr:txBody>
    </xdr:sp>
    <xdr:clientData/>
  </xdr:twoCellAnchor>
  <xdr:twoCellAnchor>
    <xdr:from>
      <xdr:col>0</xdr:col>
      <xdr:colOff>0</xdr:colOff>
      <xdr:row>7049</xdr:row>
      <xdr:rowOff>0</xdr:rowOff>
    </xdr:from>
    <xdr:to>
      <xdr:col>8</xdr:col>
      <xdr:colOff>0</xdr:colOff>
      <xdr:row>7055</xdr:row>
      <xdr:rowOff>0</xdr:rowOff>
    </xdr:to>
    <xdr:sp macro="" textlink="">
      <xdr:nvSpPr>
        <xdr:cNvPr id="479" name="Text Box 11"/>
        <xdr:cNvSpPr txBox="1">
          <a:spLocks noChangeArrowheads="1"/>
        </xdr:cNvSpPr>
      </xdr:nvSpPr>
      <xdr:spPr bwMode="auto">
        <a:xfrm>
          <a:off x="0" y="983656275"/>
          <a:ext cx="6667500" cy="8572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 Bemerkungen</a:t>
          </a:r>
        </a:p>
      </xdr:txBody>
    </xdr:sp>
    <xdr:clientData/>
  </xdr:twoCellAnchor>
  <xdr:twoCellAnchor>
    <xdr:from>
      <xdr:col>0</xdr:col>
      <xdr:colOff>0</xdr:colOff>
      <xdr:row>7121</xdr:row>
      <xdr:rowOff>285749</xdr:rowOff>
    </xdr:from>
    <xdr:to>
      <xdr:col>8</xdr:col>
      <xdr:colOff>0</xdr:colOff>
      <xdr:row>7126</xdr:row>
      <xdr:rowOff>209550</xdr:rowOff>
    </xdr:to>
    <xdr:sp macro="" textlink="">
      <xdr:nvSpPr>
        <xdr:cNvPr id="480" name="Text Box 6"/>
        <xdr:cNvSpPr txBox="1">
          <a:spLocks noChangeArrowheads="1"/>
        </xdr:cNvSpPr>
      </xdr:nvSpPr>
      <xdr:spPr bwMode="auto">
        <a:xfrm>
          <a:off x="0" y="993914699"/>
          <a:ext cx="6667500" cy="78105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ct val="100000"/>
            </a:lnSpc>
            <a:defRPr sz="1000"/>
          </a:pPr>
          <a:r>
            <a:rPr lang="de-CH" sz="800" b="0" i="0" u="none" strike="noStrike" baseline="0">
              <a:solidFill>
                <a:srgbClr val="000000"/>
              </a:solidFill>
              <a:latin typeface="Arial"/>
              <a:cs typeface="Arial"/>
            </a:rPr>
            <a:t>Die Informatikdienste betreiben und betreuen als internes Informatik-Dienstleistungszentrum die zentralen Anwendungen und Systeme der Stadtverwaltung. Als Bindeglied zu den Bürgerinnen und Bürgern sind hier als Beispiele die eGov-Funktionen und der Betrieb der Schulinformatik-Plattform für die Schulhäuser der öffentlichen Volksschulen aufgeführt. Mitarbeitende anderer Gemeindeverwaltungen sind bei  den Schulungen der Informatikdienste im Bereich der individuellen Datenverarbeitung und der Bürokommunikation herzlich willkommen.</a:t>
          </a:r>
        </a:p>
        <a:p>
          <a:pPr algn="l" rtl="0">
            <a:lnSpc>
              <a:spcPct val="100000"/>
            </a:lnSpc>
            <a:defRPr sz="1000"/>
          </a:pPr>
          <a:r>
            <a:rPr lang="de-CH" sz="800" b="0" i="0" u="none" strike="noStrike" baseline="0">
              <a:solidFill>
                <a:srgbClr val="000000"/>
              </a:solidFill>
              <a:latin typeface="Arial"/>
              <a:cs typeface="Arial"/>
            </a:rPr>
            <a:t>Die sechs Massnahmen aus der Portfolio-Analyse von total Fr. 300'000.-- (Zentralisierte Angebote, Anwendungen auf Grossrechner, Anwendungen Client-/Server-Plattform, günstigerer Vertrag Datenkommunikation, Informatikcontrolling) werden vollumfänglich eingehalten.</a:t>
          </a:r>
        </a:p>
        <a:p>
          <a:pPr algn="l" rtl="0">
            <a:lnSpc>
              <a:spcPts val="800"/>
            </a:lnSpc>
            <a:defRPr sz="1000"/>
          </a:pPr>
          <a:r>
            <a:rPr lang="de-CH" sz="800" b="0" i="0" u="none" strike="noStrike" baseline="0">
              <a:solidFill>
                <a:srgbClr val="000000"/>
              </a:solidFill>
              <a:latin typeface="Arial"/>
              <a:cs typeface="Arial"/>
            </a:rPr>
            <a:t/>
          </a:r>
          <a:br>
            <a:rPr lang="de-CH" sz="800" b="0" i="0" u="none" strike="noStrike" baseline="0">
              <a:solidFill>
                <a:srgbClr val="000000"/>
              </a:solidFill>
              <a:latin typeface="Arial"/>
              <a:cs typeface="Arial"/>
            </a:rPr>
          </a:br>
          <a:endParaRPr lang="de-CH" sz="800" b="0" i="0" u="none" strike="noStrike" baseline="0">
            <a:solidFill>
              <a:srgbClr val="000000"/>
            </a:solidFill>
            <a:latin typeface="Arial"/>
            <a:cs typeface="Arial"/>
          </a:endParaRPr>
        </a:p>
      </xdr:txBody>
    </xdr:sp>
    <xdr:clientData/>
  </xdr:twoCellAnchor>
  <xdr:twoCellAnchor>
    <xdr:from>
      <xdr:col>0</xdr:col>
      <xdr:colOff>0</xdr:colOff>
      <xdr:row>7128</xdr:row>
      <xdr:rowOff>0</xdr:rowOff>
    </xdr:from>
    <xdr:to>
      <xdr:col>8</xdr:col>
      <xdr:colOff>0</xdr:colOff>
      <xdr:row>7134</xdr:row>
      <xdr:rowOff>118151</xdr:rowOff>
    </xdr:to>
    <xdr:sp macro="" textlink="">
      <xdr:nvSpPr>
        <xdr:cNvPr id="481" name="Text Box 7"/>
        <xdr:cNvSpPr txBox="1">
          <a:spLocks noChangeArrowheads="1"/>
        </xdr:cNvSpPr>
      </xdr:nvSpPr>
      <xdr:spPr bwMode="auto">
        <a:xfrm>
          <a:off x="0" y="994905300"/>
          <a:ext cx="6667500" cy="97540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ct val="100000"/>
            </a:lnSpc>
            <a:defRPr sz="1000"/>
          </a:pPr>
          <a:r>
            <a:rPr lang="de-CH" sz="800" b="0" i="0" u="none" strike="noStrike" baseline="0">
              <a:solidFill>
                <a:srgbClr val="000000"/>
              </a:solidFill>
              <a:latin typeface="Arial"/>
              <a:cs typeface="Arial"/>
            </a:rPr>
            <a:t>Wie bereits im Jahresbericht 2010 und im Produktgruppenbudget 2012 angekündigt, möchten die Informatikdienste eine Produktezusammenführung umsetzen. Neu wird eine Produktgruppe mit zwei Produkten geführt. Damit folgen wir einer Empfehlung des Finanzinspektorats und erhalten eine vereinfachte Produktestruktur als Basis für die Kalkulation und der Planung. Der Verwaltungsaufwand vermindert sich durch die automatische Unterstützung der Kalkulation und dem späteren Ausbau auf eine maschinelle Verrechnung. Die IT-Sicherheit (vormals Informatikcontrolling) geht im ersten Produkt "Zentrale städtische Informatikleistungen" auf und wird durch die Steuerungsvorgabe des Kostendeckungsgrads von 100% mit getragen. Der geplante Ersatz der Arbeitsplatzsysteme (Projekt CliP) wird durch die Spezialfinanzierung  getragen und im zweiten Produkt "Migration Bürokommunikation" abgebildet. Erfasst werden die jährlichen Äufnungen und die Entnahmen.</a:t>
          </a:r>
        </a:p>
      </xdr:txBody>
    </xdr:sp>
    <xdr:clientData/>
  </xdr:twoCellAnchor>
  <xdr:twoCellAnchor>
    <xdr:from>
      <xdr:col>0</xdr:col>
      <xdr:colOff>0</xdr:colOff>
      <xdr:row>7163</xdr:row>
      <xdr:rowOff>0</xdr:rowOff>
    </xdr:from>
    <xdr:to>
      <xdr:col>8</xdr:col>
      <xdr:colOff>0</xdr:colOff>
      <xdr:row>7166</xdr:row>
      <xdr:rowOff>0</xdr:rowOff>
    </xdr:to>
    <xdr:sp macro="" textlink="">
      <xdr:nvSpPr>
        <xdr:cNvPr id="482" name="Text Box 9"/>
        <xdr:cNvSpPr txBox="1">
          <a:spLocks noChangeArrowheads="1"/>
        </xdr:cNvSpPr>
      </xdr:nvSpPr>
      <xdr:spPr bwMode="auto">
        <a:xfrm>
          <a:off x="0" y="999801150"/>
          <a:ext cx="6667500"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0</xdr:colOff>
      <xdr:row>7138</xdr:row>
      <xdr:rowOff>0</xdr:rowOff>
    </xdr:from>
    <xdr:to>
      <xdr:col>8</xdr:col>
      <xdr:colOff>0</xdr:colOff>
      <xdr:row>7141</xdr:row>
      <xdr:rowOff>0</xdr:rowOff>
    </xdr:to>
    <xdr:sp macro="" textlink="">
      <xdr:nvSpPr>
        <xdr:cNvPr id="483" name="Text Box 10"/>
        <xdr:cNvSpPr txBox="1">
          <a:spLocks noChangeArrowheads="1"/>
        </xdr:cNvSpPr>
      </xdr:nvSpPr>
      <xdr:spPr bwMode="auto">
        <a:xfrm>
          <a:off x="0" y="996229275"/>
          <a:ext cx="6667500"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Gemeinderat, Direktionen und Dienststellen der Stadtverwaltung Bern.</a:t>
          </a:r>
        </a:p>
      </xdr:txBody>
    </xdr:sp>
    <xdr:clientData/>
  </xdr:twoCellAnchor>
  <xdr:twoCellAnchor>
    <xdr:from>
      <xdr:col>0</xdr:col>
      <xdr:colOff>0</xdr:colOff>
      <xdr:row>7117</xdr:row>
      <xdr:rowOff>1</xdr:rowOff>
    </xdr:from>
    <xdr:to>
      <xdr:col>8</xdr:col>
      <xdr:colOff>0</xdr:colOff>
      <xdr:row>7118</xdr:row>
      <xdr:rowOff>114300</xdr:rowOff>
    </xdr:to>
    <xdr:sp macro="" textlink="">
      <xdr:nvSpPr>
        <xdr:cNvPr id="484" name="Text Box 11"/>
        <xdr:cNvSpPr txBox="1">
          <a:spLocks noChangeArrowheads="1"/>
        </xdr:cNvSpPr>
      </xdr:nvSpPr>
      <xdr:spPr bwMode="auto">
        <a:xfrm>
          <a:off x="0" y="993286051"/>
          <a:ext cx="6667500" cy="25717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7196</xdr:row>
      <xdr:rowOff>1</xdr:rowOff>
    </xdr:from>
    <xdr:to>
      <xdr:col>8</xdr:col>
      <xdr:colOff>0</xdr:colOff>
      <xdr:row>7198</xdr:row>
      <xdr:rowOff>38101</xdr:rowOff>
    </xdr:to>
    <xdr:sp macro="" textlink="">
      <xdr:nvSpPr>
        <xdr:cNvPr id="485" name="Text Box 6"/>
        <xdr:cNvSpPr txBox="1">
          <a:spLocks noChangeArrowheads="1"/>
        </xdr:cNvSpPr>
      </xdr:nvSpPr>
      <xdr:spPr bwMode="auto">
        <a:xfrm>
          <a:off x="0" y="1004516026"/>
          <a:ext cx="6667500" cy="3238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Die Zielvorgabe basiert auf einem Kostendeckungsgrad von gesamthaft 100%.</a:t>
          </a:r>
        </a:p>
      </xdr:txBody>
    </xdr:sp>
    <xdr:clientData/>
  </xdr:twoCellAnchor>
  <xdr:twoCellAnchor>
    <xdr:from>
      <xdr:col>0</xdr:col>
      <xdr:colOff>0</xdr:colOff>
      <xdr:row>7201</xdr:row>
      <xdr:rowOff>0</xdr:rowOff>
    </xdr:from>
    <xdr:to>
      <xdr:col>8</xdr:col>
      <xdr:colOff>0</xdr:colOff>
      <xdr:row>7206</xdr:row>
      <xdr:rowOff>19050</xdr:rowOff>
    </xdr:to>
    <xdr:sp macro="" textlink="">
      <xdr:nvSpPr>
        <xdr:cNvPr id="486" name="Text Box 7"/>
        <xdr:cNvSpPr txBox="1">
          <a:spLocks noChangeArrowheads="1"/>
        </xdr:cNvSpPr>
      </xdr:nvSpPr>
      <xdr:spPr bwMode="auto">
        <a:xfrm>
          <a:off x="0" y="1005201825"/>
          <a:ext cx="6667500" cy="733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nSpc>
              <a:spcPct val="100000"/>
            </a:lnSpc>
          </a:pPr>
          <a:r>
            <a:rPr lang="de-CH" sz="800" b="0" i="0" u="none" strike="noStrike" baseline="0">
              <a:solidFill>
                <a:srgbClr val="000000"/>
              </a:solidFill>
              <a:latin typeface="Arial"/>
              <a:ea typeface="+mn-ea"/>
              <a:cs typeface="Arial"/>
            </a:rPr>
            <a:t>Der Auftrag wird in seinen Grundzügen nicht verändert. Die SBZ wird jedoch ihre Dienstleistungen vermehrt anderen Gemeinwesen und Non-Profit-Organisationen zur Verfügung stellen (Vorwärtsstrategie gem. GRB). Durch die Erweiterung des Einkaufsvolumens können bessere Konditionen vereinbart werden, die sich positiv auf die Stadt auswirken (z.B. Kopierpapier). Speziell zu erwähnen ist, dass gem. GRB Nr. 0838 vom 08.06.2011 ab 01.01.2013 auf  den Kauf und Verkauf von  Treib- und Brennstoffen (P660130) verzichtet wird.</a:t>
          </a:r>
          <a:r>
            <a:rPr lang="de-CH" sz="800" b="0" i="0" u="none" strike="noStrike" baseline="0">
              <a:solidFill>
                <a:srgbClr val="000000"/>
              </a:solidFill>
              <a:latin typeface="Arial" pitchFamily="34" charset="0"/>
              <a:ea typeface="+mn-ea"/>
              <a:cs typeface="Arial" pitchFamily="34" charset="0"/>
            </a:rPr>
            <a:t> </a:t>
          </a:r>
          <a:r>
            <a:rPr lang="de-CH" sz="800">
              <a:effectLst/>
              <a:latin typeface="Arial" pitchFamily="34" charset="0"/>
              <a:ea typeface="+mn-ea"/>
              <a:cs typeface="Arial" pitchFamily="34" charset="0"/>
            </a:rPr>
            <a:t>Durch neue Kundenakquisition wird versucht der Umsatzverlust zu kompensieren. Eine zusätzliche Umsatzsteigerung ist aufgrund der schwierigen wirtschaftlichen Prognosen unrealistisch.</a:t>
          </a:r>
        </a:p>
        <a:p>
          <a:pPr>
            <a:lnSpc>
              <a:spcPts val="300"/>
            </a:lnSpc>
          </a:pPr>
          <a:r>
            <a:rPr lang="de-CH" sz="800">
              <a:effectLst/>
              <a:latin typeface="Arial" pitchFamily="34" charset="0"/>
              <a:ea typeface="+mn-ea"/>
              <a:cs typeface="Arial" pitchFamily="34" charset="0"/>
            </a:rPr>
            <a:t> </a:t>
          </a:r>
        </a:p>
        <a:p>
          <a:pPr marL="0" indent="0" algn="l" rtl="0">
            <a:lnSpc>
              <a:spcPts val="600"/>
            </a:lnSpc>
            <a:defRPr sz="1000"/>
          </a:pPr>
          <a:endParaRPr lang="de-CH" sz="800" b="0" i="0" u="none" strike="noStrike" baseline="0">
            <a:solidFill>
              <a:srgbClr val="000000"/>
            </a:solidFill>
            <a:latin typeface="Arial" pitchFamily="34" charset="0"/>
            <a:ea typeface="+mn-ea"/>
            <a:cs typeface="Arial" pitchFamily="34" charset="0"/>
          </a:endParaRPr>
        </a:p>
      </xdr:txBody>
    </xdr:sp>
    <xdr:clientData/>
  </xdr:twoCellAnchor>
  <xdr:twoCellAnchor>
    <xdr:from>
      <xdr:col>0</xdr:col>
      <xdr:colOff>0</xdr:colOff>
      <xdr:row>7232</xdr:row>
      <xdr:rowOff>0</xdr:rowOff>
    </xdr:from>
    <xdr:to>
      <xdr:col>8</xdr:col>
      <xdr:colOff>0</xdr:colOff>
      <xdr:row>7235</xdr:row>
      <xdr:rowOff>0</xdr:rowOff>
    </xdr:to>
    <xdr:sp macro="" textlink="">
      <xdr:nvSpPr>
        <xdr:cNvPr id="487" name="Text Box 9"/>
        <xdr:cNvSpPr txBox="1">
          <a:spLocks noChangeArrowheads="1"/>
        </xdr:cNvSpPr>
      </xdr:nvSpPr>
      <xdr:spPr bwMode="auto">
        <a:xfrm>
          <a:off x="0" y="1009602375"/>
          <a:ext cx="6667500"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0</xdr:colOff>
      <xdr:row>7207</xdr:row>
      <xdr:rowOff>142874</xdr:rowOff>
    </xdr:from>
    <xdr:to>
      <xdr:col>8</xdr:col>
      <xdr:colOff>0</xdr:colOff>
      <xdr:row>7211</xdr:row>
      <xdr:rowOff>0</xdr:rowOff>
    </xdr:to>
    <xdr:sp macro="" textlink="">
      <xdr:nvSpPr>
        <xdr:cNvPr id="488" name="Text Box 10"/>
        <xdr:cNvSpPr txBox="1">
          <a:spLocks noChangeArrowheads="1"/>
        </xdr:cNvSpPr>
      </xdr:nvSpPr>
      <xdr:spPr bwMode="auto">
        <a:xfrm>
          <a:off x="0" y="1006173374"/>
          <a:ext cx="6667500" cy="428626"/>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ct val="100000"/>
            </a:lnSpc>
            <a:defRPr sz="1000"/>
          </a:pPr>
          <a:r>
            <a:rPr lang="de-CH" sz="800" b="0" i="0" u="none" strike="noStrike" baseline="0">
              <a:solidFill>
                <a:srgbClr val="000000"/>
              </a:solidFill>
              <a:latin typeface="Arial"/>
              <a:cs typeface="Arial"/>
            </a:rPr>
            <a:t>Alle städtischen Dienststellen, öffentlich rechtliche Anstalten der Stadt Bern (Energie Wasser Bern, Stadtbauten Bern, Bernmobil), städtische und auswärtige Schulen, andere Gemeinwesen, Kanton Bern sowie Non-Provit Organisationen, Lieferantinnen und Lieferanten und Druckereien.</a:t>
          </a:r>
        </a:p>
      </xdr:txBody>
    </xdr:sp>
    <xdr:clientData/>
  </xdr:twoCellAnchor>
  <xdr:twoCellAnchor>
    <xdr:from>
      <xdr:col>0</xdr:col>
      <xdr:colOff>0</xdr:colOff>
      <xdr:row>7190</xdr:row>
      <xdr:rowOff>0</xdr:rowOff>
    </xdr:from>
    <xdr:to>
      <xdr:col>8</xdr:col>
      <xdr:colOff>0</xdr:colOff>
      <xdr:row>7194</xdr:row>
      <xdr:rowOff>0</xdr:rowOff>
    </xdr:to>
    <xdr:sp macro="" textlink="">
      <xdr:nvSpPr>
        <xdr:cNvPr id="489" name="Text Box 11"/>
        <xdr:cNvSpPr txBox="1">
          <a:spLocks noChangeArrowheads="1"/>
        </xdr:cNvSpPr>
      </xdr:nvSpPr>
      <xdr:spPr bwMode="auto">
        <a:xfrm>
          <a:off x="0" y="1003544475"/>
          <a:ext cx="6667500" cy="5715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Die Schul- und Büromaterialzentrale (SBZ) ist die zentrale Beschaffungs- und Dienstleistungsstelle. Sie sorgt durch fachgerechte und ökologische Beratung für eine zweckmässige und optimale Ausrüstung und Versorgung der Kundinnen und Kunden.</a:t>
          </a:r>
        </a:p>
      </xdr:txBody>
    </xdr:sp>
    <xdr:clientData/>
  </xdr:twoCellAnchor>
  <xdr:twoCellAnchor>
    <xdr:from>
      <xdr:col>0</xdr:col>
      <xdr:colOff>0</xdr:colOff>
      <xdr:row>7260</xdr:row>
      <xdr:rowOff>0</xdr:rowOff>
    </xdr:from>
    <xdr:to>
      <xdr:col>8</xdr:col>
      <xdr:colOff>0</xdr:colOff>
      <xdr:row>7264</xdr:row>
      <xdr:rowOff>0</xdr:rowOff>
    </xdr:to>
    <xdr:sp macro="" textlink="">
      <xdr:nvSpPr>
        <xdr:cNvPr id="490" name="Text Box 6"/>
        <xdr:cNvSpPr txBox="1">
          <a:spLocks noChangeArrowheads="1"/>
        </xdr:cNvSpPr>
      </xdr:nvSpPr>
      <xdr:spPr bwMode="auto">
        <a:xfrm>
          <a:off x="0" y="1013612400"/>
          <a:ext cx="6667500" cy="5715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Die Zielvorgabe basiert auf einem Kostendeckungsgrad von gesamthaft 100%.</a:t>
          </a:r>
        </a:p>
      </xdr:txBody>
    </xdr:sp>
    <xdr:clientData/>
  </xdr:twoCellAnchor>
  <xdr:twoCellAnchor>
    <xdr:from>
      <xdr:col>0</xdr:col>
      <xdr:colOff>0</xdr:colOff>
      <xdr:row>7266</xdr:row>
      <xdr:rowOff>0</xdr:rowOff>
    </xdr:from>
    <xdr:to>
      <xdr:col>8</xdr:col>
      <xdr:colOff>0</xdr:colOff>
      <xdr:row>7271</xdr:row>
      <xdr:rowOff>19050</xdr:rowOff>
    </xdr:to>
    <xdr:sp macro="" textlink="">
      <xdr:nvSpPr>
        <xdr:cNvPr id="491" name="Text Box 7"/>
        <xdr:cNvSpPr txBox="1">
          <a:spLocks noChangeArrowheads="1"/>
        </xdr:cNvSpPr>
      </xdr:nvSpPr>
      <xdr:spPr bwMode="auto">
        <a:xfrm>
          <a:off x="0" y="1014441075"/>
          <a:ext cx="6667500" cy="733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ct val="100000"/>
            </a:lnSpc>
            <a:defRPr sz="1000"/>
          </a:pPr>
          <a:r>
            <a:rPr kumimoji="0" lang="de-CH" sz="800" b="0" i="0" u="none" strike="noStrike" kern="0" cap="none" spc="0" normalizeH="0" baseline="0" noProof="0">
              <a:ln>
                <a:noFill/>
              </a:ln>
              <a:solidFill>
                <a:srgbClr val="000000"/>
              </a:solidFill>
              <a:effectLst/>
              <a:uLnTx/>
              <a:uFillTx/>
              <a:latin typeface="Arial"/>
              <a:ea typeface="+mn-ea"/>
              <a:cs typeface="Arial"/>
            </a:rPr>
            <a:t>Der Auftrag wird in seinen Grundzügen nicht verändert. Die SBZ wird jedoch ihre Dienstleistungen vermehrt anderen Gemeinwesen und Non-Profit-Organisationen zur Verfügung stellen (Vorwärtsstrategie gem. GRB)</a:t>
          </a:r>
          <a:r>
            <a:rPr lang="de-CH" sz="800" b="0" i="0" u="none" strike="noStrike" baseline="0">
              <a:solidFill>
                <a:srgbClr val="000000"/>
              </a:solidFill>
              <a:latin typeface="Arial"/>
              <a:cs typeface="Arial"/>
            </a:rPr>
            <a:t>. Durch die Erweiterung des Einkaufsvolumens können bessere Konditionen vereinbart werden, die sich positiv auf die Stadt auswirken. Margen- und Umsatzschwankungen entstehen durch Stadtrats- und Gemeinderatswahlen.</a:t>
          </a:r>
        </a:p>
      </xdr:txBody>
    </xdr:sp>
    <xdr:clientData/>
  </xdr:twoCellAnchor>
  <xdr:twoCellAnchor>
    <xdr:from>
      <xdr:col>0</xdr:col>
      <xdr:colOff>0</xdr:colOff>
      <xdr:row>7297</xdr:row>
      <xdr:rowOff>0</xdr:rowOff>
    </xdr:from>
    <xdr:to>
      <xdr:col>8</xdr:col>
      <xdr:colOff>0</xdr:colOff>
      <xdr:row>7300</xdr:row>
      <xdr:rowOff>0</xdr:rowOff>
    </xdr:to>
    <xdr:sp macro="" textlink="">
      <xdr:nvSpPr>
        <xdr:cNvPr id="492" name="Text Box 9"/>
        <xdr:cNvSpPr txBox="1">
          <a:spLocks noChangeArrowheads="1"/>
        </xdr:cNvSpPr>
      </xdr:nvSpPr>
      <xdr:spPr bwMode="auto">
        <a:xfrm>
          <a:off x="0" y="1018841625"/>
          <a:ext cx="6667500"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0</xdr:colOff>
      <xdr:row>7273</xdr:row>
      <xdr:rowOff>0</xdr:rowOff>
    </xdr:from>
    <xdr:to>
      <xdr:col>8</xdr:col>
      <xdr:colOff>0</xdr:colOff>
      <xdr:row>7275</xdr:row>
      <xdr:rowOff>0</xdr:rowOff>
    </xdr:to>
    <xdr:sp macro="" textlink="">
      <xdr:nvSpPr>
        <xdr:cNvPr id="493" name="Text Box 10"/>
        <xdr:cNvSpPr txBox="1">
          <a:spLocks noChangeArrowheads="1"/>
        </xdr:cNvSpPr>
      </xdr:nvSpPr>
      <xdr:spPr bwMode="auto">
        <a:xfrm>
          <a:off x="0" y="1015412625"/>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Alle städtischen Dienststellen, öffentlich rechtliche Anstalten der Stadt Bern (Energie Wasser Bern, Stadtbauten Bern, Bernmobil), städtische und auswärtige Schulen, andere Gemeinwesen, Kanton Bern sowie Non-Provit Organisationen, Lieferantinnen und Lieferanten.</a:t>
          </a:r>
        </a:p>
      </xdr:txBody>
    </xdr:sp>
    <xdr:clientData/>
  </xdr:twoCellAnchor>
  <xdr:twoCellAnchor>
    <xdr:from>
      <xdr:col>0</xdr:col>
      <xdr:colOff>0</xdr:colOff>
      <xdr:row>7252</xdr:row>
      <xdr:rowOff>0</xdr:rowOff>
    </xdr:from>
    <xdr:to>
      <xdr:col>8</xdr:col>
      <xdr:colOff>0</xdr:colOff>
      <xdr:row>7258</xdr:row>
      <xdr:rowOff>0</xdr:rowOff>
    </xdr:to>
    <xdr:sp macro="" textlink="">
      <xdr:nvSpPr>
        <xdr:cNvPr id="494" name="Text Box 11"/>
        <xdr:cNvSpPr txBox="1">
          <a:spLocks noChangeArrowheads="1"/>
        </xdr:cNvSpPr>
      </xdr:nvSpPr>
      <xdr:spPr bwMode="auto">
        <a:xfrm>
          <a:off x="0" y="1012355100"/>
          <a:ext cx="6667500" cy="8572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Die Schul- und Büromaterialzentrale (SBZ) ist die zentrale Beschaffungs- und Dienstleistungsstelle. Sie sorgt durch fachgerechte und ökologische Beratung für eine zweckmässige und optimale Ausrüstung und Versorgung der Kundinnen und Kunden.</a:t>
          </a:r>
        </a:p>
      </xdr:txBody>
    </xdr:sp>
    <xdr:clientData/>
  </xdr:twoCellAnchor>
  <xdr:twoCellAnchor>
    <xdr:from>
      <xdr:col>0</xdr:col>
      <xdr:colOff>0</xdr:colOff>
      <xdr:row>7328</xdr:row>
      <xdr:rowOff>0</xdr:rowOff>
    </xdr:from>
    <xdr:to>
      <xdr:col>8</xdr:col>
      <xdr:colOff>0</xdr:colOff>
      <xdr:row>7332</xdr:row>
      <xdr:rowOff>0</xdr:rowOff>
    </xdr:to>
    <xdr:sp macro="" textlink="">
      <xdr:nvSpPr>
        <xdr:cNvPr id="495" name="Text Box 6"/>
        <xdr:cNvSpPr txBox="1">
          <a:spLocks noChangeArrowheads="1"/>
        </xdr:cNvSpPr>
      </xdr:nvSpPr>
      <xdr:spPr bwMode="auto">
        <a:xfrm>
          <a:off x="0" y="1023280275"/>
          <a:ext cx="6659884" cy="5715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Die Zielvorgabe basiert auf einem Kostendeckungsgrad gesamthaft von 100%.</a:t>
          </a:r>
        </a:p>
        <a:p>
          <a:pPr algn="l" rtl="0">
            <a:defRPr sz="1000"/>
          </a:pPr>
          <a:r>
            <a:rPr lang="de-CH" sz="800" b="0" i="0" u="none" strike="noStrike" baseline="0">
              <a:solidFill>
                <a:srgbClr val="000000"/>
              </a:solidFill>
              <a:latin typeface="Arial"/>
              <a:cs typeface="Arial"/>
            </a:rPr>
            <a:t>Die Massnahme aus der Portfolio-Analyse zur Einsparung von Fr. 35'000.--  mittels Verzicht auf Wiederbesetzung einer 50% Stelle  ist ab 2012 berücksichtigt.</a:t>
          </a:r>
        </a:p>
      </xdr:txBody>
    </xdr:sp>
    <xdr:clientData/>
  </xdr:twoCellAnchor>
  <xdr:twoCellAnchor>
    <xdr:from>
      <xdr:col>0</xdr:col>
      <xdr:colOff>0</xdr:colOff>
      <xdr:row>7334</xdr:row>
      <xdr:rowOff>0</xdr:rowOff>
    </xdr:from>
    <xdr:to>
      <xdr:col>8</xdr:col>
      <xdr:colOff>0</xdr:colOff>
      <xdr:row>7339</xdr:row>
      <xdr:rowOff>19050</xdr:rowOff>
    </xdr:to>
    <xdr:sp macro="" textlink="">
      <xdr:nvSpPr>
        <xdr:cNvPr id="496" name="Text Box 7"/>
        <xdr:cNvSpPr txBox="1">
          <a:spLocks noChangeArrowheads="1"/>
        </xdr:cNvSpPr>
      </xdr:nvSpPr>
      <xdr:spPr bwMode="auto">
        <a:xfrm>
          <a:off x="0" y="1024108950"/>
          <a:ext cx="6659884" cy="733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indent="0" algn="l" rtl="0">
            <a:defRPr sz="1000"/>
          </a:pPr>
          <a:r>
            <a:rPr lang="de-CH" sz="800" b="0" i="0" u="none" strike="noStrike" baseline="0" noProof="0">
              <a:solidFill>
                <a:srgbClr val="000000"/>
              </a:solidFill>
              <a:latin typeface="Arial"/>
              <a:ea typeface="+mn-ea"/>
              <a:cs typeface="Arial"/>
            </a:rPr>
            <a:t>Der Auftrag wird in seinen Grundzügen nicht verändert. Die SBZ wird jedoch ihre Dienstleistungen vermehrt anderen Gemeinwesen und Non-Profit-Organisationen zur Verfügung stellen (Vorwärtsstrategie gem. GRB). </a:t>
          </a:r>
          <a:r>
            <a:rPr lang="de-CH" sz="800" b="0" i="0" u="none" strike="noStrike" baseline="0">
              <a:solidFill>
                <a:srgbClr val="000000"/>
              </a:solidFill>
              <a:latin typeface="Arial"/>
              <a:ea typeface="+mn-ea"/>
              <a:cs typeface="Arial"/>
            </a:rPr>
            <a:t> Insbesondere forciert die SBZ , den Kunden vermehrt logistische Gesamtlösungen anzubieten. Durch die Erweiterung des Einkaufsvolumens können bessere Konditionen vereinbart werden, die sich positiv auf die Stadt auswirken. </a:t>
          </a:r>
        </a:p>
        <a:p>
          <a:pPr marL="0" indent="0" algn="l" rtl="0">
            <a:defRPr sz="1000"/>
          </a:pPr>
          <a:endParaRPr lang="de-CH" sz="800" b="0" i="0" u="none" strike="noStrike" baseline="0">
            <a:solidFill>
              <a:srgbClr val="000000"/>
            </a:solidFill>
            <a:latin typeface="Arial"/>
            <a:ea typeface="+mn-ea"/>
            <a:cs typeface="Arial"/>
          </a:endParaRPr>
        </a:p>
      </xdr:txBody>
    </xdr:sp>
    <xdr:clientData/>
  </xdr:twoCellAnchor>
  <xdr:twoCellAnchor>
    <xdr:from>
      <xdr:col>0</xdr:col>
      <xdr:colOff>0</xdr:colOff>
      <xdr:row>7365</xdr:row>
      <xdr:rowOff>0</xdr:rowOff>
    </xdr:from>
    <xdr:to>
      <xdr:col>8</xdr:col>
      <xdr:colOff>0</xdr:colOff>
      <xdr:row>7368</xdr:row>
      <xdr:rowOff>0</xdr:rowOff>
    </xdr:to>
    <xdr:sp macro="" textlink="">
      <xdr:nvSpPr>
        <xdr:cNvPr id="497" name="Text Box 9"/>
        <xdr:cNvSpPr txBox="1">
          <a:spLocks noChangeArrowheads="1"/>
        </xdr:cNvSpPr>
      </xdr:nvSpPr>
      <xdr:spPr bwMode="auto">
        <a:xfrm>
          <a:off x="0" y="1028604750"/>
          <a:ext cx="6667500" cy="3524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0</xdr:colOff>
      <xdr:row>7341</xdr:row>
      <xdr:rowOff>0</xdr:rowOff>
    </xdr:from>
    <xdr:to>
      <xdr:col>8</xdr:col>
      <xdr:colOff>0</xdr:colOff>
      <xdr:row>7344</xdr:row>
      <xdr:rowOff>38100</xdr:rowOff>
    </xdr:to>
    <xdr:sp macro="" textlink="">
      <xdr:nvSpPr>
        <xdr:cNvPr id="498" name="Text Box 10"/>
        <xdr:cNvSpPr txBox="1">
          <a:spLocks noChangeArrowheads="1"/>
        </xdr:cNvSpPr>
      </xdr:nvSpPr>
      <xdr:spPr bwMode="auto">
        <a:xfrm>
          <a:off x="0" y="1025080500"/>
          <a:ext cx="6659884" cy="4667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Alle städtischen Dienststellen, öffentlich rechtliche Anstalten der Stadt Bern (Energie Wasser Bern, Stadtbauten Bern, Bernmobil), städtische und auswärtige Schulen, andere Gemeinwesen, Kanton Bern sowie Non-Provit Organisationen. Lieferantinnen und Lieferanten sowie die Schweizerische Post.</a:t>
          </a:r>
        </a:p>
      </xdr:txBody>
    </xdr:sp>
    <xdr:clientData/>
  </xdr:twoCellAnchor>
  <xdr:twoCellAnchor>
    <xdr:from>
      <xdr:col>0</xdr:col>
      <xdr:colOff>0</xdr:colOff>
      <xdr:row>7320</xdr:row>
      <xdr:rowOff>0</xdr:rowOff>
    </xdr:from>
    <xdr:to>
      <xdr:col>8</xdr:col>
      <xdr:colOff>0</xdr:colOff>
      <xdr:row>7326</xdr:row>
      <xdr:rowOff>0</xdr:rowOff>
    </xdr:to>
    <xdr:sp macro="" textlink="">
      <xdr:nvSpPr>
        <xdr:cNvPr id="499" name="Text Box 11"/>
        <xdr:cNvSpPr txBox="1">
          <a:spLocks noChangeArrowheads="1"/>
        </xdr:cNvSpPr>
      </xdr:nvSpPr>
      <xdr:spPr bwMode="auto">
        <a:xfrm>
          <a:off x="0" y="1022022975"/>
          <a:ext cx="6659884" cy="8572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Die Schul- und Büromaterialzentrale (SBZ) ist die zentrale Beschaffungs- und Dienstleistungsstelle. Sie sorgt durch fachgerechte und ökologische Beratung für eine zweckmässige und optimale Ausrüstung und Versorung der Kundinnen und Kunden.</a:t>
          </a:r>
        </a:p>
      </xdr:txBody>
    </xdr:sp>
    <xdr:clientData/>
  </xdr:twoCellAnchor>
  <xdr:twoCellAnchor>
    <xdr:from>
      <xdr:col>0</xdr:col>
      <xdr:colOff>0</xdr:colOff>
      <xdr:row>7396</xdr:row>
      <xdr:rowOff>0</xdr:rowOff>
    </xdr:from>
    <xdr:to>
      <xdr:col>8</xdr:col>
      <xdr:colOff>0</xdr:colOff>
      <xdr:row>7400</xdr:row>
      <xdr:rowOff>0</xdr:rowOff>
    </xdr:to>
    <xdr:sp macro="" textlink="">
      <xdr:nvSpPr>
        <xdr:cNvPr id="500" name="Text Box 6"/>
        <xdr:cNvSpPr txBox="1">
          <a:spLocks noChangeArrowheads="1"/>
        </xdr:cNvSpPr>
      </xdr:nvSpPr>
      <xdr:spPr bwMode="auto">
        <a:xfrm>
          <a:off x="0" y="1032929100"/>
          <a:ext cx="6667500" cy="5715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kumimoji="0" lang="de-CH" sz="800" b="0" i="0" u="none" strike="noStrike" kern="0" cap="none" spc="0" normalizeH="0" baseline="0" noProof="0">
              <a:ln>
                <a:noFill/>
              </a:ln>
              <a:solidFill>
                <a:srgbClr val="000000"/>
              </a:solidFill>
              <a:effectLst/>
              <a:uLnTx/>
              <a:uFillTx/>
              <a:latin typeface="Arial"/>
              <a:ea typeface="+mn-ea"/>
              <a:cs typeface="Arial"/>
            </a:rPr>
            <a:t>Die Massnahme aus der Portfolio-Analyse zur Einsparung von Personalkosten (2013 Einsparung Fr. 80'000.--, 2014 Einsparung Fr. 140'000.--) wird umgesetzt (siehe Text unten).</a:t>
          </a:r>
          <a:endParaRPr lang="de-CH" sz="800" b="0" i="0" u="none" strike="noStrike" baseline="0">
            <a:solidFill>
              <a:srgbClr val="000000"/>
            </a:solidFill>
            <a:latin typeface="Arial"/>
            <a:cs typeface="Arial"/>
          </a:endParaRPr>
        </a:p>
      </xdr:txBody>
    </xdr:sp>
    <xdr:clientData/>
  </xdr:twoCellAnchor>
  <xdr:twoCellAnchor>
    <xdr:from>
      <xdr:col>0</xdr:col>
      <xdr:colOff>0</xdr:colOff>
      <xdr:row>7402</xdr:row>
      <xdr:rowOff>0</xdr:rowOff>
    </xdr:from>
    <xdr:to>
      <xdr:col>8</xdr:col>
      <xdr:colOff>0</xdr:colOff>
      <xdr:row>7407</xdr:row>
      <xdr:rowOff>26697</xdr:rowOff>
    </xdr:to>
    <xdr:sp macro="" textlink="">
      <xdr:nvSpPr>
        <xdr:cNvPr id="501" name="Text Box 7"/>
        <xdr:cNvSpPr txBox="1">
          <a:spLocks noChangeArrowheads="1"/>
        </xdr:cNvSpPr>
      </xdr:nvSpPr>
      <xdr:spPr bwMode="auto">
        <a:xfrm>
          <a:off x="0" y="1033757775"/>
          <a:ext cx="6667500" cy="1055397"/>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ea typeface="+mn-ea"/>
              <a:cs typeface="Arial"/>
            </a:rPr>
            <a:t>2012 erfolgt die Anstellung  einer Stellvertretung des Finanzinspektors. Die dadurch entstehenden Kosten und eine Erhöhung des Sachaufwandes durch die Beschaffung einer Software für die Mandatsverwaltung führen zu einer vorübergehenden Erhöhung der Nettokosten im Jahre 2013. Ende 2013 werden zwei Mitarbeitende pensioniert. Eine dieser Stellen wird durch die Anstellung des Stellvertreters vorkompensiert, die andere Stelle fällt weg. 2015 erfolgt eine Erhöhung des Sachaufwandes wegen der durch den Umzug ins Beerhaus anfallenden, einmaligen Umzugskosten sowie jährlich anfallende zusätzliche Mietkosten von rund Fr. 30'000.00.</a:t>
          </a:r>
          <a:r>
            <a:rPr lang="de-CH" sz="600" b="0" i="0" u="none" strike="noStrike" baseline="0">
              <a:solidFill>
                <a:srgbClr val="000000"/>
              </a:solidFill>
              <a:latin typeface="Arial"/>
              <a:cs typeface="Arial"/>
            </a:rPr>
            <a:t> </a:t>
          </a:r>
        </a:p>
        <a:p>
          <a:pPr algn="l" rtl="0">
            <a:defRPr sz="1000"/>
          </a:pPr>
          <a:endParaRPr lang="de-CH" sz="600" b="0" i="0" u="none" strike="noStrike" baseline="0">
            <a:solidFill>
              <a:srgbClr val="000000"/>
            </a:solidFill>
            <a:latin typeface="Arial"/>
            <a:cs typeface="Arial"/>
          </a:endParaRPr>
        </a:p>
        <a:p>
          <a:pPr algn="l" rtl="0">
            <a:defRPr sz="1000"/>
          </a:pPr>
          <a:endParaRPr lang="de-CH" sz="600" b="0" i="0" u="none" strike="noStrike" baseline="0">
            <a:solidFill>
              <a:srgbClr val="000000"/>
            </a:solidFill>
            <a:latin typeface="Arial"/>
            <a:cs typeface="Arial"/>
          </a:endParaRPr>
        </a:p>
      </xdr:txBody>
    </xdr:sp>
    <xdr:clientData/>
  </xdr:twoCellAnchor>
  <xdr:twoCellAnchor>
    <xdr:from>
      <xdr:col>0</xdr:col>
      <xdr:colOff>0</xdr:colOff>
      <xdr:row>7433</xdr:row>
      <xdr:rowOff>0</xdr:rowOff>
    </xdr:from>
    <xdr:to>
      <xdr:col>8</xdr:col>
      <xdr:colOff>0</xdr:colOff>
      <xdr:row>7436</xdr:row>
      <xdr:rowOff>0</xdr:rowOff>
    </xdr:to>
    <xdr:sp macro="" textlink="">
      <xdr:nvSpPr>
        <xdr:cNvPr id="502" name="Text Box 9"/>
        <xdr:cNvSpPr txBox="1">
          <a:spLocks noChangeArrowheads="1"/>
        </xdr:cNvSpPr>
      </xdr:nvSpPr>
      <xdr:spPr bwMode="auto">
        <a:xfrm>
          <a:off x="0" y="1038472650"/>
          <a:ext cx="6667500"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a:t>
          </a:r>
        </a:p>
      </xdr:txBody>
    </xdr:sp>
    <xdr:clientData/>
  </xdr:twoCellAnchor>
  <xdr:twoCellAnchor>
    <xdr:from>
      <xdr:col>0</xdr:col>
      <xdr:colOff>0</xdr:colOff>
      <xdr:row>7409</xdr:row>
      <xdr:rowOff>0</xdr:rowOff>
    </xdr:from>
    <xdr:to>
      <xdr:col>8</xdr:col>
      <xdr:colOff>0</xdr:colOff>
      <xdr:row>7411</xdr:row>
      <xdr:rowOff>0</xdr:rowOff>
    </xdr:to>
    <xdr:sp macro="" textlink="">
      <xdr:nvSpPr>
        <xdr:cNvPr id="503" name="Text Box 10"/>
        <xdr:cNvSpPr txBox="1">
          <a:spLocks noChangeArrowheads="1"/>
        </xdr:cNvSpPr>
      </xdr:nvSpPr>
      <xdr:spPr bwMode="auto">
        <a:xfrm>
          <a:off x="0" y="1035043650"/>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Gemeinderat, Direktionen und Dienststellen der Stadtverwaltung Bern sowie subventionierte Institutionen.</a:t>
          </a:r>
        </a:p>
      </xdr:txBody>
    </xdr:sp>
    <xdr:clientData/>
  </xdr:twoCellAnchor>
  <xdr:twoCellAnchor>
    <xdr:from>
      <xdr:col>0</xdr:col>
      <xdr:colOff>0</xdr:colOff>
      <xdr:row>7388</xdr:row>
      <xdr:rowOff>0</xdr:rowOff>
    </xdr:from>
    <xdr:to>
      <xdr:col>8</xdr:col>
      <xdr:colOff>0</xdr:colOff>
      <xdr:row>7394</xdr:row>
      <xdr:rowOff>0</xdr:rowOff>
    </xdr:to>
    <xdr:sp macro="" textlink="">
      <xdr:nvSpPr>
        <xdr:cNvPr id="504" name="Text Box 11"/>
        <xdr:cNvSpPr txBox="1">
          <a:spLocks noChangeArrowheads="1"/>
        </xdr:cNvSpPr>
      </xdr:nvSpPr>
      <xdr:spPr bwMode="auto">
        <a:xfrm>
          <a:off x="0" y="1031671800"/>
          <a:ext cx="6667500" cy="8572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Keine. </a:t>
          </a:r>
        </a:p>
      </xdr:txBody>
    </xdr:sp>
    <xdr:clientData/>
  </xdr:twoCellAnchor>
  <xdr:twoCellAnchor>
    <xdr:from>
      <xdr:col>0</xdr:col>
      <xdr:colOff>0</xdr:colOff>
      <xdr:row>7463</xdr:row>
      <xdr:rowOff>285749</xdr:rowOff>
    </xdr:from>
    <xdr:to>
      <xdr:col>8</xdr:col>
      <xdr:colOff>0</xdr:colOff>
      <xdr:row>7468</xdr:row>
      <xdr:rowOff>214313</xdr:rowOff>
    </xdr:to>
    <xdr:sp macro="" textlink="">
      <xdr:nvSpPr>
        <xdr:cNvPr id="505" name="Text Box 6"/>
        <xdr:cNvSpPr txBox="1">
          <a:spLocks noChangeArrowheads="1"/>
        </xdr:cNvSpPr>
      </xdr:nvSpPr>
      <xdr:spPr bwMode="auto">
        <a:xfrm>
          <a:off x="0" y="1042873199"/>
          <a:ext cx="6667500" cy="78581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Die Berechnungen für die Planjahre 2013 bis 2016 erfolgten auf der Basis des heute gültigen Rahmenvertrages 2009 bis 2012. Der neue Rahmenvertrag wird gleichzeitig mit dem laufenden Projekt "Zukünftiges Immobilienmanagement der Stadt Bern (ZIMBE)" erarbeitet. Dieses Projekt wird aufgrund des Volksentscheids vom 15. Mai 2011 über die Rückführung der Stadtbauten in die Stadtverwaltung durchgeführt.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800" b="0" i="0" u="none" strike="noStrike" kern="0" cap="none" spc="0" normalizeH="0" baseline="0" noProof="0">
              <a:ln>
                <a:noFill/>
              </a:ln>
              <a:solidFill>
                <a:sysClr val="windowText" lastClr="000000"/>
              </a:solidFill>
              <a:effectLst/>
              <a:uLnTx/>
              <a:uFillTx/>
              <a:latin typeface="Arial"/>
              <a:ea typeface="+mn-ea"/>
              <a:cs typeface="Arial"/>
            </a:rPr>
            <a:t>Trotz sinkender Gewinne, bedingt durch die nicht Weiterverrechnung der Kostenentwicklung der Jahre 2009 bis 2012 von je rund 7 Mio. Franken, können die vom Gemeinderat gemäss Portfiolioanalyse jährlich verlangten, um 4 Mio. Franken erhöhten Gewinnablieferungen mittels Rationalisierungsmassnahmen und unter Verwendung des Gewinnvortrags sichergestellt werden.</a:t>
          </a:r>
        </a:p>
        <a:p>
          <a:pPr algn="l" rtl="0">
            <a:defRPr sz="1000"/>
          </a:pPr>
          <a:endParaRPr lang="de-CH" sz="800" b="0" i="0" u="none" strike="noStrike" baseline="0">
            <a:solidFill>
              <a:srgbClr val="000000"/>
            </a:solidFill>
            <a:latin typeface="Arial"/>
            <a:cs typeface="Arial"/>
          </a:endParaRPr>
        </a:p>
      </xdr:txBody>
    </xdr:sp>
    <xdr:clientData/>
  </xdr:twoCellAnchor>
  <xdr:twoCellAnchor>
    <xdr:from>
      <xdr:col>0</xdr:col>
      <xdr:colOff>0</xdr:colOff>
      <xdr:row>7470</xdr:row>
      <xdr:rowOff>0</xdr:rowOff>
    </xdr:from>
    <xdr:to>
      <xdr:col>8</xdr:col>
      <xdr:colOff>0</xdr:colOff>
      <xdr:row>7476</xdr:row>
      <xdr:rowOff>19050</xdr:rowOff>
    </xdr:to>
    <xdr:sp macro="" textlink="">
      <xdr:nvSpPr>
        <xdr:cNvPr id="506" name="Text Box 7"/>
        <xdr:cNvSpPr txBox="1">
          <a:spLocks noChangeArrowheads="1"/>
        </xdr:cNvSpPr>
      </xdr:nvSpPr>
      <xdr:spPr bwMode="auto">
        <a:xfrm>
          <a:off x="0" y="1043844750"/>
          <a:ext cx="6667500" cy="87630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ysClr val="windowText" lastClr="000000"/>
              </a:solidFill>
              <a:latin typeface="Arial"/>
              <a:cs typeface="Arial"/>
            </a:rPr>
            <a:t>Die Rückführung der Stadtbauten per 1. Januar 2014 wird bei den einzelnen Produktegruppen nicht berücksichtigt, sondern global bei der vorliegenden PG690100.</a:t>
          </a:r>
        </a:p>
        <a:p>
          <a:pPr algn="l" rtl="0">
            <a:defRPr sz="1000"/>
          </a:pPr>
          <a:r>
            <a:rPr lang="de-CH" sz="800" b="0" i="0" u="none" strike="noStrike" baseline="0">
              <a:solidFill>
                <a:sysClr val="windowText" lastClr="000000"/>
              </a:solidFill>
              <a:latin typeface="Arial"/>
              <a:cs typeface="Arial"/>
            </a:rPr>
            <a:t>Der Gewinnvortrag per 31.12.2013 gemäss Finanzplanung der Stadtbauten wird vor Überführung der StaBe im Jahr 2013 vollständig an die Stadt ausgeschüttet. Der ab Planjahr 2014 ausgewiesene Überschuss der Produktegruppe entspricht der Differenz zwischen den momentan gesamtstädtisch eingerechneten Mietkosten sowie den tatsächlichen Kosten der Stadtbauten. Spätestens bei der Erarbeitung des Budgets 2013 werden die Auswirkungen aus dem Projekt ZIMBE direkt bei den Produktegruppen eingestellt (gleichzeitig mit Umsetzung HRM2).</a:t>
          </a:r>
        </a:p>
      </xdr:txBody>
    </xdr:sp>
    <xdr:clientData/>
  </xdr:twoCellAnchor>
  <xdr:twoCellAnchor>
    <xdr:from>
      <xdr:col>0</xdr:col>
      <xdr:colOff>0</xdr:colOff>
      <xdr:row>7502</xdr:row>
      <xdr:rowOff>0</xdr:rowOff>
    </xdr:from>
    <xdr:to>
      <xdr:col>8</xdr:col>
      <xdr:colOff>0</xdr:colOff>
      <xdr:row>7505</xdr:row>
      <xdr:rowOff>0</xdr:rowOff>
    </xdr:to>
    <xdr:sp macro="" textlink="">
      <xdr:nvSpPr>
        <xdr:cNvPr id="507" name="Text Box 9"/>
        <xdr:cNvSpPr txBox="1">
          <a:spLocks noChangeArrowheads="1"/>
        </xdr:cNvSpPr>
      </xdr:nvSpPr>
      <xdr:spPr bwMode="auto">
        <a:xfrm>
          <a:off x="0" y="1048388175"/>
          <a:ext cx="6667500" cy="4286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0</xdr:col>
      <xdr:colOff>0</xdr:colOff>
      <xdr:row>7478</xdr:row>
      <xdr:rowOff>0</xdr:rowOff>
    </xdr:from>
    <xdr:to>
      <xdr:col>8</xdr:col>
      <xdr:colOff>0</xdr:colOff>
      <xdr:row>7480</xdr:row>
      <xdr:rowOff>0</xdr:rowOff>
    </xdr:to>
    <xdr:sp macro="" textlink="">
      <xdr:nvSpPr>
        <xdr:cNvPr id="508" name="Text Box 10"/>
        <xdr:cNvSpPr txBox="1">
          <a:spLocks noChangeArrowheads="1"/>
        </xdr:cNvSpPr>
      </xdr:nvSpPr>
      <xdr:spPr bwMode="auto">
        <a:xfrm>
          <a:off x="0" y="1044959175"/>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Stadtverwaltung.</a:t>
          </a:r>
        </a:p>
      </xdr:txBody>
    </xdr:sp>
    <xdr:clientData/>
  </xdr:twoCellAnchor>
  <xdr:twoCellAnchor>
    <xdr:from>
      <xdr:col>0</xdr:col>
      <xdr:colOff>0</xdr:colOff>
      <xdr:row>7456</xdr:row>
      <xdr:rowOff>0</xdr:rowOff>
    </xdr:from>
    <xdr:to>
      <xdr:col>8</xdr:col>
      <xdr:colOff>0</xdr:colOff>
      <xdr:row>7462</xdr:row>
      <xdr:rowOff>0</xdr:rowOff>
    </xdr:to>
    <xdr:sp macro="" textlink="">
      <xdr:nvSpPr>
        <xdr:cNvPr id="509" name="Text Box 11"/>
        <xdr:cNvSpPr txBox="1">
          <a:spLocks noChangeArrowheads="1"/>
        </xdr:cNvSpPr>
      </xdr:nvSpPr>
      <xdr:spPr bwMode="auto">
        <a:xfrm>
          <a:off x="0" y="1041615900"/>
          <a:ext cx="6667500" cy="8572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de-CH" sz="800" b="0" i="0" u="none" strike="noStrike" baseline="0">
              <a:solidFill>
                <a:srgbClr val="000000"/>
              </a:solidFill>
              <a:latin typeface="Arial"/>
              <a:cs typeface="Arial"/>
            </a:rPr>
            <a:t>Kein Bezug zu den Legislaturrichtlinien.</a:t>
          </a:r>
        </a:p>
      </xdr:txBody>
    </xdr:sp>
    <xdr:clientData/>
  </xdr:twoCellAnchor>
  <xdr:twoCellAnchor>
    <xdr:from>
      <xdr:col>0</xdr:col>
      <xdr:colOff>0</xdr:colOff>
      <xdr:row>5461</xdr:row>
      <xdr:rowOff>9525</xdr:rowOff>
    </xdr:from>
    <xdr:to>
      <xdr:col>8</xdr:col>
      <xdr:colOff>0</xdr:colOff>
      <xdr:row>5463</xdr:row>
      <xdr:rowOff>9525</xdr:rowOff>
    </xdr:to>
    <xdr:sp macro="" textlink="">
      <xdr:nvSpPr>
        <xdr:cNvPr id="510" name="Text Box 10"/>
        <xdr:cNvSpPr txBox="1">
          <a:spLocks noChangeArrowheads="1"/>
        </xdr:cNvSpPr>
      </xdr:nvSpPr>
      <xdr:spPr bwMode="auto">
        <a:xfrm>
          <a:off x="0" y="750722400"/>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8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Verwaltung, politische Behörden, Bund, Kanton, Quartierorganisationen, Medien, Bauherren im öffentlichen Raum (ewb, Bernmobil, Stadtbauten, Telekommunikationsanbieter etc), Ingenieur- und Planungsfirmen, Bauunternehmungen, Lieferanten, Bürgerinnen und Bürger.</a:t>
          </a:r>
        </a:p>
      </xdr:txBody>
    </xdr:sp>
    <xdr:clientData/>
  </xdr:twoCellAnchor>
  <xdr:twoCellAnchor>
    <xdr:from>
      <xdr:col>0</xdr:col>
      <xdr:colOff>0</xdr:colOff>
      <xdr:row>5456</xdr:row>
      <xdr:rowOff>28575</xdr:rowOff>
    </xdr:from>
    <xdr:to>
      <xdr:col>8</xdr:col>
      <xdr:colOff>0</xdr:colOff>
      <xdr:row>5458</xdr:row>
      <xdr:rowOff>28575</xdr:rowOff>
    </xdr:to>
    <xdr:sp macro="" textlink="">
      <xdr:nvSpPr>
        <xdr:cNvPr id="511" name="Text Box 10"/>
        <xdr:cNvSpPr txBox="1">
          <a:spLocks noChangeArrowheads="1"/>
        </xdr:cNvSpPr>
      </xdr:nvSpPr>
      <xdr:spPr bwMode="auto">
        <a:xfrm>
          <a:off x="0" y="750027075"/>
          <a:ext cx="6667500" cy="2857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8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Keine.</a:t>
          </a:r>
        </a:p>
      </xdr:txBody>
    </xdr:sp>
    <xdr:clientData/>
  </xdr:twoCellAnchor>
  <xdr:twoCellAnchor>
    <xdr:from>
      <xdr:col>0</xdr:col>
      <xdr:colOff>0</xdr:colOff>
      <xdr:row>5521</xdr:row>
      <xdr:rowOff>0</xdr:rowOff>
    </xdr:from>
    <xdr:to>
      <xdr:col>8</xdr:col>
      <xdr:colOff>0</xdr:colOff>
      <xdr:row>5525</xdr:row>
      <xdr:rowOff>0</xdr:rowOff>
    </xdr:to>
    <xdr:sp macro="" textlink="">
      <xdr:nvSpPr>
        <xdr:cNvPr id="512" name="Text Box 10"/>
        <xdr:cNvSpPr txBox="1">
          <a:spLocks noChangeArrowheads="1"/>
        </xdr:cNvSpPr>
      </xdr:nvSpPr>
      <xdr:spPr bwMode="auto">
        <a:xfrm>
          <a:off x="0" y="761095125"/>
          <a:ext cx="6667500" cy="5619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lvl="0" indent="0" defTabSz="914400" rtl="0" eaLnBrk="1" fontAlgn="auto" latinLnBrk="0" hangingPunct="1">
            <a:lnSpc>
              <a:spcPct val="100000"/>
            </a:lnSpc>
            <a:spcBef>
              <a:spcPts val="0"/>
            </a:spcBef>
            <a:spcAft>
              <a:spcPts val="0"/>
            </a:spcAft>
            <a:buClrTx/>
            <a:buSzTx/>
            <a:buFontTx/>
            <a:buNone/>
            <a:tabLst/>
            <a:defRPr/>
          </a:pPr>
          <a:r>
            <a:rPr kumimoji="0" lang="de-CH" sz="8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Keine.</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de-CH" sz="8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kumimoji="0" lang="de-CH" sz="8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Hinweis: In dieser Produktegruppe wird der gesamtstädtische Abschreibungsausgleich vorgenommen. Die Zahlen 2013 entsprechen den gesamtstädtischen Vorgaben und sind im Wesentlichen verantwortlich für die Veränderungen der Nettokosten.</a:t>
          </a:r>
        </a:p>
      </xdr:txBody>
    </xdr:sp>
    <xdr:clientData/>
  </xdr:twoCellAnchor>
  <xdr:twoCellAnchor>
    <xdr:from>
      <xdr:col>0</xdr:col>
      <xdr:colOff>0</xdr:colOff>
      <xdr:row>5729</xdr:row>
      <xdr:rowOff>0</xdr:rowOff>
    </xdr:from>
    <xdr:to>
      <xdr:col>8</xdr:col>
      <xdr:colOff>0</xdr:colOff>
      <xdr:row>5733</xdr:row>
      <xdr:rowOff>114300</xdr:rowOff>
    </xdr:to>
    <xdr:sp macro="" textlink="">
      <xdr:nvSpPr>
        <xdr:cNvPr id="513" name="Text Box 6"/>
        <xdr:cNvSpPr txBox="1">
          <a:spLocks noChangeArrowheads="1"/>
        </xdr:cNvSpPr>
      </xdr:nvSpPr>
      <xdr:spPr bwMode="auto">
        <a:xfrm>
          <a:off x="0" y="792994350"/>
          <a:ext cx="6667500" cy="6762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CH" sz="800" b="0"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ewb wird die Stadtbeleuchtung bis Ende 2013 auf neuere, stromsparende Leuchtmittel umstellen - dazu laufen bereits Versuche mit LED-Technologie. Trotzdem werden die Kosten aufgrund der geschilderten Entwicklungstendenzen generell ansteigen (Nutzungsdruck, Stadterweiterung, Sicherheitsempfinden, Gestaltungsansprüche).</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de-CH" sz="800" b="0" i="0" u="none" strike="noStrike" baseline="0">
            <a:solidFill>
              <a:srgbClr val="800080"/>
            </a:solidFill>
            <a:latin typeface="Arial"/>
            <a:cs typeface="Arial"/>
          </a:endParaRPr>
        </a:p>
        <a:p>
          <a:pPr algn="l" rtl="0">
            <a:lnSpc>
              <a:spcPts val="500"/>
            </a:lnSpc>
            <a:defRPr sz="1000"/>
          </a:pPr>
          <a:endParaRPr lang="de-CH" sz="800" b="0" i="0" u="none" strike="noStrike" baseline="0">
            <a:solidFill>
              <a:srgbClr val="000000"/>
            </a:solidFill>
            <a:latin typeface="Arial"/>
            <a:cs typeface="Arial"/>
          </a:endParaRPr>
        </a:p>
        <a:p>
          <a:pPr algn="l" rtl="0">
            <a:lnSpc>
              <a:spcPts val="600"/>
            </a:lnSpc>
            <a:defRPr sz="1000"/>
          </a:pPr>
          <a:endParaRPr lang="de-CH" sz="800" b="0" i="0" u="none" strike="noStrike" baseline="0">
            <a:solidFill>
              <a:srgbClr val="000000"/>
            </a:solidFill>
            <a:latin typeface="Arial"/>
            <a:cs typeface="Arial"/>
          </a:endParaRPr>
        </a:p>
        <a:p>
          <a:pPr algn="l" rtl="0">
            <a:lnSpc>
              <a:spcPts val="600"/>
            </a:lnSpc>
            <a:defRPr sz="1000"/>
          </a:pPr>
          <a:endParaRPr lang="de-CH" sz="8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7">
    <pageSetUpPr fitToPage="1"/>
  </sheetPr>
  <dimension ref="A1:O818"/>
  <sheetViews>
    <sheetView tabSelected="1" zoomScaleNormal="100" workbookViewId="0"/>
  </sheetViews>
  <sheetFormatPr baseColWidth="10" defaultRowHeight="14.25" outlineLevelRow="1" outlineLevelCol="1"/>
  <cols>
    <col min="1" max="1" width="4.7109375" style="153" customWidth="1"/>
    <col min="2" max="2" width="37.28515625" style="153" customWidth="1"/>
    <col min="3" max="4" width="12.7109375" style="146" hidden="1" customWidth="1" outlineLevel="1"/>
    <col min="5" max="5" width="12.7109375" style="146" customWidth="1" collapsed="1"/>
    <col min="6" max="6" width="12.7109375" style="146" hidden="1" customWidth="1" outlineLevel="1"/>
    <col min="7" max="7" width="12.7109375" style="146" customWidth="1" collapsed="1"/>
    <col min="8" max="12" width="12.7109375" style="146" customWidth="1"/>
    <col min="13" max="16384" width="11.42578125" style="146"/>
  </cols>
  <sheetData>
    <row r="1" spans="1:15" s="142" customFormat="1" ht="15.75">
      <c r="A1" s="137"/>
      <c r="B1" s="137"/>
      <c r="C1" s="138"/>
      <c r="D1" s="139"/>
      <c r="E1" s="140"/>
      <c r="F1" s="141"/>
      <c r="G1" s="141"/>
      <c r="H1" s="141"/>
      <c r="I1" s="141"/>
      <c r="J1" s="141"/>
      <c r="K1" s="141"/>
      <c r="L1" s="141"/>
    </row>
    <row r="2" spans="1:15" ht="19.149999999999999" customHeight="1">
      <c r="A2" s="143"/>
      <c r="B2" s="144"/>
      <c r="C2" s="145" t="s">
        <v>59</v>
      </c>
      <c r="D2" s="145" t="s">
        <v>59</v>
      </c>
      <c r="E2" s="145" t="s">
        <v>59</v>
      </c>
      <c r="F2" s="145" t="s">
        <v>60</v>
      </c>
      <c r="G2" s="145" t="s">
        <v>59</v>
      </c>
      <c r="H2" s="145" t="s">
        <v>60</v>
      </c>
      <c r="I2" s="145" t="s">
        <v>61</v>
      </c>
      <c r="J2" s="145" t="s">
        <v>61</v>
      </c>
      <c r="K2" s="145" t="s">
        <v>61</v>
      </c>
      <c r="L2" s="145" t="s">
        <v>61</v>
      </c>
    </row>
    <row r="3" spans="1:15" ht="16.899999999999999" customHeight="1">
      <c r="A3" s="147"/>
      <c r="B3" s="148" t="s">
        <v>62</v>
      </c>
      <c r="C3" s="149">
        <v>2008</v>
      </c>
      <c r="D3" s="149">
        <v>2009</v>
      </c>
      <c r="E3" s="149">
        <v>2010</v>
      </c>
      <c r="F3" s="150">
        <v>2011</v>
      </c>
      <c r="G3" s="150">
        <v>2011</v>
      </c>
      <c r="H3" s="150">
        <v>2012</v>
      </c>
      <c r="I3" s="150">
        <v>2013</v>
      </c>
      <c r="J3" s="150">
        <v>2014</v>
      </c>
      <c r="K3" s="150">
        <v>2015</v>
      </c>
      <c r="L3" s="150">
        <v>2016</v>
      </c>
    </row>
    <row r="4" spans="1:15" ht="15.95" customHeight="1">
      <c r="A4" s="151"/>
      <c r="B4" s="152"/>
      <c r="C4" s="397"/>
      <c r="D4" s="397"/>
      <c r="E4" s="397"/>
      <c r="F4" s="398"/>
      <c r="G4" s="398"/>
      <c r="H4" s="322"/>
      <c r="L4" s="399"/>
    </row>
    <row r="5" spans="1:15" ht="8.4499999999999993" customHeight="1">
      <c r="A5" s="147"/>
      <c r="C5" s="154"/>
      <c r="D5" s="154"/>
      <c r="E5" s="154"/>
      <c r="F5" s="155"/>
      <c r="G5" s="155"/>
      <c r="H5" s="155"/>
      <c r="I5" s="155"/>
      <c r="J5" s="155"/>
      <c r="K5" s="155"/>
      <c r="L5" s="155"/>
    </row>
    <row r="6" spans="1:15" s="160" customFormat="1" ht="15.95" customHeight="1">
      <c r="A6" s="156"/>
      <c r="B6" s="157" t="s">
        <v>63</v>
      </c>
      <c r="C6" s="158"/>
      <c r="D6" s="158"/>
      <c r="E6" s="158"/>
      <c r="F6" s="159"/>
      <c r="G6" s="159"/>
      <c r="H6" s="159"/>
      <c r="I6" s="159"/>
      <c r="J6" s="159"/>
      <c r="K6" s="159"/>
      <c r="L6" s="159"/>
    </row>
    <row r="7" spans="1:15" s="160" customFormat="1" ht="15.95" customHeight="1">
      <c r="A7" s="156"/>
      <c r="B7" s="161" t="s">
        <v>64</v>
      </c>
      <c r="C7" s="162">
        <v>256</v>
      </c>
      <c r="D7" s="162">
        <f>254.1-1.9</f>
        <v>252.2</v>
      </c>
      <c r="E7" s="162">
        <v>265.10000000000002</v>
      </c>
      <c r="F7" s="163">
        <v>249.4</v>
      </c>
      <c r="G7" s="163">
        <v>255.7</v>
      </c>
      <c r="H7" s="163">
        <v>249.4</v>
      </c>
      <c r="I7" s="163">
        <v>256.7</v>
      </c>
      <c r="J7" s="163">
        <v>260.60000000000002</v>
      </c>
      <c r="K7" s="163">
        <v>264.5</v>
      </c>
      <c r="L7" s="163">
        <v>268.39999999999998</v>
      </c>
    </row>
    <row r="8" spans="1:15" s="160" customFormat="1" ht="15.95" customHeight="1">
      <c r="A8" s="156"/>
      <c r="B8" s="161" t="s">
        <v>65</v>
      </c>
      <c r="C8" s="162">
        <v>18.3</v>
      </c>
      <c r="D8" s="162">
        <f>19.4+0.1</f>
        <v>19.5</v>
      </c>
      <c r="E8" s="162">
        <v>18.899999999999999</v>
      </c>
      <c r="F8" s="163">
        <v>19</v>
      </c>
      <c r="G8" s="163">
        <v>22.5</v>
      </c>
      <c r="H8" s="163">
        <v>18.5</v>
      </c>
      <c r="I8" s="163">
        <v>19.5</v>
      </c>
      <c r="J8" s="163">
        <v>19.5</v>
      </c>
      <c r="K8" s="163">
        <v>19.5</v>
      </c>
      <c r="L8" s="163">
        <v>19.5</v>
      </c>
      <c r="M8" s="164"/>
      <c r="N8" s="164"/>
      <c r="O8" s="164"/>
    </row>
    <row r="9" spans="1:15" s="160" customFormat="1" ht="15.95" customHeight="1">
      <c r="A9" s="156"/>
      <c r="B9" s="165" t="s">
        <v>66</v>
      </c>
      <c r="C9" s="166">
        <v>26.9</v>
      </c>
      <c r="D9" s="166">
        <v>24</v>
      </c>
      <c r="E9" s="166">
        <v>25.4</v>
      </c>
      <c r="F9" s="167">
        <v>23.5</v>
      </c>
      <c r="G9" s="167">
        <v>22.7</v>
      </c>
      <c r="H9" s="167">
        <v>21.6</v>
      </c>
      <c r="I9" s="167">
        <v>23.9</v>
      </c>
      <c r="J9" s="167">
        <v>25.1</v>
      </c>
      <c r="K9" s="167">
        <v>26.3</v>
      </c>
      <c r="L9" s="167">
        <v>27.7</v>
      </c>
    </row>
    <row r="10" spans="1:15" s="160" customFormat="1" ht="8.4499999999999993" customHeight="1">
      <c r="A10" s="156"/>
      <c r="B10" s="161"/>
      <c r="C10" s="168"/>
      <c r="D10" s="274"/>
      <c r="E10" s="274"/>
      <c r="F10" s="169"/>
      <c r="G10" s="169"/>
      <c r="H10" s="169"/>
      <c r="I10" s="169"/>
      <c r="J10" s="169"/>
      <c r="K10" s="169"/>
      <c r="L10" s="169"/>
    </row>
    <row r="11" spans="1:15" s="160" customFormat="1" ht="15.95" customHeight="1">
      <c r="A11" s="156"/>
      <c r="B11" s="157" t="s">
        <v>67</v>
      </c>
      <c r="C11" s="162"/>
      <c r="D11" s="162"/>
      <c r="E11" s="162"/>
      <c r="F11" s="163"/>
      <c r="G11" s="163"/>
      <c r="H11" s="163"/>
      <c r="I11" s="163"/>
      <c r="J11" s="163"/>
      <c r="K11" s="163"/>
      <c r="L11" s="163"/>
    </row>
    <row r="12" spans="1:15" s="160" customFormat="1" ht="15.95" customHeight="1">
      <c r="A12" s="156"/>
      <c r="B12" s="165" t="s">
        <v>68</v>
      </c>
      <c r="C12" s="166">
        <v>93.7</v>
      </c>
      <c r="D12" s="166">
        <v>76.3</v>
      </c>
      <c r="E12" s="166">
        <v>105.2</v>
      </c>
      <c r="F12" s="167">
        <v>81.7</v>
      </c>
      <c r="G12" s="167">
        <v>79.099999999999994</v>
      </c>
      <c r="H12" s="167">
        <v>101.5</v>
      </c>
      <c r="I12" s="167">
        <f>85.7+5</f>
        <v>90.7</v>
      </c>
      <c r="J12" s="167">
        <f>87.6+6.4</f>
        <v>94</v>
      </c>
      <c r="K12" s="167">
        <f>90.4+6.3</f>
        <v>96.7</v>
      </c>
      <c r="L12" s="167">
        <f>92.3+7.9</f>
        <v>100.2</v>
      </c>
    </row>
    <row r="13" spans="1:15" s="160" customFormat="1" ht="8.4499999999999993" customHeight="1">
      <c r="A13" s="156"/>
      <c r="B13" s="161"/>
      <c r="C13" s="162"/>
      <c r="D13" s="162"/>
      <c r="E13" s="162"/>
      <c r="F13" s="163"/>
      <c r="G13" s="163"/>
      <c r="H13" s="163"/>
      <c r="I13" s="163"/>
      <c r="J13" s="163"/>
      <c r="K13" s="163"/>
      <c r="L13" s="163"/>
    </row>
    <row r="14" spans="1:15" s="174" customFormat="1" ht="15.95" customHeight="1">
      <c r="A14" s="170"/>
      <c r="B14" s="171" t="s">
        <v>69</v>
      </c>
      <c r="C14" s="172">
        <v>-13.5</v>
      </c>
      <c r="D14" s="172">
        <v>-9.5</v>
      </c>
      <c r="E14" s="172">
        <v>-13.8</v>
      </c>
      <c r="F14" s="173">
        <v>-13.3</v>
      </c>
      <c r="G14" s="173">
        <v>1.1000000000000001</v>
      </c>
      <c r="H14" s="173">
        <v>-17.3</v>
      </c>
      <c r="I14" s="173">
        <v>-11.7</v>
      </c>
      <c r="J14" s="173">
        <v>-12</v>
      </c>
      <c r="K14" s="173">
        <v>-12.6</v>
      </c>
      <c r="L14" s="173">
        <v>-12.9</v>
      </c>
    </row>
    <row r="15" spans="1:15" s="160" customFormat="1" ht="8.4499999999999993" hidden="1" customHeight="1" outlineLevel="1">
      <c r="A15" s="156"/>
      <c r="B15" s="161"/>
      <c r="C15" s="162"/>
      <c r="D15" s="162"/>
      <c r="E15" s="162"/>
      <c r="F15" s="163"/>
      <c r="G15" s="163"/>
      <c r="H15" s="163"/>
      <c r="I15" s="163"/>
      <c r="J15" s="163"/>
      <c r="K15" s="163"/>
      <c r="L15" s="163"/>
    </row>
    <row r="16" spans="1:15" s="174" customFormat="1" ht="15.95" hidden="1" customHeight="1" outlineLevel="1">
      <c r="A16" s="170"/>
      <c r="B16" s="171" t="s">
        <v>70</v>
      </c>
      <c r="C16" s="172">
        <v>0</v>
      </c>
      <c r="D16" s="172">
        <v>0</v>
      </c>
      <c r="E16" s="172">
        <v>0</v>
      </c>
      <c r="F16" s="173"/>
      <c r="G16" s="173"/>
      <c r="H16" s="173"/>
      <c r="I16" s="173"/>
      <c r="J16" s="173"/>
      <c r="K16" s="173"/>
      <c r="L16" s="173"/>
    </row>
    <row r="17" spans="1:15" s="160" customFormat="1" ht="8.4499999999999993" customHeight="1" collapsed="1">
      <c r="A17" s="156"/>
      <c r="B17" s="161"/>
      <c r="C17" s="162"/>
      <c r="D17" s="162"/>
      <c r="E17" s="162"/>
      <c r="F17" s="163"/>
      <c r="G17" s="163"/>
      <c r="H17" s="163"/>
      <c r="I17" s="163"/>
      <c r="J17" s="163"/>
      <c r="K17" s="163"/>
      <c r="L17" s="163"/>
    </row>
    <row r="18" spans="1:15" s="180" customFormat="1" ht="15.95" customHeight="1">
      <c r="A18" s="175"/>
      <c r="B18" s="176" t="s">
        <v>71</v>
      </c>
      <c r="C18" s="177">
        <f t="shared" ref="C18:L18" si="0">SUM(C7:C16)</f>
        <v>381.4</v>
      </c>
      <c r="D18" s="177">
        <f t="shared" si="0"/>
        <v>362.5</v>
      </c>
      <c r="E18" s="177">
        <f t="shared" si="0"/>
        <v>400.79999999999995</v>
      </c>
      <c r="F18" s="178">
        <f t="shared" ref="F18" si="1">SUM(F7:F16)</f>
        <v>360.29999999999995</v>
      </c>
      <c r="G18" s="178">
        <f t="shared" si="0"/>
        <v>381.1</v>
      </c>
      <c r="H18" s="178">
        <f t="shared" si="0"/>
        <v>373.7</v>
      </c>
      <c r="I18" s="178">
        <f t="shared" si="0"/>
        <v>379.09999999999997</v>
      </c>
      <c r="J18" s="178">
        <f t="shared" si="0"/>
        <v>387.20000000000005</v>
      </c>
      <c r="K18" s="178">
        <f t="shared" si="0"/>
        <v>394.4</v>
      </c>
      <c r="L18" s="178">
        <f t="shared" si="0"/>
        <v>402.9</v>
      </c>
      <c r="M18" s="179"/>
      <c r="N18" s="179"/>
      <c r="O18" s="179"/>
    </row>
    <row r="19" spans="1:15" s="160" customFormat="1" ht="8.4499999999999993" customHeight="1">
      <c r="A19" s="156"/>
      <c r="B19" s="161"/>
      <c r="C19" s="162"/>
      <c r="D19" s="162"/>
      <c r="E19" s="162"/>
      <c r="F19" s="163"/>
      <c r="G19" s="163"/>
      <c r="H19" s="163"/>
      <c r="I19" s="163"/>
      <c r="J19" s="163"/>
      <c r="K19" s="163"/>
      <c r="L19" s="163"/>
    </row>
    <row r="20" spans="1:15" s="174" customFormat="1" ht="15.95" customHeight="1">
      <c r="A20" s="170"/>
      <c r="B20" s="171" t="s">
        <v>72</v>
      </c>
      <c r="C20" s="172">
        <v>0.9</v>
      </c>
      <c r="D20" s="172">
        <v>1.1000000000000001</v>
      </c>
      <c r="E20" s="172">
        <v>1.2</v>
      </c>
      <c r="F20" s="173">
        <v>1</v>
      </c>
      <c r="G20" s="173">
        <v>1.6</v>
      </c>
      <c r="H20" s="173">
        <v>1</v>
      </c>
      <c r="I20" s="173">
        <v>1</v>
      </c>
      <c r="J20" s="173">
        <v>1</v>
      </c>
      <c r="K20" s="173">
        <v>1</v>
      </c>
      <c r="L20" s="173">
        <v>1</v>
      </c>
    </row>
    <row r="21" spans="1:15" s="160" customFormat="1" ht="8.4499999999999993" customHeight="1">
      <c r="A21" s="156"/>
      <c r="B21" s="161"/>
      <c r="C21" s="162"/>
      <c r="D21" s="162"/>
      <c r="E21" s="162"/>
      <c r="F21" s="163"/>
      <c r="G21" s="163"/>
      <c r="H21" s="163"/>
      <c r="I21" s="163"/>
      <c r="J21" s="163"/>
      <c r="K21" s="163"/>
      <c r="L21" s="163"/>
    </row>
    <row r="22" spans="1:15" s="174" customFormat="1" ht="15.95" customHeight="1">
      <c r="A22" s="170"/>
      <c r="B22" s="171" t="s">
        <v>73</v>
      </c>
      <c r="C22" s="172">
        <v>34.700000000000003</v>
      </c>
      <c r="D22" s="172">
        <v>35.299999999999997</v>
      </c>
      <c r="E22" s="172">
        <v>38.5</v>
      </c>
      <c r="F22" s="173">
        <v>35.4</v>
      </c>
      <c r="G22" s="173">
        <v>36.9</v>
      </c>
      <c r="H22" s="173">
        <v>36</v>
      </c>
      <c r="I22" s="173">
        <v>36.299999999999997</v>
      </c>
      <c r="J22" s="173">
        <v>36.700000000000003</v>
      </c>
      <c r="K22" s="173">
        <v>37</v>
      </c>
      <c r="L22" s="173">
        <v>37.4</v>
      </c>
    </row>
    <row r="23" spans="1:15" s="160" customFormat="1" ht="8.4499999999999993" customHeight="1">
      <c r="A23" s="156"/>
      <c r="B23" s="161"/>
      <c r="C23" s="162"/>
      <c r="D23" s="162"/>
      <c r="E23" s="162"/>
      <c r="F23" s="163"/>
      <c r="G23" s="163"/>
      <c r="H23" s="163"/>
      <c r="I23" s="163"/>
      <c r="J23" s="163"/>
      <c r="K23" s="163"/>
      <c r="L23" s="163"/>
    </row>
    <row r="24" spans="1:15" s="174" customFormat="1" ht="15.95" customHeight="1">
      <c r="A24" s="170"/>
      <c r="B24" s="171" t="s">
        <v>74</v>
      </c>
      <c r="C24" s="172">
        <v>8.8000000000000007</v>
      </c>
      <c r="D24" s="172">
        <f>6.5+0.1</f>
        <v>6.6</v>
      </c>
      <c r="E24" s="172">
        <v>7.8</v>
      </c>
      <c r="F24" s="173">
        <v>6</v>
      </c>
      <c r="G24" s="173">
        <v>4.7</v>
      </c>
      <c r="H24" s="173">
        <v>7</v>
      </c>
      <c r="I24" s="173">
        <v>5</v>
      </c>
      <c r="J24" s="173">
        <v>5.5</v>
      </c>
      <c r="K24" s="173">
        <v>6</v>
      </c>
      <c r="L24" s="173">
        <v>6.5</v>
      </c>
    </row>
    <row r="25" spans="1:15" s="160" customFormat="1" ht="8.4499999999999993" customHeight="1">
      <c r="A25" s="156"/>
      <c r="B25" s="161"/>
      <c r="C25" s="162"/>
      <c r="D25" s="162"/>
      <c r="E25" s="162"/>
      <c r="F25" s="163"/>
      <c r="G25" s="163"/>
      <c r="H25" s="163"/>
      <c r="I25" s="163"/>
      <c r="J25" s="163"/>
      <c r="K25" s="163"/>
      <c r="L25" s="163"/>
    </row>
    <row r="26" spans="1:15" s="174" customFormat="1" ht="15.95" customHeight="1">
      <c r="A26" s="170"/>
      <c r="B26" s="181" t="s">
        <v>75</v>
      </c>
      <c r="C26" s="172">
        <v>1.8</v>
      </c>
      <c r="D26" s="172">
        <v>1.8</v>
      </c>
      <c r="E26" s="172">
        <v>1.8</v>
      </c>
      <c r="F26" s="173">
        <v>1.8</v>
      </c>
      <c r="G26" s="173">
        <v>1.9</v>
      </c>
      <c r="H26" s="173">
        <v>1.9</v>
      </c>
      <c r="I26" s="173">
        <v>1.9</v>
      </c>
      <c r="J26" s="173">
        <v>1.9</v>
      </c>
      <c r="K26" s="173">
        <v>1.9</v>
      </c>
      <c r="L26" s="173">
        <v>1.9</v>
      </c>
    </row>
    <row r="27" spans="1:15" s="160" customFormat="1" ht="8.4499999999999993" customHeight="1">
      <c r="A27" s="156"/>
      <c r="B27" s="157"/>
      <c r="C27" s="182"/>
      <c r="D27" s="162"/>
      <c r="E27" s="162"/>
      <c r="F27" s="163"/>
      <c r="G27" s="163"/>
      <c r="H27" s="163"/>
      <c r="I27" s="163"/>
      <c r="J27" s="163"/>
      <c r="K27" s="163"/>
      <c r="L27" s="163"/>
    </row>
    <row r="28" spans="1:15" s="160" customFormat="1" ht="21.75" customHeight="1">
      <c r="A28" s="183" t="s">
        <v>76</v>
      </c>
      <c r="B28" s="184" t="s">
        <v>77</v>
      </c>
      <c r="C28" s="185">
        <f>SUM(C18:C27)</f>
        <v>427.59999999999997</v>
      </c>
      <c r="D28" s="185">
        <f t="shared" ref="D28:L28" si="2">SUM(D18:D26)</f>
        <v>407.30000000000007</v>
      </c>
      <c r="E28" s="185">
        <f t="shared" si="2"/>
        <v>450.09999999999997</v>
      </c>
      <c r="F28" s="186">
        <f t="shared" ref="F28" si="3">SUM(F18:F26)</f>
        <v>404.49999999999994</v>
      </c>
      <c r="G28" s="186">
        <f t="shared" si="2"/>
        <v>426.2</v>
      </c>
      <c r="H28" s="186">
        <f t="shared" si="2"/>
        <v>419.59999999999997</v>
      </c>
      <c r="I28" s="186">
        <f t="shared" si="2"/>
        <v>423.29999999999995</v>
      </c>
      <c r="J28" s="186">
        <f t="shared" si="2"/>
        <v>432.3</v>
      </c>
      <c r="K28" s="186">
        <f t="shared" si="2"/>
        <v>440.29999999999995</v>
      </c>
      <c r="L28" s="186">
        <f t="shared" si="2"/>
        <v>449.69999999999993</v>
      </c>
    </row>
    <row r="29" spans="1:15" s="160" customFormat="1" ht="8.4499999999999993" customHeight="1">
      <c r="A29" s="156"/>
      <c r="C29" s="182"/>
      <c r="D29" s="162"/>
      <c r="E29" s="162"/>
      <c r="F29" s="163"/>
      <c r="G29" s="163"/>
      <c r="H29" s="163"/>
      <c r="I29" s="163"/>
      <c r="J29" s="163"/>
      <c r="K29" s="163"/>
      <c r="L29" s="163"/>
    </row>
    <row r="30" spans="1:15" s="160" customFormat="1" ht="15.95" customHeight="1">
      <c r="A30" s="187"/>
      <c r="B30" s="165" t="s">
        <v>78</v>
      </c>
      <c r="C30" s="166">
        <f t="shared" ref="C30:L30" si="4">C18/15.4</f>
        <v>24.766233766233764</v>
      </c>
      <c r="D30" s="166">
        <f t="shared" si="4"/>
        <v>23.538961038961038</v>
      </c>
      <c r="E30" s="166">
        <f t="shared" si="4"/>
        <v>26.025974025974023</v>
      </c>
      <c r="F30" s="166">
        <f t="shared" ref="F30" si="5">F18/15.4</f>
        <v>23.396103896103892</v>
      </c>
      <c r="G30" s="166">
        <f t="shared" si="4"/>
        <v>24.746753246753247</v>
      </c>
      <c r="H30" s="166">
        <f t="shared" si="4"/>
        <v>24.266233766233764</v>
      </c>
      <c r="I30" s="166">
        <f t="shared" si="4"/>
        <v>24.616883116883113</v>
      </c>
      <c r="J30" s="166">
        <f t="shared" si="4"/>
        <v>25.142857142857146</v>
      </c>
      <c r="K30" s="166">
        <f t="shared" si="4"/>
        <v>25.610389610389607</v>
      </c>
      <c r="L30" s="166">
        <f t="shared" si="4"/>
        <v>26.162337662337659</v>
      </c>
    </row>
    <row r="31" spans="1:15" ht="8.4499999999999993" customHeight="1">
      <c r="A31" s="188"/>
      <c r="B31" s="188"/>
      <c r="C31" s="189"/>
      <c r="D31" s="190"/>
      <c r="E31" s="190"/>
      <c r="F31" s="190"/>
      <c r="G31" s="190"/>
      <c r="H31" s="191"/>
      <c r="I31" s="191"/>
      <c r="J31" s="191"/>
      <c r="K31" s="191"/>
      <c r="L31" s="191"/>
    </row>
    <row r="32" spans="1:15" ht="8.4499999999999993" customHeight="1">
      <c r="A32" s="188"/>
      <c r="B32" s="188"/>
      <c r="C32" s="192"/>
      <c r="D32" s="191"/>
      <c r="E32" s="191"/>
      <c r="F32" s="191"/>
      <c r="G32" s="191"/>
      <c r="H32" s="191"/>
      <c r="I32" s="191"/>
      <c r="J32" s="191"/>
      <c r="K32" s="191"/>
      <c r="L32" s="191"/>
    </row>
    <row r="33" spans="1:12" s="193" customFormat="1" ht="15.95" customHeight="1">
      <c r="B33" s="193" t="s">
        <v>546</v>
      </c>
      <c r="C33" s="194">
        <v>427.6</v>
      </c>
      <c r="D33" s="194">
        <v>407.3</v>
      </c>
      <c r="E33" s="194">
        <v>450.1</v>
      </c>
      <c r="F33" s="194">
        <v>404.5</v>
      </c>
      <c r="G33" s="194">
        <v>426.2</v>
      </c>
      <c r="H33" s="194">
        <v>419.6</v>
      </c>
      <c r="I33" s="194">
        <v>418.3</v>
      </c>
      <c r="J33" s="194">
        <v>425.8</v>
      </c>
      <c r="K33" s="194">
        <v>434.1</v>
      </c>
      <c r="L33" s="194">
        <f>427.1+7.9+6.8</f>
        <v>441.8</v>
      </c>
    </row>
    <row r="34" spans="1:12" s="193" customFormat="1" ht="15.95" customHeight="1">
      <c r="B34" s="193" t="s">
        <v>79</v>
      </c>
      <c r="C34" s="195"/>
      <c r="D34" s="195"/>
      <c r="E34" s="195"/>
      <c r="F34" s="195"/>
      <c r="G34" s="195"/>
      <c r="H34" s="195"/>
      <c r="I34" s="195"/>
      <c r="J34" s="195"/>
      <c r="K34" s="195"/>
      <c r="L34" s="195"/>
    </row>
    <row r="35" spans="1:12" s="193" customFormat="1" ht="15.95" customHeight="1">
      <c r="B35" s="193" t="s">
        <v>550</v>
      </c>
      <c r="C35" s="195"/>
      <c r="D35" s="195">
        <v>0</v>
      </c>
      <c r="E35" s="195">
        <v>0</v>
      </c>
      <c r="F35" s="195">
        <v>0</v>
      </c>
      <c r="G35" s="195">
        <v>0</v>
      </c>
      <c r="H35" s="195">
        <v>0</v>
      </c>
      <c r="I35" s="195">
        <v>5</v>
      </c>
      <c r="J35" s="195">
        <v>6.4</v>
      </c>
      <c r="K35" s="195">
        <v>6.3</v>
      </c>
      <c r="L35" s="195">
        <v>7.9</v>
      </c>
    </row>
    <row r="36" spans="1:12" s="193" customFormat="1" ht="15.95" customHeight="1">
      <c r="C36" s="195"/>
      <c r="D36" s="195"/>
      <c r="E36" s="195"/>
      <c r="F36" s="195"/>
      <c r="G36" s="195"/>
      <c r="H36" s="195"/>
      <c r="I36" s="195"/>
      <c r="J36" s="195"/>
      <c r="K36" s="195"/>
      <c r="L36" s="195"/>
    </row>
    <row r="37" spans="1:12" s="193" customFormat="1" ht="15.95" customHeight="1">
      <c r="B37" s="193" t="s">
        <v>80</v>
      </c>
      <c r="C37" s="195">
        <f t="shared" ref="C37:K37" si="6">C28-C33-C34-C35-C36</f>
        <v>-5.6843418860808015E-14</v>
      </c>
      <c r="D37" s="275">
        <f t="shared" si="6"/>
        <v>5.6843418860808015E-14</v>
      </c>
      <c r="E37" s="275">
        <f t="shared" si="6"/>
        <v>-5.6843418860808015E-14</v>
      </c>
      <c r="F37" s="275">
        <f t="shared" ref="F37" si="7">F28-F33-F34-F35-F36</f>
        <v>-5.6843418860808015E-14</v>
      </c>
      <c r="G37" s="275">
        <f t="shared" si="6"/>
        <v>0</v>
      </c>
      <c r="H37" s="275">
        <f t="shared" si="6"/>
        <v>-5.6843418860808015E-14</v>
      </c>
      <c r="I37" s="275">
        <f t="shared" si="6"/>
        <v>-5.6843418860808015E-14</v>
      </c>
      <c r="J37" s="275">
        <f t="shared" si="6"/>
        <v>9.9999999999999645E-2</v>
      </c>
      <c r="K37" s="275">
        <f t="shared" si="6"/>
        <v>-0.10000000000006803</v>
      </c>
      <c r="L37" s="275">
        <f>L28-L33-L34-L35-L36</f>
        <v>-7.9936057773011271E-14</v>
      </c>
    </row>
    <row r="38" spans="1:12" s="193" customFormat="1" ht="15.95" hidden="1" customHeight="1">
      <c r="B38" s="193" t="s">
        <v>81</v>
      </c>
      <c r="C38" s="195"/>
      <c r="D38" s="195"/>
      <c r="E38" s="195"/>
      <c r="F38" s="195">
        <v>1.1000000000000001</v>
      </c>
      <c r="G38" s="195">
        <v>1.1000000000000001</v>
      </c>
      <c r="H38" s="195">
        <v>1.1000000000000001</v>
      </c>
      <c r="I38" s="195">
        <v>1.1000000000000001</v>
      </c>
      <c r="J38" s="195">
        <v>1.1000000000000001</v>
      </c>
      <c r="K38" s="195">
        <v>1.1000000000000001</v>
      </c>
      <c r="L38" s="195">
        <v>1.1000000000000001</v>
      </c>
    </row>
    <row r="39" spans="1:12" s="193" customFormat="1" ht="15.95" hidden="1" customHeight="1">
      <c r="B39" s="193" t="s">
        <v>82</v>
      </c>
      <c r="C39" s="195"/>
      <c r="D39" s="195"/>
      <c r="E39" s="195"/>
      <c r="F39" s="195">
        <v>0.5</v>
      </c>
      <c r="G39" s="195">
        <v>0.5</v>
      </c>
      <c r="H39" s="195">
        <v>0.5</v>
      </c>
      <c r="I39" s="195">
        <v>0.5</v>
      </c>
      <c r="J39" s="195">
        <v>0.5</v>
      </c>
      <c r="K39" s="195">
        <v>0.5</v>
      </c>
      <c r="L39" s="195">
        <v>0.5</v>
      </c>
    </row>
    <row r="40" spans="1:12" s="193" customFormat="1" ht="15.95" hidden="1" customHeight="1">
      <c r="B40" s="193" t="s">
        <v>83</v>
      </c>
      <c r="C40" s="195"/>
      <c r="D40" s="195"/>
      <c r="E40" s="195"/>
      <c r="F40" s="195">
        <f t="shared" ref="F40" si="8">SUM(F37:F39)</f>
        <v>1.5999999999999432</v>
      </c>
      <c r="G40" s="195">
        <f t="shared" ref="G40:L40" si="9">SUM(G37:G39)</f>
        <v>1.6</v>
      </c>
      <c r="H40" s="195">
        <f t="shared" si="9"/>
        <v>1.5999999999999432</v>
      </c>
      <c r="I40" s="195">
        <f t="shared" si="9"/>
        <v>1.5999999999999432</v>
      </c>
      <c r="J40" s="195">
        <f t="shared" si="9"/>
        <v>1.6999999999999997</v>
      </c>
      <c r="K40" s="195">
        <f t="shared" si="9"/>
        <v>1.4999999999999321</v>
      </c>
      <c r="L40" s="195">
        <f t="shared" si="9"/>
        <v>1.5999999999999202</v>
      </c>
    </row>
    <row r="41" spans="1:12" ht="15" hidden="1" customHeight="1">
      <c r="A41" s="188"/>
      <c r="B41" s="188"/>
      <c r="C41" s="196"/>
      <c r="D41" s="197"/>
      <c r="E41" s="197"/>
      <c r="F41" s="197"/>
      <c r="G41" s="197"/>
      <c r="H41" s="197"/>
      <c r="I41" s="197"/>
      <c r="J41" s="197"/>
      <c r="K41" s="197"/>
      <c r="L41" s="197"/>
    </row>
    <row r="42" spans="1:12" ht="15" hidden="1" customHeight="1">
      <c r="A42" s="188"/>
      <c r="B42" s="193" t="s">
        <v>84</v>
      </c>
      <c r="C42" s="192"/>
      <c r="D42" s="192"/>
      <c r="E42" s="192"/>
      <c r="F42" s="195">
        <v>-28.1</v>
      </c>
      <c r="G42" s="195">
        <v>-28.1</v>
      </c>
      <c r="H42" s="195">
        <v>-27.8</v>
      </c>
      <c r="I42" s="195">
        <v>-27</v>
      </c>
      <c r="J42" s="195">
        <v>-27</v>
      </c>
      <c r="K42" s="195">
        <v>-27</v>
      </c>
      <c r="L42" s="195">
        <v>-27</v>
      </c>
    </row>
    <row r="43" spans="1:12" ht="15" hidden="1" customHeight="1">
      <c r="A43" s="188"/>
      <c r="B43" s="193" t="s">
        <v>85</v>
      </c>
      <c r="C43" s="192"/>
      <c r="D43" s="191"/>
      <c r="E43" s="191"/>
      <c r="F43" s="195">
        <v>21.4</v>
      </c>
      <c r="G43" s="195">
        <v>21.4</v>
      </c>
      <c r="H43" s="195">
        <v>21.1</v>
      </c>
      <c r="I43" s="195">
        <v>20</v>
      </c>
      <c r="J43" s="195">
        <v>20</v>
      </c>
      <c r="K43" s="195">
        <v>20</v>
      </c>
      <c r="L43" s="195">
        <v>20</v>
      </c>
    </row>
    <row r="44" spans="1:12" ht="15" hidden="1" customHeight="1">
      <c r="A44" s="188"/>
      <c r="B44" s="193" t="s">
        <v>86</v>
      </c>
      <c r="C44" s="196"/>
      <c r="D44" s="197"/>
      <c r="E44" s="197"/>
      <c r="F44" s="195">
        <f t="shared" ref="F44" si="10">SUM(F42:F43)</f>
        <v>-6.7000000000000028</v>
      </c>
      <c r="G44" s="195">
        <f t="shared" ref="G44:L44" si="11">SUM(G42:G43)</f>
        <v>-6.7000000000000028</v>
      </c>
      <c r="H44" s="195">
        <f t="shared" si="11"/>
        <v>-6.6999999999999993</v>
      </c>
      <c r="I44" s="195">
        <f t="shared" si="11"/>
        <v>-7</v>
      </c>
      <c r="J44" s="195">
        <f t="shared" si="11"/>
        <v>-7</v>
      </c>
      <c r="K44" s="195">
        <f t="shared" si="11"/>
        <v>-7</v>
      </c>
      <c r="L44" s="195">
        <f t="shared" si="11"/>
        <v>-7</v>
      </c>
    </row>
    <row r="45" spans="1:12" ht="15" hidden="1" customHeight="1">
      <c r="A45" s="188"/>
      <c r="B45" s="193"/>
      <c r="C45" s="196"/>
      <c r="D45" s="197"/>
      <c r="E45" s="197"/>
      <c r="F45" s="195"/>
      <c r="G45" s="195"/>
      <c r="H45" s="195"/>
      <c r="I45" s="195"/>
      <c r="J45" s="195"/>
      <c r="K45" s="195"/>
      <c r="L45" s="195"/>
    </row>
    <row r="46" spans="1:12" ht="15" hidden="1" customHeight="1">
      <c r="A46" s="188"/>
      <c r="B46" s="193" t="s">
        <v>87</v>
      </c>
      <c r="C46" s="196"/>
      <c r="D46" s="197"/>
      <c r="E46" s="197"/>
      <c r="F46" s="195">
        <f t="shared" ref="F46" si="12">F40+F44</f>
        <v>-5.10000000000006</v>
      </c>
      <c r="G46" s="195">
        <f t="shared" ref="G46:L46" si="13">G40+G44</f>
        <v>-5.1000000000000032</v>
      </c>
      <c r="H46" s="195">
        <f t="shared" si="13"/>
        <v>-5.1000000000000565</v>
      </c>
      <c r="I46" s="195">
        <f t="shared" si="13"/>
        <v>-5.4000000000000572</v>
      </c>
      <c r="J46" s="195">
        <f t="shared" si="13"/>
        <v>-5.3000000000000007</v>
      </c>
      <c r="K46" s="195">
        <f t="shared" si="13"/>
        <v>-5.5000000000000675</v>
      </c>
      <c r="L46" s="195">
        <f t="shared" si="13"/>
        <v>-5.4000000000000803</v>
      </c>
    </row>
    <row r="47" spans="1:12" ht="15" customHeight="1">
      <c r="A47" s="188"/>
      <c r="B47" s="188"/>
      <c r="C47" s="196"/>
      <c r="D47" s="196"/>
      <c r="E47" s="196"/>
      <c r="F47" s="196"/>
      <c r="G47" s="196"/>
      <c r="H47" s="196"/>
      <c r="I47" s="196"/>
      <c r="J47" s="196"/>
      <c r="K47" s="196"/>
      <c r="L47" s="196"/>
    </row>
    <row r="48" spans="1:12" ht="15" customHeight="1">
      <c r="A48" s="188"/>
      <c r="B48" s="188"/>
      <c r="C48" s="196"/>
      <c r="D48" s="197"/>
      <c r="E48" s="197"/>
      <c r="F48" s="197"/>
      <c r="G48" s="197"/>
      <c r="H48" s="197"/>
      <c r="I48" s="197"/>
      <c r="J48" s="197"/>
      <c r="K48" s="197"/>
      <c r="L48" s="197"/>
    </row>
    <row r="49" spans="2:12" ht="15" customHeight="1">
      <c r="B49" s="198"/>
      <c r="C49" s="196"/>
      <c r="D49" s="197"/>
      <c r="E49" s="197"/>
      <c r="F49" s="197"/>
      <c r="G49" s="197"/>
      <c r="H49" s="197"/>
      <c r="I49" s="197"/>
      <c r="J49" s="197"/>
      <c r="K49" s="197"/>
      <c r="L49" s="197"/>
    </row>
    <row r="50" spans="2:12" ht="15" customHeight="1">
      <c r="B50" s="198" t="s">
        <v>548</v>
      </c>
      <c r="C50" s="196"/>
      <c r="D50" s="197"/>
      <c r="E50" s="197"/>
      <c r="F50" s="197"/>
      <c r="G50" s="197"/>
      <c r="H50" s="197"/>
      <c r="I50" s="197">
        <v>423.3</v>
      </c>
      <c r="J50" s="197">
        <v>432.3</v>
      </c>
      <c r="K50" s="197">
        <v>440.3</v>
      </c>
      <c r="L50" s="197">
        <v>449.7</v>
      </c>
    </row>
    <row r="51" spans="2:12" ht="15" customHeight="1">
      <c r="B51" s="198"/>
      <c r="C51" s="196"/>
      <c r="D51" s="199"/>
      <c r="E51" s="199"/>
      <c r="F51" s="199"/>
      <c r="G51" s="199"/>
      <c r="H51" s="199"/>
      <c r="I51" s="195">
        <f>I50-I28</f>
        <v>0</v>
      </c>
      <c r="J51" s="195">
        <f t="shared" ref="J51:L51" si="14">J50-J28</f>
        <v>0</v>
      </c>
      <c r="K51" s="195">
        <f t="shared" si="14"/>
        <v>0</v>
      </c>
      <c r="L51" s="195">
        <f t="shared" si="14"/>
        <v>0</v>
      </c>
    </row>
    <row r="52" spans="2:12" ht="15" customHeight="1">
      <c r="C52" s="196"/>
      <c r="D52" s="199"/>
      <c r="E52" s="199"/>
      <c r="F52" s="199"/>
      <c r="G52" s="199"/>
      <c r="H52" s="199"/>
      <c r="I52" s="199"/>
      <c r="J52" s="199"/>
      <c r="K52" s="199"/>
      <c r="L52" s="199"/>
    </row>
    <row r="53" spans="2:12" ht="15" customHeight="1">
      <c r="C53" s="196"/>
      <c r="D53" s="199"/>
      <c r="E53" s="199"/>
      <c r="F53" s="199"/>
      <c r="G53" s="199"/>
      <c r="H53" s="199"/>
      <c r="I53" s="199"/>
      <c r="J53" s="199"/>
      <c r="K53" s="199"/>
      <c r="L53" s="199"/>
    </row>
    <row r="54" spans="2:12" ht="15" customHeight="1">
      <c r="C54" s="196"/>
      <c r="D54" s="199"/>
      <c r="E54" s="199"/>
      <c r="F54" s="199"/>
      <c r="G54" s="199"/>
      <c r="H54" s="199"/>
      <c r="I54" s="199"/>
      <c r="J54" s="199"/>
      <c r="K54" s="199"/>
      <c r="L54" s="199"/>
    </row>
    <row r="55" spans="2:12" ht="15" customHeight="1">
      <c r="C55" s="196"/>
      <c r="D55" s="199"/>
      <c r="E55" s="199"/>
      <c r="F55" s="199"/>
      <c r="G55" s="199"/>
      <c r="H55" s="199"/>
      <c r="I55" s="199"/>
      <c r="J55" s="199"/>
      <c r="K55" s="199"/>
      <c r="L55" s="199"/>
    </row>
    <row r="56" spans="2:12" ht="15" customHeight="1">
      <c r="C56" s="196"/>
      <c r="D56" s="199"/>
      <c r="E56" s="199"/>
      <c r="F56" s="199"/>
      <c r="G56" s="199"/>
      <c r="H56" s="199"/>
      <c r="I56" s="199"/>
      <c r="J56" s="199"/>
      <c r="K56" s="199"/>
      <c r="L56" s="199"/>
    </row>
    <row r="57" spans="2:12" ht="15" customHeight="1">
      <c r="C57" s="200"/>
      <c r="D57" s="199"/>
      <c r="E57" s="199"/>
      <c r="F57" s="199"/>
      <c r="G57" s="199"/>
      <c r="H57" s="199"/>
      <c r="I57" s="199"/>
      <c r="J57" s="199"/>
      <c r="K57" s="199"/>
      <c r="L57" s="199"/>
    </row>
    <row r="58" spans="2:12" ht="15" customHeight="1">
      <c r="C58" s="200"/>
      <c r="D58" s="199"/>
      <c r="E58" s="199"/>
      <c r="F58" s="199"/>
      <c r="G58" s="199"/>
      <c r="H58" s="199"/>
      <c r="I58" s="199"/>
      <c r="J58" s="199"/>
      <c r="K58" s="199"/>
      <c r="L58" s="199"/>
    </row>
    <row r="59" spans="2:12" ht="15" customHeight="1">
      <c r="C59" s="200"/>
      <c r="D59" s="199"/>
      <c r="E59" s="199"/>
      <c r="F59" s="199"/>
      <c r="G59" s="199"/>
      <c r="H59" s="199"/>
      <c r="I59" s="199"/>
      <c r="J59" s="199"/>
      <c r="K59" s="199"/>
      <c r="L59" s="199"/>
    </row>
    <row r="60" spans="2:12" ht="15" customHeight="1">
      <c r="C60" s="200"/>
      <c r="D60" s="199"/>
      <c r="E60" s="199"/>
      <c r="F60" s="199"/>
      <c r="G60" s="199"/>
      <c r="H60" s="199"/>
      <c r="I60" s="199"/>
      <c r="J60" s="199"/>
      <c r="K60" s="199"/>
      <c r="L60" s="199"/>
    </row>
    <row r="61" spans="2:12" ht="15" customHeight="1">
      <c r="C61" s="200"/>
      <c r="D61" s="199"/>
      <c r="E61" s="199"/>
      <c r="F61" s="199"/>
      <c r="G61" s="199"/>
      <c r="H61" s="199"/>
      <c r="I61" s="199"/>
      <c r="J61" s="199"/>
      <c r="K61" s="199"/>
      <c r="L61" s="199"/>
    </row>
    <row r="62" spans="2:12" ht="15" customHeight="1">
      <c r="C62" s="200"/>
      <c r="D62" s="199"/>
      <c r="E62" s="199"/>
      <c r="F62" s="199"/>
      <c r="G62" s="199"/>
      <c r="H62" s="199"/>
      <c r="I62" s="199"/>
      <c r="J62" s="199"/>
      <c r="K62" s="199"/>
      <c r="L62" s="199"/>
    </row>
    <row r="63" spans="2:12" ht="15" customHeight="1">
      <c r="C63" s="200"/>
      <c r="D63" s="199"/>
      <c r="E63" s="199"/>
      <c r="F63" s="199"/>
      <c r="G63" s="199"/>
      <c r="H63" s="199"/>
      <c r="I63" s="199"/>
      <c r="J63" s="199"/>
      <c r="K63" s="199"/>
      <c r="L63" s="199"/>
    </row>
    <row r="64" spans="2:12" ht="15" customHeight="1">
      <c r="C64" s="200"/>
      <c r="D64" s="199"/>
      <c r="E64" s="199"/>
      <c r="F64" s="199"/>
      <c r="G64" s="199"/>
      <c r="H64" s="199"/>
      <c r="I64" s="199"/>
      <c r="J64" s="199"/>
      <c r="K64" s="199"/>
      <c r="L64" s="199"/>
    </row>
    <row r="65" spans="3:12" ht="15" customHeight="1">
      <c r="C65" s="200"/>
      <c r="D65" s="199"/>
      <c r="E65" s="199"/>
      <c r="F65" s="199"/>
      <c r="G65" s="199"/>
      <c r="H65" s="199"/>
      <c r="I65" s="199"/>
      <c r="J65" s="199"/>
      <c r="K65" s="199"/>
      <c r="L65" s="199"/>
    </row>
    <row r="66" spans="3:12" ht="15" customHeight="1">
      <c r="C66" s="200"/>
      <c r="D66" s="199"/>
      <c r="E66" s="199"/>
      <c r="F66" s="199"/>
      <c r="G66" s="199"/>
      <c r="H66" s="199"/>
      <c r="I66" s="199"/>
      <c r="J66" s="199"/>
      <c r="K66" s="199"/>
      <c r="L66" s="199"/>
    </row>
    <row r="67" spans="3:12" ht="15" customHeight="1">
      <c r="C67" s="200"/>
      <c r="D67" s="199"/>
      <c r="E67" s="199"/>
      <c r="F67" s="199"/>
      <c r="G67" s="199"/>
      <c r="H67" s="199"/>
      <c r="I67" s="199"/>
      <c r="J67" s="199"/>
      <c r="K67" s="199"/>
      <c r="L67" s="199"/>
    </row>
    <row r="68" spans="3:12" ht="20.45" customHeight="1">
      <c r="C68" s="200"/>
      <c r="D68" s="199"/>
      <c r="E68" s="199"/>
      <c r="F68" s="199"/>
      <c r="G68" s="199"/>
      <c r="H68" s="199"/>
      <c r="I68" s="199"/>
      <c r="J68" s="199"/>
      <c r="K68" s="199"/>
      <c r="L68" s="199"/>
    </row>
    <row r="69" spans="3:12" ht="20.45" customHeight="1">
      <c r="C69" s="200"/>
      <c r="D69" s="199"/>
      <c r="E69" s="199"/>
      <c r="F69" s="199"/>
      <c r="G69" s="199"/>
      <c r="H69" s="199"/>
      <c r="I69" s="199"/>
      <c r="J69" s="199"/>
      <c r="K69" s="199"/>
      <c r="L69" s="199"/>
    </row>
    <row r="70" spans="3:12" ht="20.45" customHeight="1">
      <c r="C70" s="200"/>
      <c r="D70" s="199"/>
      <c r="E70" s="199"/>
      <c r="F70" s="199"/>
      <c r="G70" s="199"/>
      <c r="H70" s="199"/>
      <c r="I70" s="199"/>
      <c r="J70" s="199"/>
      <c r="K70" s="199"/>
      <c r="L70" s="199"/>
    </row>
    <row r="71" spans="3:12" ht="20.45" customHeight="1">
      <c r="C71" s="200"/>
      <c r="D71" s="199"/>
      <c r="E71" s="199"/>
      <c r="F71" s="199"/>
      <c r="G71" s="199"/>
      <c r="H71" s="199"/>
      <c r="I71" s="199"/>
      <c r="J71" s="199"/>
      <c r="K71" s="199"/>
      <c r="L71" s="199"/>
    </row>
    <row r="72" spans="3:12" ht="20.45" customHeight="1">
      <c r="C72" s="200"/>
      <c r="D72" s="199"/>
      <c r="E72" s="199"/>
      <c r="F72" s="199"/>
      <c r="G72" s="199"/>
      <c r="H72" s="199"/>
      <c r="I72" s="199"/>
      <c r="J72" s="199"/>
      <c r="K72" s="199"/>
      <c r="L72" s="199"/>
    </row>
    <row r="73" spans="3:12" ht="15">
      <c r="C73" s="200"/>
      <c r="D73" s="199"/>
      <c r="E73" s="199"/>
      <c r="F73" s="199"/>
      <c r="G73" s="199"/>
      <c r="H73" s="199"/>
      <c r="I73" s="199"/>
      <c r="J73" s="199"/>
      <c r="K73" s="199"/>
      <c r="L73" s="199"/>
    </row>
    <row r="74" spans="3:12" ht="15">
      <c r="C74" s="200"/>
      <c r="D74" s="199"/>
      <c r="E74" s="199"/>
      <c r="F74" s="199"/>
      <c r="G74" s="199"/>
      <c r="H74" s="199"/>
      <c r="I74" s="199"/>
      <c r="J74" s="199"/>
      <c r="K74" s="199"/>
      <c r="L74" s="199"/>
    </row>
    <row r="75" spans="3:12" ht="15">
      <c r="C75" s="200"/>
      <c r="D75" s="199"/>
      <c r="E75" s="199"/>
      <c r="F75" s="199"/>
      <c r="G75" s="199"/>
      <c r="H75" s="199"/>
      <c r="I75" s="199"/>
      <c r="J75" s="199"/>
      <c r="K75" s="199"/>
      <c r="L75" s="199"/>
    </row>
    <row r="76" spans="3:12" ht="15">
      <c r="C76" s="200"/>
      <c r="D76" s="199"/>
      <c r="E76" s="199"/>
      <c r="F76" s="199"/>
      <c r="G76" s="199"/>
      <c r="H76" s="199"/>
      <c r="I76" s="199"/>
      <c r="J76" s="199"/>
      <c r="K76" s="199"/>
      <c r="L76" s="199"/>
    </row>
    <row r="77" spans="3:12" ht="15">
      <c r="C77" s="200"/>
      <c r="D77" s="199"/>
      <c r="E77" s="199"/>
      <c r="F77" s="199"/>
      <c r="G77" s="199"/>
      <c r="H77" s="199"/>
      <c r="I77" s="199"/>
      <c r="J77" s="199"/>
      <c r="K77" s="199"/>
      <c r="L77" s="199"/>
    </row>
    <row r="78" spans="3:12" ht="15">
      <c r="C78" s="200"/>
      <c r="D78" s="199"/>
      <c r="E78" s="199"/>
      <c r="F78" s="199"/>
      <c r="G78" s="199"/>
      <c r="H78" s="199"/>
      <c r="I78" s="199"/>
      <c r="J78" s="199"/>
      <c r="K78" s="199"/>
      <c r="L78" s="199"/>
    </row>
    <row r="79" spans="3:12" ht="15">
      <c r="C79" s="200"/>
      <c r="D79" s="199"/>
      <c r="E79" s="199"/>
      <c r="F79" s="199"/>
      <c r="G79" s="199"/>
      <c r="H79" s="199"/>
      <c r="I79" s="199"/>
      <c r="J79" s="199"/>
      <c r="K79" s="199"/>
      <c r="L79" s="199"/>
    </row>
    <row r="80" spans="3:12" ht="15">
      <c r="C80" s="200"/>
      <c r="D80" s="199"/>
      <c r="E80" s="199"/>
      <c r="F80" s="199"/>
      <c r="G80" s="199"/>
      <c r="H80" s="199"/>
      <c r="I80" s="199"/>
      <c r="J80" s="199"/>
      <c r="K80" s="199"/>
      <c r="L80" s="199"/>
    </row>
    <row r="81" spans="3:12">
      <c r="C81" s="201"/>
      <c r="D81" s="201"/>
      <c r="E81" s="201"/>
      <c r="F81" s="201"/>
      <c r="G81" s="201"/>
      <c r="H81" s="201"/>
      <c r="I81" s="201"/>
      <c r="J81" s="201"/>
      <c r="K81" s="201"/>
      <c r="L81" s="201"/>
    </row>
    <row r="82" spans="3:12">
      <c r="C82" s="201"/>
      <c r="D82" s="201"/>
      <c r="E82" s="201"/>
      <c r="F82" s="201"/>
      <c r="G82" s="201"/>
      <c r="H82" s="201"/>
      <c r="I82" s="201"/>
      <c r="J82" s="201"/>
      <c r="K82" s="201"/>
      <c r="L82" s="201"/>
    </row>
    <row r="83" spans="3:12">
      <c r="C83" s="201"/>
      <c r="D83" s="201"/>
      <c r="E83" s="201"/>
      <c r="F83" s="201"/>
      <c r="G83" s="201"/>
      <c r="H83" s="201"/>
      <c r="I83" s="201"/>
      <c r="J83" s="201"/>
      <c r="K83" s="201"/>
      <c r="L83" s="201"/>
    </row>
    <row r="84" spans="3:12">
      <c r="C84" s="201"/>
      <c r="D84" s="201"/>
      <c r="E84" s="201"/>
      <c r="F84" s="201"/>
      <c r="G84" s="201"/>
      <c r="H84" s="201"/>
      <c r="I84" s="201"/>
      <c r="J84" s="201"/>
      <c r="K84" s="201"/>
      <c r="L84" s="201"/>
    </row>
    <row r="85" spans="3:12">
      <c r="C85" s="201"/>
      <c r="D85" s="201"/>
      <c r="E85" s="201"/>
      <c r="F85" s="201"/>
      <c r="G85" s="201"/>
      <c r="H85" s="201"/>
      <c r="I85" s="201"/>
      <c r="J85" s="201"/>
      <c r="K85" s="201"/>
      <c r="L85" s="201"/>
    </row>
    <row r="86" spans="3:12">
      <c r="C86" s="201"/>
      <c r="D86" s="201"/>
      <c r="E86" s="201"/>
      <c r="F86" s="201"/>
      <c r="G86" s="201"/>
      <c r="H86" s="201"/>
      <c r="I86" s="201"/>
      <c r="J86" s="201"/>
      <c r="K86" s="201"/>
      <c r="L86" s="201"/>
    </row>
    <row r="87" spans="3:12">
      <c r="C87" s="201"/>
      <c r="D87" s="201"/>
      <c r="E87" s="201"/>
      <c r="F87" s="201"/>
      <c r="G87" s="201"/>
      <c r="H87" s="201"/>
      <c r="I87" s="201"/>
      <c r="J87" s="201"/>
      <c r="K87" s="201"/>
      <c r="L87" s="201"/>
    </row>
    <row r="88" spans="3:12">
      <c r="C88" s="201"/>
      <c r="D88" s="201"/>
      <c r="E88" s="201"/>
      <c r="F88" s="201"/>
      <c r="G88" s="201"/>
      <c r="H88" s="201"/>
      <c r="I88" s="201"/>
      <c r="J88" s="201"/>
      <c r="K88" s="201"/>
      <c r="L88" s="201"/>
    </row>
    <row r="89" spans="3:12">
      <c r="C89" s="201"/>
      <c r="D89" s="201"/>
      <c r="E89" s="201"/>
      <c r="F89" s="201"/>
      <c r="G89" s="201"/>
      <c r="H89" s="201"/>
      <c r="I89" s="201"/>
      <c r="J89" s="201"/>
      <c r="K89" s="201"/>
      <c r="L89" s="201"/>
    </row>
    <row r="90" spans="3:12">
      <c r="C90" s="201"/>
      <c r="D90" s="201"/>
      <c r="E90" s="201"/>
      <c r="F90" s="201"/>
      <c r="G90" s="201"/>
      <c r="H90" s="201"/>
      <c r="I90" s="201"/>
      <c r="J90" s="201"/>
      <c r="K90" s="201"/>
      <c r="L90" s="201"/>
    </row>
    <row r="91" spans="3:12">
      <c r="C91" s="201"/>
      <c r="D91" s="201"/>
      <c r="E91" s="201"/>
      <c r="F91" s="201"/>
      <c r="G91" s="201"/>
      <c r="H91" s="201"/>
      <c r="I91" s="201"/>
      <c r="J91" s="201"/>
      <c r="K91" s="201"/>
      <c r="L91" s="201"/>
    </row>
    <row r="92" spans="3:12">
      <c r="C92" s="201"/>
      <c r="D92" s="201"/>
      <c r="E92" s="201"/>
      <c r="F92" s="201"/>
      <c r="G92" s="201"/>
      <c r="H92" s="201"/>
      <c r="I92" s="201"/>
      <c r="J92" s="201"/>
      <c r="K92" s="201"/>
      <c r="L92" s="201"/>
    </row>
    <row r="93" spans="3:12">
      <c r="C93" s="201"/>
      <c r="D93" s="201"/>
      <c r="E93" s="201"/>
      <c r="F93" s="201"/>
      <c r="G93" s="201"/>
      <c r="H93" s="201"/>
      <c r="I93" s="201"/>
      <c r="J93" s="201"/>
      <c r="K93" s="201"/>
      <c r="L93" s="201"/>
    </row>
    <row r="94" spans="3:12">
      <c r="C94" s="201"/>
      <c r="D94" s="201"/>
      <c r="E94" s="201"/>
      <c r="F94" s="201"/>
      <c r="G94" s="201"/>
      <c r="H94" s="201"/>
      <c r="I94" s="201"/>
      <c r="J94" s="201"/>
      <c r="K94" s="201"/>
      <c r="L94" s="201"/>
    </row>
    <row r="95" spans="3:12">
      <c r="C95" s="201"/>
      <c r="D95" s="201"/>
      <c r="E95" s="201"/>
      <c r="F95" s="201"/>
      <c r="G95" s="201"/>
      <c r="H95" s="201"/>
      <c r="I95" s="201"/>
      <c r="J95" s="201"/>
      <c r="K95" s="201"/>
      <c r="L95" s="201"/>
    </row>
    <row r="96" spans="3:12">
      <c r="C96" s="201"/>
      <c r="D96" s="201"/>
      <c r="E96" s="201"/>
      <c r="F96" s="201"/>
      <c r="G96" s="201"/>
      <c r="H96" s="201"/>
      <c r="I96" s="201"/>
      <c r="J96" s="201"/>
      <c r="K96" s="201"/>
      <c r="L96" s="201"/>
    </row>
    <row r="97" spans="3:12">
      <c r="C97" s="201"/>
      <c r="D97" s="201"/>
      <c r="E97" s="201"/>
      <c r="F97" s="201"/>
      <c r="G97" s="201"/>
      <c r="H97" s="201"/>
      <c r="I97" s="201"/>
      <c r="J97" s="201"/>
      <c r="K97" s="201"/>
      <c r="L97" s="201"/>
    </row>
    <row r="98" spans="3:12">
      <c r="C98" s="201"/>
      <c r="D98" s="201"/>
      <c r="E98" s="201"/>
      <c r="F98" s="201"/>
      <c r="G98" s="201"/>
      <c r="H98" s="201"/>
      <c r="I98" s="201"/>
      <c r="J98" s="201"/>
      <c r="K98" s="201"/>
      <c r="L98" s="201"/>
    </row>
    <row r="99" spans="3:12">
      <c r="C99" s="201"/>
      <c r="D99" s="201"/>
      <c r="E99" s="201"/>
      <c r="F99" s="201"/>
      <c r="G99" s="201"/>
      <c r="H99" s="201"/>
      <c r="I99" s="201"/>
      <c r="J99" s="201"/>
      <c r="K99" s="201"/>
      <c r="L99" s="201"/>
    </row>
    <row r="100" spans="3:12">
      <c r="C100" s="201"/>
      <c r="D100" s="201"/>
      <c r="E100" s="201"/>
      <c r="F100" s="201"/>
      <c r="G100" s="201"/>
      <c r="H100" s="201"/>
      <c r="I100" s="201"/>
      <c r="J100" s="201"/>
      <c r="K100" s="201"/>
      <c r="L100" s="201"/>
    </row>
    <row r="101" spans="3:12">
      <c r="C101" s="201"/>
      <c r="D101" s="201"/>
      <c r="E101" s="201"/>
      <c r="F101" s="201"/>
      <c r="G101" s="201"/>
      <c r="H101" s="201"/>
      <c r="I101" s="201"/>
      <c r="J101" s="201"/>
      <c r="K101" s="201"/>
      <c r="L101" s="201"/>
    </row>
    <row r="102" spans="3:12">
      <c r="C102" s="201"/>
      <c r="D102" s="201"/>
      <c r="E102" s="201"/>
      <c r="F102" s="201"/>
      <c r="G102" s="201"/>
      <c r="H102" s="201"/>
      <c r="I102" s="201"/>
      <c r="J102" s="201"/>
      <c r="K102" s="201"/>
      <c r="L102" s="201"/>
    </row>
    <row r="103" spans="3:12">
      <c r="C103" s="201"/>
      <c r="D103" s="201"/>
      <c r="E103" s="201"/>
      <c r="F103" s="201"/>
      <c r="G103" s="201"/>
      <c r="H103" s="201"/>
      <c r="I103" s="201"/>
      <c r="J103" s="201"/>
      <c r="K103" s="201"/>
      <c r="L103" s="201"/>
    </row>
    <row r="104" spans="3:12">
      <c r="C104" s="201"/>
      <c r="D104" s="201"/>
      <c r="E104" s="201"/>
      <c r="F104" s="201"/>
      <c r="G104" s="201"/>
      <c r="H104" s="201"/>
      <c r="I104" s="201"/>
      <c r="J104" s="201"/>
      <c r="K104" s="201"/>
      <c r="L104" s="201"/>
    </row>
    <row r="105" spans="3:12">
      <c r="C105" s="201"/>
      <c r="D105" s="201"/>
      <c r="E105" s="201"/>
      <c r="F105" s="201"/>
      <c r="G105" s="201"/>
      <c r="H105" s="201"/>
      <c r="I105" s="201"/>
      <c r="J105" s="201"/>
      <c r="K105" s="201"/>
      <c r="L105" s="201"/>
    </row>
    <row r="106" spans="3:12">
      <c r="C106" s="201"/>
      <c r="D106" s="201"/>
      <c r="E106" s="201"/>
      <c r="F106" s="201"/>
      <c r="G106" s="201"/>
      <c r="H106" s="201"/>
      <c r="I106" s="201"/>
      <c r="J106" s="201"/>
      <c r="K106" s="201"/>
      <c r="L106" s="201"/>
    </row>
    <row r="107" spans="3:12">
      <c r="C107" s="201"/>
      <c r="D107" s="201"/>
      <c r="E107" s="201"/>
      <c r="F107" s="201"/>
      <c r="G107" s="201"/>
      <c r="H107" s="201"/>
      <c r="I107" s="201"/>
      <c r="J107" s="201"/>
      <c r="K107" s="201"/>
      <c r="L107" s="201"/>
    </row>
    <row r="108" spans="3:12">
      <c r="C108" s="201"/>
      <c r="D108" s="201"/>
      <c r="E108" s="201"/>
      <c r="F108" s="201"/>
      <c r="G108" s="201"/>
      <c r="H108" s="201"/>
      <c r="I108" s="201"/>
      <c r="J108" s="201"/>
      <c r="K108" s="201"/>
      <c r="L108" s="201"/>
    </row>
    <row r="109" spans="3:12">
      <c r="C109" s="201"/>
      <c r="D109" s="201"/>
      <c r="E109" s="201"/>
      <c r="F109" s="201"/>
      <c r="G109" s="201"/>
      <c r="H109" s="201"/>
      <c r="I109" s="201"/>
      <c r="J109" s="201"/>
      <c r="K109" s="201"/>
      <c r="L109" s="201"/>
    </row>
    <row r="110" spans="3:12">
      <c r="C110" s="201"/>
      <c r="D110" s="201"/>
      <c r="E110" s="201"/>
      <c r="F110" s="201"/>
      <c r="G110" s="201"/>
      <c r="H110" s="201"/>
      <c r="I110" s="201"/>
      <c r="J110" s="201"/>
      <c r="K110" s="201"/>
      <c r="L110" s="201"/>
    </row>
    <row r="111" spans="3:12">
      <c r="C111" s="201"/>
      <c r="D111" s="201"/>
      <c r="E111" s="201"/>
      <c r="F111" s="201"/>
      <c r="G111" s="201"/>
      <c r="H111" s="201"/>
      <c r="I111" s="201"/>
      <c r="J111" s="201"/>
      <c r="K111" s="201"/>
      <c r="L111" s="201"/>
    </row>
    <row r="112" spans="3:12">
      <c r="C112" s="201"/>
      <c r="D112" s="201"/>
      <c r="E112" s="201"/>
      <c r="F112" s="201"/>
      <c r="G112" s="201"/>
      <c r="H112" s="201"/>
      <c r="I112" s="201"/>
      <c r="J112" s="201"/>
      <c r="K112" s="201"/>
      <c r="L112" s="201"/>
    </row>
    <row r="113" spans="3:12">
      <c r="C113" s="201"/>
      <c r="D113" s="201"/>
      <c r="E113" s="201"/>
      <c r="F113" s="201"/>
      <c r="G113" s="201"/>
      <c r="H113" s="201"/>
      <c r="I113" s="201"/>
      <c r="J113" s="201"/>
      <c r="K113" s="201"/>
      <c r="L113" s="201"/>
    </row>
    <row r="114" spans="3:12">
      <c r="C114" s="201"/>
      <c r="D114" s="201"/>
      <c r="E114" s="201"/>
      <c r="F114" s="201"/>
      <c r="G114" s="201"/>
      <c r="H114" s="201"/>
      <c r="I114" s="201"/>
      <c r="J114" s="201"/>
      <c r="K114" s="201"/>
      <c r="L114" s="201"/>
    </row>
    <row r="115" spans="3:12">
      <c r="C115" s="201"/>
      <c r="D115" s="201"/>
      <c r="E115" s="201"/>
      <c r="F115" s="201"/>
      <c r="G115" s="201"/>
      <c r="H115" s="201"/>
      <c r="I115" s="201"/>
      <c r="J115" s="201"/>
      <c r="K115" s="201"/>
      <c r="L115" s="201"/>
    </row>
    <row r="116" spans="3:12">
      <c r="C116" s="201"/>
      <c r="D116" s="201"/>
      <c r="E116" s="201"/>
      <c r="F116" s="201"/>
      <c r="G116" s="201"/>
      <c r="H116" s="201"/>
      <c r="I116" s="201"/>
      <c r="J116" s="201"/>
      <c r="K116" s="201"/>
      <c r="L116" s="201"/>
    </row>
    <row r="117" spans="3:12">
      <c r="C117" s="201"/>
      <c r="D117" s="201"/>
      <c r="E117" s="201"/>
      <c r="F117" s="201"/>
      <c r="G117" s="201"/>
      <c r="H117" s="201"/>
      <c r="I117" s="201"/>
      <c r="J117" s="201"/>
      <c r="K117" s="201"/>
      <c r="L117" s="201"/>
    </row>
    <row r="118" spans="3:12">
      <c r="C118" s="201"/>
      <c r="D118" s="201"/>
      <c r="E118" s="201"/>
      <c r="F118" s="201"/>
      <c r="G118" s="201"/>
      <c r="H118" s="201"/>
      <c r="I118" s="201"/>
      <c r="J118" s="201"/>
      <c r="K118" s="201"/>
      <c r="L118" s="201"/>
    </row>
    <row r="119" spans="3:12">
      <c r="C119" s="201"/>
      <c r="D119" s="201"/>
      <c r="E119" s="201"/>
      <c r="F119" s="201"/>
      <c r="G119" s="201"/>
      <c r="H119" s="201"/>
      <c r="I119" s="201"/>
      <c r="J119" s="201"/>
      <c r="K119" s="201"/>
      <c r="L119" s="201"/>
    </row>
    <row r="120" spans="3:12">
      <c r="C120" s="201"/>
      <c r="D120" s="201"/>
      <c r="E120" s="201"/>
      <c r="F120" s="201"/>
      <c r="G120" s="201"/>
      <c r="H120" s="201"/>
      <c r="I120" s="201"/>
      <c r="J120" s="201"/>
      <c r="K120" s="201"/>
      <c r="L120" s="201"/>
    </row>
    <row r="121" spans="3:12">
      <c r="C121" s="201"/>
      <c r="D121" s="201"/>
      <c r="E121" s="201"/>
      <c r="F121" s="201"/>
      <c r="G121" s="201"/>
      <c r="H121" s="201"/>
      <c r="I121" s="201"/>
      <c r="J121" s="201"/>
      <c r="K121" s="201"/>
      <c r="L121" s="201"/>
    </row>
    <row r="122" spans="3:12">
      <c r="C122" s="201"/>
      <c r="D122" s="201"/>
      <c r="E122" s="201"/>
      <c r="F122" s="201"/>
      <c r="G122" s="201"/>
      <c r="H122" s="201"/>
      <c r="I122" s="201"/>
      <c r="J122" s="201"/>
      <c r="K122" s="201"/>
      <c r="L122" s="201"/>
    </row>
    <row r="123" spans="3:12">
      <c r="C123" s="201"/>
      <c r="D123" s="201"/>
      <c r="E123" s="201"/>
      <c r="F123" s="201"/>
      <c r="G123" s="201"/>
      <c r="H123" s="201"/>
      <c r="I123" s="201"/>
      <c r="J123" s="201"/>
      <c r="K123" s="201"/>
      <c r="L123" s="201"/>
    </row>
    <row r="124" spans="3:12">
      <c r="C124" s="201"/>
      <c r="D124" s="201"/>
      <c r="E124" s="201"/>
      <c r="F124" s="201"/>
      <c r="G124" s="201"/>
      <c r="H124" s="201"/>
      <c r="I124" s="201"/>
      <c r="J124" s="201"/>
      <c r="K124" s="201"/>
      <c r="L124" s="201"/>
    </row>
    <row r="125" spans="3:12">
      <c r="C125" s="201"/>
      <c r="D125" s="201"/>
      <c r="E125" s="201"/>
      <c r="F125" s="201"/>
      <c r="G125" s="201"/>
      <c r="H125" s="201"/>
      <c r="I125" s="201"/>
      <c r="J125" s="201"/>
      <c r="K125" s="201"/>
      <c r="L125" s="201"/>
    </row>
    <row r="126" spans="3:12">
      <c r="C126" s="201"/>
      <c r="D126" s="201"/>
      <c r="E126" s="201"/>
      <c r="F126" s="201"/>
      <c r="G126" s="201"/>
      <c r="H126" s="201"/>
      <c r="I126" s="201"/>
      <c r="J126" s="201"/>
      <c r="K126" s="201"/>
      <c r="L126" s="201"/>
    </row>
    <row r="127" spans="3:12">
      <c r="C127" s="201"/>
      <c r="D127" s="201"/>
      <c r="E127" s="201"/>
      <c r="F127" s="201"/>
      <c r="G127" s="201"/>
      <c r="H127" s="201"/>
      <c r="I127" s="201"/>
      <c r="J127" s="201"/>
      <c r="K127" s="201"/>
      <c r="L127" s="201"/>
    </row>
    <row r="128" spans="3:12">
      <c r="C128" s="201"/>
      <c r="D128" s="201"/>
      <c r="E128" s="201"/>
      <c r="F128" s="201"/>
      <c r="G128" s="201"/>
      <c r="H128" s="201"/>
      <c r="I128" s="201"/>
      <c r="J128" s="201"/>
      <c r="K128" s="201"/>
      <c r="L128" s="201"/>
    </row>
    <row r="129" spans="3:12">
      <c r="C129" s="201"/>
      <c r="D129" s="201"/>
      <c r="E129" s="201"/>
      <c r="F129" s="201"/>
      <c r="G129" s="201"/>
      <c r="H129" s="201"/>
      <c r="I129" s="201"/>
      <c r="J129" s="201"/>
      <c r="K129" s="201"/>
      <c r="L129" s="201"/>
    </row>
    <row r="130" spans="3:12">
      <c r="C130" s="201"/>
      <c r="D130" s="201"/>
      <c r="E130" s="201"/>
      <c r="F130" s="201"/>
      <c r="G130" s="201"/>
      <c r="H130" s="201"/>
      <c r="I130" s="201"/>
      <c r="J130" s="201"/>
      <c r="K130" s="201"/>
      <c r="L130" s="201"/>
    </row>
    <row r="131" spans="3:12">
      <c r="C131" s="201"/>
      <c r="D131" s="201"/>
      <c r="E131" s="201"/>
      <c r="F131" s="201"/>
      <c r="G131" s="201"/>
      <c r="H131" s="201"/>
      <c r="I131" s="201"/>
      <c r="J131" s="201"/>
      <c r="K131" s="201"/>
      <c r="L131" s="201"/>
    </row>
    <row r="132" spans="3:12">
      <c r="C132" s="201"/>
      <c r="D132" s="201"/>
      <c r="E132" s="201"/>
      <c r="F132" s="201"/>
      <c r="G132" s="201"/>
      <c r="H132" s="201"/>
      <c r="I132" s="201"/>
      <c r="J132" s="201"/>
      <c r="K132" s="201"/>
      <c r="L132" s="201"/>
    </row>
    <row r="133" spans="3:12">
      <c r="C133" s="201"/>
      <c r="D133" s="201"/>
      <c r="E133" s="201"/>
      <c r="F133" s="201"/>
      <c r="G133" s="201"/>
      <c r="H133" s="201"/>
      <c r="I133" s="201"/>
      <c r="J133" s="201"/>
      <c r="K133" s="201"/>
      <c r="L133" s="201"/>
    </row>
    <row r="134" spans="3:12">
      <c r="C134" s="201"/>
      <c r="D134" s="201"/>
      <c r="E134" s="201"/>
      <c r="F134" s="201"/>
      <c r="G134" s="201"/>
      <c r="H134" s="201"/>
      <c r="I134" s="201"/>
      <c r="J134" s="201"/>
      <c r="K134" s="201"/>
      <c r="L134" s="201"/>
    </row>
    <row r="135" spans="3:12">
      <c r="C135" s="201"/>
      <c r="D135" s="201"/>
      <c r="E135" s="201"/>
      <c r="F135" s="201"/>
      <c r="G135" s="201"/>
      <c r="H135" s="201"/>
      <c r="I135" s="201"/>
      <c r="J135" s="201"/>
      <c r="K135" s="201"/>
      <c r="L135" s="201"/>
    </row>
    <row r="136" spans="3:12">
      <c r="C136" s="201"/>
      <c r="D136" s="201"/>
      <c r="E136" s="201"/>
      <c r="F136" s="201"/>
      <c r="G136" s="201"/>
      <c r="H136" s="201"/>
      <c r="I136" s="201"/>
      <c r="J136" s="201"/>
      <c r="K136" s="201"/>
      <c r="L136" s="201"/>
    </row>
    <row r="137" spans="3:12">
      <c r="C137" s="201"/>
      <c r="D137" s="201"/>
      <c r="E137" s="201"/>
      <c r="F137" s="201"/>
      <c r="G137" s="201"/>
      <c r="H137" s="201"/>
      <c r="I137" s="201"/>
      <c r="J137" s="201"/>
      <c r="K137" s="201"/>
      <c r="L137" s="201"/>
    </row>
    <row r="138" spans="3:12">
      <c r="C138" s="201"/>
      <c r="D138" s="201"/>
      <c r="E138" s="201"/>
      <c r="F138" s="201"/>
      <c r="G138" s="201"/>
      <c r="H138" s="201"/>
      <c r="I138" s="201"/>
      <c r="J138" s="201"/>
      <c r="K138" s="201"/>
      <c r="L138" s="201"/>
    </row>
    <row r="139" spans="3:12">
      <c r="C139" s="201"/>
      <c r="D139" s="201"/>
      <c r="E139" s="201"/>
      <c r="F139" s="201"/>
      <c r="G139" s="201"/>
      <c r="H139" s="201"/>
      <c r="I139" s="201"/>
      <c r="J139" s="201"/>
      <c r="K139" s="201"/>
      <c r="L139" s="201"/>
    </row>
    <row r="140" spans="3:12">
      <c r="C140" s="201"/>
      <c r="D140" s="201"/>
      <c r="E140" s="201"/>
      <c r="F140" s="201"/>
      <c r="G140" s="201"/>
      <c r="H140" s="201"/>
      <c r="I140" s="201"/>
      <c r="J140" s="201"/>
      <c r="K140" s="201"/>
      <c r="L140" s="201"/>
    </row>
    <row r="141" spans="3:12">
      <c r="C141" s="201"/>
      <c r="D141" s="201"/>
      <c r="E141" s="201"/>
      <c r="F141" s="201"/>
      <c r="G141" s="201"/>
      <c r="H141" s="201"/>
      <c r="I141" s="201"/>
      <c r="J141" s="201"/>
      <c r="K141" s="201"/>
      <c r="L141" s="201"/>
    </row>
    <row r="142" spans="3:12">
      <c r="C142" s="201"/>
      <c r="D142" s="201"/>
      <c r="E142" s="201"/>
      <c r="F142" s="201"/>
      <c r="G142" s="201"/>
      <c r="H142" s="201"/>
      <c r="I142" s="201"/>
      <c r="J142" s="201"/>
      <c r="K142" s="201"/>
      <c r="L142" s="201"/>
    </row>
    <row r="143" spans="3:12">
      <c r="C143" s="201"/>
      <c r="D143" s="201"/>
      <c r="E143" s="201"/>
      <c r="F143" s="201"/>
      <c r="G143" s="201"/>
      <c r="H143" s="201"/>
      <c r="I143" s="201"/>
      <c r="J143" s="201"/>
      <c r="K143" s="201"/>
      <c r="L143" s="201"/>
    </row>
    <row r="144" spans="3:12">
      <c r="C144" s="201"/>
      <c r="D144" s="201"/>
      <c r="E144" s="201"/>
      <c r="F144" s="201"/>
      <c r="G144" s="201"/>
      <c r="H144" s="201"/>
      <c r="I144" s="201"/>
      <c r="J144" s="201"/>
      <c r="K144" s="201"/>
      <c r="L144" s="201"/>
    </row>
    <row r="145" spans="3:12">
      <c r="C145" s="201"/>
      <c r="D145" s="201"/>
      <c r="E145" s="201"/>
      <c r="F145" s="201"/>
      <c r="G145" s="201"/>
      <c r="H145" s="201"/>
      <c r="I145" s="201"/>
      <c r="J145" s="201"/>
      <c r="K145" s="201"/>
      <c r="L145" s="201"/>
    </row>
    <row r="146" spans="3:12">
      <c r="C146" s="201"/>
      <c r="D146" s="201"/>
      <c r="E146" s="201"/>
      <c r="F146" s="201"/>
      <c r="G146" s="201"/>
      <c r="H146" s="201"/>
      <c r="I146" s="201"/>
      <c r="J146" s="201"/>
      <c r="K146" s="201"/>
      <c r="L146" s="201"/>
    </row>
    <row r="147" spans="3:12">
      <c r="C147" s="201"/>
      <c r="D147" s="201"/>
      <c r="E147" s="201"/>
      <c r="F147" s="201"/>
      <c r="G147" s="201"/>
      <c r="H147" s="201"/>
      <c r="I147" s="201"/>
      <c r="J147" s="201"/>
      <c r="K147" s="201"/>
      <c r="L147" s="201"/>
    </row>
    <row r="148" spans="3:12">
      <c r="C148" s="201"/>
      <c r="D148" s="201"/>
      <c r="E148" s="201"/>
      <c r="F148" s="201"/>
      <c r="G148" s="201"/>
      <c r="H148" s="201"/>
      <c r="I148" s="201"/>
      <c r="J148" s="201"/>
      <c r="K148" s="201"/>
      <c r="L148" s="201"/>
    </row>
    <row r="149" spans="3:12">
      <c r="C149" s="201"/>
      <c r="D149" s="201"/>
      <c r="E149" s="201"/>
      <c r="F149" s="201"/>
      <c r="G149" s="201"/>
      <c r="H149" s="201"/>
      <c r="I149" s="201"/>
      <c r="J149" s="201"/>
      <c r="K149" s="201"/>
      <c r="L149" s="201"/>
    </row>
    <row r="150" spans="3:12">
      <c r="C150" s="201"/>
      <c r="D150" s="201"/>
      <c r="E150" s="201"/>
      <c r="F150" s="201"/>
      <c r="G150" s="201"/>
      <c r="H150" s="201"/>
      <c r="I150" s="201"/>
      <c r="J150" s="201"/>
      <c r="K150" s="201"/>
      <c r="L150" s="201"/>
    </row>
    <row r="151" spans="3:12">
      <c r="C151" s="201"/>
      <c r="D151" s="201"/>
      <c r="E151" s="201"/>
      <c r="F151" s="201"/>
      <c r="G151" s="201"/>
      <c r="H151" s="201"/>
      <c r="I151" s="201"/>
      <c r="J151" s="201"/>
      <c r="K151" s="201"/>
      <c r="L151" s="201"/>
    </row>
    <row r="152" spans="3:12">
      <c r="C152" s="201"/>
      <c r="D152" s="201"/>
      <c r="E152" s="201"/>
      <c r="F152" s="201"/>
      <c r="G152" s="201"/>
      <c r="H152" s="201"/>
      <c r="I152" s="201"/>
      <c r="J152" s="201"/>
      <c r="K152" s="201"/>
      <c r="L152" s="201"/>
    </row>
    <row r="153" spans="3:12">
      <c r="C153" s="201"/>
      <c r="D153" s="201"/>
      <c r="E153" s="201"/>
      <c r="F153" s="201"/>
      <c r="G153" s="201"/>
      <c r="H153" s="201"/>
      <c r="I153" s="201"/>
      <c r="J153" s="201"/>
      <c r="K153" s="201"/>
      <c r="L153" s="201"/>
    </row>
    <row r="154" spans="3:12">
      <c r="C154" s="201"/>
      <c r="D154" s="201"/>
      <c r="E154" s="201"/>
      <c r="F154" s="201"/>
      <c r="G154" s="201"/>
      <c r="H154" s="201"/>
      <c r="I154" s="201"/>
      <c r="J154" s="201"/>
      <c r="K154" s="201"/>
      <c r="L154" s="201"/>
    </row>
    <row r="155" spans="3:12">
      <c r="C155" s="201"/>
      <c r="D155" s="201"/>
      <c r="E155" s="201"/>
      <c r="F155" s="201"/>
      <c r="G155" s="201"/>
      <c r="H155" s="201"/>
      <c r="I155" s="201"/>
      <c r="J155" s="201"/>
      <c r="K155" s="201"/>
      <c r="L155" s="201"/>
    </row>
    <row r="156" spans="3:12">
      <c r="C156" s="201"/>
      <c r="D156" s="201"/>
      <c r="E156" s="201"/>
      <c r="F156" s="201"/>
      <c r="G156" s="201"/>
      <c r="H156" s="201"/>
      <c r="I156" s="201"/>
      <c r="J156" s="201"/>
      <c r="K156" s="201"/>
      <c r="L156" s="201"/>
    </row>
    <row r="157" spans="3:12">
      <c r="C157" s="201"/>
      <c r="D157" s="201"/>
      <c r="E157" s="201"/>
      <c r="F157" s="201"/>
      <c r="G157" s="201"/>
      <c r="H157" s="201"/>
      <c r="I157" s="201"/>
      <c r="J157" s="201"/>
      <c r="K157" s="201"/>
      <c r="L157" s="201"/>
    </row>
    <row r="158" spans="3:12">
      <c r="C158" s="201"/>
      <c r="D158" s="201"/>
      <c r="E158" s="201"/>
      <c r="F158" s="201"/>
      <c r="G158" s="201"/>
      <c r="H158" s="201"/>
      <c r="I158" s="201"/>
      <c r="J158" s="201"/>
      <c r="K158" s="201"/>
      <c r="L158" s="201"/>
    </row>
    <row r="159" spans="3:12">
      <c r="C159" s="201"/>
      <c r="D159" s="201"/>
      <c r="E159" s="201"/>
      <c r="F159" s="201"/>
      <c r="G159" s="201"/>
      <c r="H159" s="201"/>
      <c r="I159" s="201"/>
      <c r="J159" s="201"/>
      <c r="K159" s="201"/>
      <c r="L159" s="201"/>
    </row>
    <row r="160" spans="3:12">
      <c r="C160" s="201"/>
      <c r="D160" s="201"/>
      <c r="E160" s="201"/>
      <c r="F160" s="201"/>
      <c r="G160" s="201"/>
      <c r="H160" s="201"/>
      <c r="I160" s="201"/>
      <c r="J160" s="201"/>
      <c r="K160" s="201"/>
      <c r="L160" s="201"/>
    </row>
    <row r="161" spans="3:12">
      <c r="C161" s="201"/>
      <c r="D161" s="201"/>
      <c r="E161" s="201"/>
      <c r="F161" s="201"/>
      <c r="G161" s="201"/>
      <c r="H161" s="201"/>
      <c r="I161" s="201"/>
      <c r="J161" s="201"/>
      <c r="K161" s="201"/>
      <c r="L161" s="201"/>
    </row>
    <row r="162" spans="3:12">
      <c r="C162" s="201"/>
      <c r="D162" s="201"/>
      <c r="E162" s="201"/>
      <c r="F162" s="201"/>
      <c r="G162" s="201"/>
      <c r="H162" s="201"/>
      <c r="I162" s="201"/>
      <c r="J162" s="201"/>
      <c r="K162" s="201"/>
      <c r="L162" s="201"/>
    </row>
    <row r="163" spans="3:12">
      <c r="C163" s="201"/>
      <c r="D163" s="201"/>
      <c r="E163" s="201"/>
      <c r="F163" s="201"/>
      <c r="G163" s="201"/>
      <c r="H163" s="201"/>
      <c r="I163" s="201"/>
      <c r="J163" s="201"/>
      <c r="K163" s="201"/>
      <c r="L163" s="201"/>
    </row>
    <row r="164" spans="3:12">
      <c r="C164" s="201"/>
      <c r="D164" s="201"/>
      <c r="E164" s="201"/>
      <c r="F164" s="201"/>
      <c r="G164" s="201"/>
      <c r="H164" s="201"/>
      <c r="I164" s="201"/>
      <c r="J164" s="201"/>
      <c r="K164" s="201"/>
      <c r="L164" s="201"/>
    </row>
    <row r="165" spans="3:12">
      <c r="C165" s="201"/>
      <c r="D165" s="201"/>
      <c r="E165" s="201"/>
      <c r="F165" s="201"/>
      <c r="G165" s="201"/>
      <c r="H165" s="201"/>
      <c r="I165" s="201"/>
      <c r="J165" s="201"/>
      <c r="K165" s="201"/>
      <c r="L165" s="201"/>
    </row>
    <row r="166" spans="3:12">
      <c r="C166" s="201"/>
      <c r="D166" s="201"/>
      <c r="E166" s="201"/>
      <c r="F166" s="201"/>
      <c r="G166" s="201"/>
      <c r="H166" s="201"/>
      <c r="I166" s="201"/>
      <c r="J166" s="201"/>
      <c r="K166" s="201"/>
      <c r="L166" s="201"/>
    </row>
    <row r="167" spans="3:12">
      <c r="C167" s="201"/>
      <c r="D167" s="201"/>
      <c r="E167" s="201"/>
      <c r="F167" s="201"/>
      <c r="G167" s="201"/>
      <c r="H167" s="201"/>
      <c r="I167" s="201"/>
      <c r="J167" s="201"/>
      <c r="K167" s="201"/>
      <c r="L167" s="201"/>
    </row>
    <row r="168" spans="3:12">
      <c r="C168" s="201"/>
      <c r="D168" s="201"/>
      <c r="E168" s="201"/>
      <c r="F168" s="201"/>
      <c r="G168" s="201"/>
      <c r="H168" s="201"/>
      <c r="I168" s="201"/>
      <c r="J168" s="201"/>
      <c r="K168" s="201"/>
      <c r="L168" s="201"/>
    </row>
    <row r="169" spans="3:12">
      <c r="C169" s="201"/>
      <c r="D169" s="201"/>
      <c r="E169" s="201"/>
      <c r="F169" s="201"/>
      <c r="G169" s="201"/>
      <c r="H169" s="201"/>
      <c r="I169" s="201"/>
      <c r="J169" s="201"/>
      <c r="K169" s="201"/>
      <c r="L169" s="201"/>
    </row>
    <row r="170" spans="3:12">
      <c r="C170" s="201"/>
      <c r="D170" s="201"/>
      <c r="E170" s="201"/>
      <c r="F170" s="201"/>
      <c r="G170" s="201"/>
      <c r="H170" s="201"/>
      <c r="I170" s="201"/>
      <c r="J170" s="201"/>
      <c r="K170" s="201"/>
      <c r="L170" s="201"/>
    </row>
    <row r="171" spans="3:12">
      <c r="C171" s="201"/>
      <c r="D171" s="201"/>
      <c r="E171" s="201"/>
      <c r="F171" s="201"/>
      <c r="G171" s="201"/>
      <c r="H171" s="201"/>
      <c r="I171" s="201"/>
      <c r="J171" s="201"/>
      <c r="K171" s="201"/>
      <c r="L171" s="201"/>
    </row>
    <row r="172" spans="3:12">
      <c r="C172" s="201"/>
      <c r="D172" s="201"/>
      <c r="E172" s="201"/>
      <c r="F172" s="201"/>
      <c r="G172" s="201"/>
      <c r="H172" s="201"/>
      <c r="I172" s="201"/>
      <c r="J172" s="201"/>
      <c r="K172" s="201"/>
      <c r="L172" s="201"/>
    </row>
    <row r="173" spans="3:12">
      <c r="C173" s="201"/>
      <c r="D173" s="201"/>
      <c r="E173" s="201"/>
      <c r="F173" s="201"/>
      <c r="G173" s="201"/>
      <c r="H173" s="201"/>
      <c r="I173" s="201"/>
      <c r="J173" s="201"/>
      <c r="K173" s="201"/>
      <c r="L173" s="201"/>
    </row>
    <row r="174" spans="3:12">
      <c r="C174" s="201"/>
      <c r="D174" s="201"/>
      <c r="E174" s="201"/>
      <c r="F174" s="201"/>
      <c r="G174" s="201"/>
      <c r="H174" s="201"/>
      <c r="I174" s="201"/>
      <c r="J174" s="201"/>
      <c r="K174" s="201"/>
      <c r="L174" s="201"/>
    </row>
    <row r="175" spans="3:12">
      <c r="C175" s="201"/>
      <c r="D175" s="201"/>
      <c r="E175" s="201"/>
      <c r="F175" s="201"/>
      <c r="G175" s="201"/>
      <c r="H175" s="201"/>
      <c r="I175" s="201"/>
      <c r="J175" s="201"/>
      <c r="K175" s="201"/>
      <c r="L175" s="201"/>
    </row>
    <row r="176" spans="3:12">
      <c r="C176" s="201"/>
      <c r="D176" s="201"/>
      <c r="E176" s="201"/>
      <c r="F176" s="201"/>
      <c r="G176" s="201"/>
      <c r="H176" s="201"/>
      <c r="I176" s="201"/>
      <c r="J176" s="201"/>
      <c r="K176" s="201"/>
      <c r="L176" s="201"/>
    </row>
    <row r="177" spans="3:12">
      <c r="C177" s="201"/>
      <c r="D177" s="201"/>
      <c r="E177" s="201"/>
      <c r="F177" s="201"/>
      <c r="G177" s="201"/>
      <c r="H177" s="201"/>
      <c r="I177" s="201"/>
      <c r="J177" s="201"/>
      <c r="K177" s="201"/>
      <c r="L177" s="201"/>
    </row>
    <row r="178" spans="3:12">
      <c r="C178" s="201"/>
      <c r="D178" s="201"/>
      <c r="E178" s="201"/>
      <c r="F178" s="201"/>
      <c r="G178" s="201"/>
      <c r="H178" s="201"/>
      <c r="I178" s="201"/>
      <c r="J178" s="201"/>
      <c r="K178" s="201"/>
      <c r="L178" s="201"/>
    </row>
    <row r="179" spans="3:12">
      <c r="C179" s="201"/>
      <c r="D179" s="201"/>
      <c r="E179" s="201"/>
      <c r="F179" s="201"/>
      <c r="G179" s="201"/>
      <c r="H179" s="201"/>
      <c r="I179" s="201"/>
      <c r="J179" s="201"/>
      <c r="K179" s="201"/>
      <c r="L179" s="201"/>
    </row>
    <row r="180" spans="3:12">
      <c r="C180" s="201"/>
      <c r="D180" s="201"/>
      <c r="E180" s="201"/>
      <c r="F180" s="201"/>
      <c r="G180" s="201"/>
      <c r="H180" s="201"/>
      <c r="I180" s="201"/>
      <c r="J180" s="201"/>
      <c r="K180" s="201"/>
      <c r="L180" s="201"/>
    </row>
    <row r="181" spans="3:12">
      <c r="C181" s="201"/>
      <c r="D181" s="201"/>
      <c r="E181" s="201"/>
      <c r="F181" s="201"/>
      <c r="G181" s="201"/>
      <c r="H181" s="201"/>
      <c r="I181" s="201"/>
      <c r="J181" s="201"/>
      <c r="K181" s="201"/>
      <c r="L181" s="201"/>
    </row>
    <row r="182" spans="3:12">
      <c r="C182" s="140"/>
      <c r="D182" s="140"/>
      <c r="E182" s="140"/>
      <c r="F182" s="140"/>
      <c r="G182" s="140"/>
      <c r="H182" s="140"/>
      <c r="I182" s="140"/>
      <c r="J182" s="140"/>
      <c r="K182" s="140"/>
      <c r="L182" s="140"/>
    </row>
    <row r="183" spans="3:12">
      <c r="C183" s="140"/>
      <c r="D183" s="140"/>
      <c r="E183" s="140"/>
      <c r="F183" s="140"/>
      <c r="G183" s="140"/>
      <c r="H183" s="140"/>
      <c r="I183" s="140"/>
      <c r="J183" s="140"/>
      <c r="K183" s="140"/>
      <c r="L183" s="140"/>
    </row>
    <row r="184" spans="3:12">
      <c r="C184" s="140"/>
      <c r="D184" s="140"/>
      <c r="E184" s="140"/>
      <c r="F184" s="140"/>
      <c r="G184" s="140"/>
      <c r="H184" s="140"/>
      <c r="I184" s="140"/>
      <c r="J184" s="140"/>
      <c r="K184" s="140"/>
      <c r="L184" s="140"/>
    </row>
    <row r="185" spans="3:12">
      <c r="C185" s="140"/>
      <c r="D185" s="140"/>
      <c r="E185" s="140"/>
      <c r="F185" s="140"/>
      <c r="G185" s="140"/>
      <c r="H185" s="140"/>
      <c r="I185" s="140"/>
      <c r="J185" s="140"/>
      <c r="K185" s="140"/>
      <c r="L185" s="140"/>
    </row>
    <row r="186" spans="3:12">
      <c r="C186" s="140"/>
      <c r="D186" s="140"/>
      <c r="E186" s="140"/>
      <c r="F186" s="140"/>
      <c r="G186" s="140"/>
      <c r="H186" s="140"/>
      <c r="I186" s="140"/>
      <c r="J186" s="140"/>
      <c r="K186" s="140"/>
      <c r="L186" s="140"/>
    </row>
    <row r="187" spans="3:12">
      <c r="C187" s="140"/>
      <c r="D187" s="140"/>
      <c r="E187" s="140"/>
      <c r="F187" s="140"/>
      <c r="G187" s="140"/>
      <c r="H187" s="140"/>
      <c r="I187" s="140"/>
      <c r="J187" s="140"/>
      <c r="K187" s="140"/>
      <c r="L187" s="140"/>
    </row>
    <row r="188" spans="3:12">
      <c r="C188" s="140"/>
      <c r="D188" s="140"/>
      <c r="E188" s="140"/>
      <c r="F188" s="140"/>
      <c r="G188" s="140"/>
      <c r="H188" s="140"/>
      <c r="I188" s="140"/>
      <c r="J188" s="140"/>
      <c r="K188" s="140"/>
      <c r="L188" s="140"/>
    </row>
    <row r="189" spans="3:12">
      <c r="C189" s="140"/>
      <c r="D189" s="140"/>
      <c r="E189" s="140"/>
      <c r="F189" s="140"/>
      <c r="G189" s="140"/>
      <c r="H189" s="140"/>
      <c r="I189" s="140"/>
      <c r="J189" s="140"/>
      <c r="K189" s="140"/>
      <c r="L189" s="140"/>
    </row>
    <row r="190" spans="3:12">
      <c r="C190" s="140"/>
      <c r="D190" s="140"/>
      <c r="E190" s="140"/>
      <c r="F190" s="140"/>
      <c r="G190" s="140"/>
      <c r="H190" s="140"/>
      <c r="I190" s="140"/>
      <c r="J190" s="140"/>
      <c r="K190" s="140"/>
      <c r="L190" s="140"/>
    </row>
    <row r="191" spans="3:12">
      <c r="C191" s="140"/>
      <c r="D191" s="140"/>
      <c r="E191" s="140"/>
      <c r="F191" s="140"/>
      <c r="G191" s="140"/>
      <c r="H191" s="140"/>
      <c r="I191" s="140"/>
      <c r="J191" s="140"/>
      <c r="K191" s="140"/>
      <c r="L191" s="140"/>
    </row>
    <row r="192" spans="3:12">
      <c r="C192" s="140"/>
      <c r="D192" s="140"/>
      <c r="E192" s="140"/>
      <c r="F192" s="140"/>
      <c r="G192" s="140"/>
      <c r="H192" s="140"/>
      <c r="I192" s="140"/>
      <c r="J192" s="140"/>
      <c r="K192" s="140"/>
      <c r="L192" s="140"/>
    </row>
    <row r="193" spans="3:12">
      <c r="C193" s="140"/>
      <c r="D193" s="140"/>
      <c r="E193" s="140"/>
      <c r="F193" s="140"/>
      <c r="G193" s="140"/>
      <c r="H193" s="140"/>
      <c r="I193" s="140"/>
      <c r="J193" s="140"/>
      <c r="K193" s="140"/>
      <c r="L193" s="140"/>
    </row>
    <row r="194" spans="3:12">
      <c r="C194" s="140"/>
      <c r="D194" s="140"/>
      <c r="E194" s="140"/>
      <c r="F194" s="140"/>
      <c r="G194" s="140"/>
      <c r="H194" s="140"/>
      <c r="I194" s="140"/>
      <c r="J194" s="140"/>
      <c r="K194" s="140"/>
      <c r="L194" s="140"/>
    </row>
    <row r="195" spans="3:12">
      <c r="C195" s="140"/>
      <c r="D195" s="140"/>
      <c r="E195" s="140"/>
      <c r="F195" s="140"/>
      <c r="G195" s="140"/>
      <c r="H195" s="140"/>
      <c r="I195" s="140"/>
      <c r="J195" s="140"/>
      <c r="K195" s="140"/>
      <c r="L195" s="140"/>
    </row>
    <row r="196" spans="3:12">
      <c r="C196" s="140"/>
      <c r="D196" s="140"/>
      <c r="E196" s="140"/>
      <c r="F196" s="140"/>
      <c r="G196" s="140"/>
      <c r="H196" s="140"/>
      <c r="I196" s="140"/>
      <c r="J196" s="140"/>
      <c r="K196" s="140"/>
      <c r="L196" s="140"/>
    </row>
    <row r="197" spans="3:12">
      <c r="C197" s="140"/>
      <c r="D197" s="140"/>
      <c r="E197" s="140"/>
      <c r="F197" s="140"/>
      <c r="G197" s="140"/>
      <c r="H197" s="140"/>
      <c r="I197" s="140"/>
      <c r="J197" s="140"/>
      <c r="K197" s="140"/>
      <c r="L197" s="140"/>
    </row>
    <row r="198" spans="3:12">
      <c r="C198" s="140"/>
      <c r="D198" s="140"/>
      <c r="E198" s="140"/>
      <c r="F198" s="140"/>
      <c r="G198" s="140"/>
      <c r="H198" s="140"/>
      <c r="I198" s="140"/>
      <c r="J198" s="140"/>
      <c r="K198" s="140"/>
      <c r="L198" s="140"/>
    </row>
    <row r="199" spans="3:12">
      <c r="C199" s="140"/>
      <c r="D199" s="140"/>
      <c r="E199" s="140"/>
      <c r="F199" s="140"/>
      <c r="G199" s="140"/>
      <c r="H199" s="140"/>
      <c r="I199" s="140"/>
      <c r="J199" s="140"/>
      <c r="K199" s="140"/>
      <c r="L199" s="140"/>
    </row>
    <row r="200" spans="3:12">
      <c r="C200" s="140"/>
      <c r="D200" s="140"/>
      <c r="E200" s="140"/>
      <c r="F200" s="140"/>
      <c r="G200" s="140"/>
      <c r="H200" s="140"/>
      <c r="I200" s="140"/>
      <c r="J200" s="140"/>
      <c r="K200" s="140"/>
      <c r="L200" s="140"/>
    </row>
    <row r="201" spans="3:12">
      <c r="C201" s="140"/>
      <c r="D201" s="140"/>
      <c r="E201" s="140"/>
      <c r="F201" s="140"/>
      <c r="G201" s="140"/>
      <c r="H201" s="140"/>
      <c r="I201" s="140"/>
      <c r="J201" s="140"/>
      <c r="K201" s="140"/>
      <c r="L201" s="140"/>
    </row>
    <row r="202" spans="3:12">
      <c r="C202" s="140"/>
      <c r="D202" s="140"/>
      <c r="E202" s="140"/>
      <c r="F202" s="140"/>
      <c r="G202" s="140"/>
      <c r="H202" s="140"/>
      <c r="I202" s="140"/>
      <c r="J202" s="140"/>
      <c r="K202" s="140"/>
      <c r="L202" s="140"/>
    </row>
    <row r="203" spans="3:12">
      <c r="C203" s="140"/>
      <c r="D203" s="140"/>
      <c r="E203" s="140"/>
      <c r="F203" s="140"/>
      <c r="G203" s="140"/>
      <c r="H203" s="140"/>
      <c r="I203" s="140"/>
      <c r="J203" s="140"/>
      <c r="K203" s="140"/>
      <c r="L203" s="140"/>
    </row>
    <row r="204" spans="3:12">
      <c r="C204" s="140"/>
      <c r="D204" s="140"/>
      <c r="E204" s="140"/>
      <c r="F204" s="140"/>
      <c r="G204" s="140"/>
      <c r="H204" s="140"/>
      <c r="I204" s="140"/>
      <c r="J204" s="140"/>
      <c r="K204" s="140"/>
      <c r="L204" s="140"/>
    </row>
    <row r="205" spans="3:12">
      <c r="C205" s="140"/>
      <c r="D205" s="140"/>
      <c r="E205" s="140"/>
      <c r="F205" s="140"/>
      <c r="G205" s="140"/>
      <c r="H205" s="140"/>
      <c r="I205" s="140"/>
      <c r="J205" s="140"/>
      <c r="K205" s="140"/>
      <c r="L205" s="140"/>
    </row>
    <row r="206" spans="3:12">
      <c r="C206" s="140"/>
      <c r="D206" s="140"/>
      <c r="E206" s="140"/>
      <c r="F206" s="140"/>
      <c r="G206" s="140"/>
      <c r="H206" s="140"/>
      <c r="I206" s="140"/>
      <c r="J206" s="140"/>
      <c r="K206" s="140"/>
      <c r="L206" s="140"/>
    </row>
    <row r="207" spans="3:12">
      <c r="C207" s="140"/>
      <c r="D207" s="140"/>
      <c r="E207" s="140"/>
      <c r="F207" s="140"/>
      <c r="G207" s="140"/>
      <c r="H207" s="140"/>
      <c r="I207" s="140"/>
      <c r="J207" s="140"/>
      <c r="K207" s="140"/>
      <c r="L207" s="140"/>
    </row>
    <row r="208" spans="3:12">
      <c r="C208" s="140"/>
      <c r="D208" s="140"/>
      <c r="E208" s="140"/>
      <c r="F208" s="140"/>
      <c r="G208" s="140"/>
      <c r="H208" s="140"/>
      <c r="I208" s="140"/>
      <c r="J208" s="140"/>
      <c r="K208" s="140"/>
      <c r="L208" s="140"/>
    </row>
    <row r="209" spans="3:12">
      <c r="C209" s="140"/>
      <c r="D209" s="140"/>
      <c r="E209" s="140"/>
      <c r="F209" s="140"/>
      <c r="G209" s="140"/>
      <c r="H209" s="140"/>
      <c r="I209" s="140"/>
      <c r="J209" s="140"/>
      <c r="K209" s="140"/>
      <c r="L209" s="140"/>
    </row>
    <row r="210" spans="3:12">
      <c r="C210" s="140"/>
      <c r="D210" s="140"/>
      <c r="E210" s="140"/>
      <c r="F210" s="140"/>
      <c r="G210" s="140"/>
      <c r="H210" s="140"/>
      <c r="I210" s="140"/>
      <c r="J210" s="140"/>
      <c r="K210" s="140"/>
      <c r="L210" s="140"/>
    </row>
    <row r="211" spans="3:12">
      <c r="C211" s="140"/>
      <c r="D211" s="140"/>
      <c r="E211" s="140"/>
      <c r="F211" s="140"/>
      <c r="G211" s="140"/>
      <c r="H211" s="140"/>
      <c r="I211" s="140"/>
      <c r="J211" s="140"/>
      <c r="K211" s="140"/>
      <c r="L211" s="140"/>
    </row>
    <row r="212" spans="3:12">
      <c r="C212" s="140"/>
      <c r="D212" s="140"/>
      <c r="E212" s="140"/>
      <c r="F212" s="140"/>
      <c r="G212" s="140"/>
      <c r="H212" s="140"/>
      <c r="I212" s="140"/>
      <c r="J212" s="140"/>
      <c r="K212" s="140"/>
      <c r="L212" s="140"/>
    </row>
    <row r="213" spans="3:12">
      <c r="C213" s="140"/>
      <c r="D213" s="140"/>
      <c r="E213" s="140"/>
      <c r="F213" s="140"/>
      <c r="G213" s="140"/>
      <c r="H213" s="140"/>
      <c r="I213" s="140"/>
      <c r="J213" s="140"/>
      <c r="K213" s="140"/>
      <c r="L213" s="140"/>
    </row>
    <row r="214" spans="3:12">
      <c r="C214" s="140"/>
      <c r="D214" s="140"/>
      <c r="E214" s="140"/>
      <c r="F214" s="140"/>
      <c r="G214" s="140"/>
      <c r="H214" s="140"/>
      <c r="I214" s="140"/>
      <c r="J214" s="140"/>
      <c r="K214" s="140"/>
      <c r="L214" s="140"/>
    </row>
    <row r="215" spans="3:12">
      <c r="C215" s="140"/>
      <c r="D215" s="140"/>
      <c r="E215" s="140"/>
      <c r="F215" s="140"/>
      <c r="G215" s="140"/>
      <c r="H215" s="140"/>
      <c r="I215" s="140"/>
      <c r="J215" s="140"/>
      <c r="K215" s="140"/>
      <c r="L215" s="140"/>
    </row>
    <row r="216" spans="3:12">
      <c r="C216" s="140"/>
      <c r="D216" s="140"/>
      <c r="E216" s="140"/>
      <c r="F216" s="140"/>
      <c r="G216" s="140"/>
      <c r="H216" s="140"/>
      <c r="I216" s="140"/>
      <c r="J216" s="140"/>
      <c r="K216" s="140"/>
      <c r="L216" s="140"/>
    </row>
    <row r="217" spans="3:12">
      <c r="C217" s="140"/>
      <c r="D217" s="140"/>
      <c r="E217" s="140"/>
      <c r="F217" s="140"/>
      <c r="G217" s="140"/>
      <c r="H217" s="140"/>
      <c r="I217" s="140"/>
      <c r="J217" s="140"/>
      <c r="K217" s="140"/>
      <c r="L217" s="140"/>
    </row>
    <row r="218" spans="3:12">
      <c r="C218" s="140"/>
      <c r="D218" s="140"/>
      <c r="E218" s="140"/>
      <c r="F218" s="140"/>
      <c r="G218" s="140"/>
      <c r="H218" s="140"/>
      <c r="I218" s="140"/>
      <c r="J218" s="140"/>
      <c r="K218" s="140"/>
      <c r="L218" s="140"/>
    </row>
    <row r="219" spans="3:12">
      <c r="C219" s="140"/>
      <c r="D219" s="140"/>
      <c r="E219" s="140"/>
      <c r="F219" s="140"/>
      <c r="G219" s="140"/>
      <c r="H219" s="140"/>
      <c r="I219" s="140"/>
      <c r="J219" s="140"/>
      <c r="K219" s="140"/>
      <c r="L219" s="140"/>
    </row>
    <row r="220" spans="3:12">
      <c r="C220" s="140"/>
      <c r="D220" s="140"/>
      <c r="E220" s="140"/>
      <c r="F220" s="140"/>
      <c r="G220" s="140"/>
      <c r="H220" s="140"/>
      <c r="I220" s="140"/>
      <c r="J220" s="140"/>
      <c r="K220" s="140"/>
      <c r="L220" s="140"/>
    </row>
    <row r="221" spans="3:12">
      <c r="C221" s="140"/>
      <c r="D221" s="140"/>
      <c r="E221" s="140"/>
      <c r="F221" s="140"/>
      <c r="G221" s="140"/>
      <c r="H221" s="140"/>
      <c r="I221" s="140"/>
      <c r="J221" s="140"/>
      <c r="K221" s="140"/>
      <c r="L221" s="140"/>
    </row>
    <row r="222" spans="3:12">
      <c r="C222" s="140"/>
      <c r="D222" s="140"/>
      <c r="E222" s="140"/>
      <c r="F222" s="140"/>
      <c r="G222" s="140"/>
      <c r="H222" s="140"/>
      <c r="I222" s="140"/>
      <c r="J222" s="140"/>
      <c r="K222" s="140"/>
      <c r="L222" s="140"/>
    </row>
    <row r="223" spans="3:12">
      <c r="C223" s="140"/>
      <c r="D223" s="140"/>
      <c r="E223" s="140"/>
      <c r="F223" s="140"/>
      <c r="G223" s="140"/>
      <c r="H223" s="140"/>
      <c r="I223" s="140"/>
      <c r="J223" s="140"/>
      <c r="K223" s="140"/>
      <c r="L223" s="140"/>
    </row>
    <row r="224" spans="3:12">
      <c r="C224" s="140"/>
      <c r="D224" s="140"/>
      <c r="E224" s="140"/>
      <c r="F224" s="140"/>
      <c r="G224" s="140"/>
      <c r="H224" s="140"/>
      <c r="I224" s="140"/>
      <c r="J224" s="140"/>
      <c r="K224" s="140"/>
      <c r="L224" s="140"/>
    </row>
    <row r="225" spans="3:12">
      <c r="C225" s="140"/>
      <c r="D225" s="140"/>
      <c r="E225" s="140"/>
      <c r="F225" s="140"/>
      <c r="G225" s="140"/>
      <c r="H225" s="140"/>
      <c r="I225" s="140"/>
      <c r="J225" s="140"/>
      <c r="K225" s="140"/>
      <c r="L225" s="140"/>
    </row>
    <row r="226" spans="3:12">
      <c r="C226" s="140"/>
      <c r="D226" s="140"/>
      <c r="E226" s="140"/>
      <c r="F226" s="140"/>
      <c r="G226" s="140"/>
      <c r="H226" s="140"/>
      <c r="I226" s="140"/>
      <c r="J226" s="140"/>
      <c r="K226" s="140"/>
      <c r="L226" s="140"/>
    </row>
    <row r="227" spans="3:12">
      <c r="C227" s="140"/>
      <c r="D227" s="140"/>
      <c r="E227" s="140"/>
      <c r="F227" s="140"/>
      <c r="G227" s="140"/>
      <c r="H227" s="140"/>
      <c r="I227" s="140"/>
      <c r="J227" s="140"/>
      <c r="K227" s="140"/>
      <c r="L227" s="140"/>
    </row>
    <row r="228" spans="3:12">
      <c r="C228" s="140"/>
      <c r="D228" s="140"/>
      <c r="E228" s="140"/>
      <c r="F228" s="140"/>
      <c r="G228" s="140"/>
      <c r="H228" s="140"/>
      <c r="I228" s="140"/>
      <c r="J228" s="140"/>
      <c r="K228" s="140"/>
      <c r="L228" s="140"/>
    </row>
    <row r="229" spans="3:12">
      <c r="C229" s="140"/>
      <c r="D229" s="140"/>
      <c r="E229" s="140"/>
      <c r="F229" s="140"/>
      <c r="G229" s="140"/>
      <c r="H229" s="140"/>
      <c r="I229" s="140"/>
      <c r="J229" s="140"/>
      <c r="K229" s="140"/>
      <c r="L229" s="140"/>
    </row>
    <row r="230" spans="3:12">
      <c r="C230" s="140"/>
      <c r="D230" s="140"/>
      <c r="E230" s="140"/>
      <c r="F230" s="140"/>
      <c r="G230" s="140"/>
      <c r="H230" s="140"/>
      <c r="I230" s="140"/>
      <c r="J230" s="140"/>
      <c r="K230" s="140"/>
      <c r="L230" s="140"/>
    </row>
    <row r="231" spans="3:12">
      <c r="C231" s="140"/>
      <c r="D231" s="140"/>
      <c r="E231" s="140"/>
      <c r="F231" s="140"/>
      <c r="G231" s="140"/>
      <c r="H231" s="140"/>
      <c r="I231" s="140"/>
      <c r="J231" s="140"/>
      <c r="K231" s="140"/>
      <c r="L231" s="140"/>
    </row>
    <row r="232" spans="3:12">
      <c r="C232" s="140"/>
      <c r="D232" s="140"/>
      <c r="E232" s="140"/>
      <c r="F232" s="140"/>
      <c r="G232" s="140"/>
      <c r="H232" s="140"/>
      <c r="I232" s="140"/>
      <c r="J232" s="140"/>
      <c r="K232" s="140"/>
      <c r="L232" s="140"/>
    </row>
    <row r="233" spans="3:12">
      <c r="C233" s="140"/>
      <c r="D233" s="140"/>
      <c r="E233" s="140"/>
      <c r="F233" s="140"/>
      <c r="G233" s="140"/>
      <c r="H233" s="140"/>
      <c r="I233" s="140"/>
      <c r="J233" s="140"/>
      <c r="K233" s="140"/>
      <c r="L233" s="140"/>
    </row>
    <row r="234" spans="3:12">
      <c r="C234" s="140"/>
      <c r="D234" s="140"/>
      <c r="E234" s="140"/>
      <c r="F234" s="140"/>
      <c r="G234" s="140"/>
      <c r="H234" s="140"/>
      <c r="I234" s="140"/>
      <c r="J234" s="140"/>
      <c r="K234" s="140"/>
      <c r="L234" s="140"/>
    </row>
    <row r="235" spans="3:12">
      <c r="C235" s="140"/>
      <c r="D235" s="140"/>
      <c r="E235" s="140"/>
      <c r="F235" s="140"/>
      <c r="G235" s="140"/>
      <c r="H235" s="140"/>
      <c r="I235" s="140"/>
      <c r="J235" s="140"/>
      <c r="K235" s="140"/>
      <c r="L235" s="140"/>
    </row>
    <row r="236" spans="3:12">
      <c r="C236" s="140"/>
      <c r="D236" s="140"/>
      <c r="E236" s="140"/>
      <c r="F236" s="140"/>
      <c r="G236" s="140"/>
      <c r="H236" s="140"/>
      <c r="I236" s="140"/>
      <c r="J236" s="140"/>
      <c r="K236" s="140"/>
      <c r="L236" s="140"/>
    </row>
    <row r="237" spans="3:12">
      <c r="C237" s="140"/>
      <c r="D237" s="140"/>
      <c r="E237" s="140"/>
      <c r="F237" s="140"/>
      <c r="G237" s="140"/>
      <c r="H237" s="140"/>
      <c r="I237" s="140"/>
      <c r="J237" s="140"/>
      <c r="K237" s="140"/>
      <c r="L237" s="140"/>
    </row>
    <row r="238" spans="3:12">
      <c r="C238" s="140"/>
      <c r="D238" s="140"/>
      <c r="E238" s="140"/>
      <c r="F238" s="140"/>
      <c r="G238" s="140"/>
      <c r="H238" s="140"/>
      <c r="I238" s="140"/>
      <c r="J238" s="140"/>
      <c r="K238" s="140"/>
      <c r="L238" s="140"/>
    </row>
    <row r="239" spans="3:12">
      <c r="C239" s="140"/>
      <c r="D239" s="140"/>
      <c r="E239" s="140"/>
      <c r="F239" s="140"/>
      <c r="G239" s="140"/>
      <c r="H239" s="140"/>
      <c r="I239" s="140"/>
      <c r="J239" s="140"/>
      <c r="K239" s="140"/>
      <c r="L239" s="140"/>
    </row>
    <row r="240" spans="3:12">
      <c r="C240" s="140"/>
      <c r="D240" s="140"/>
      <c r="E240" s="140"/>
      <c r="F240" s="140"/>
      <c r="G240" s="140"/>
      <c r="H240" s="140"/>
      <c r="I240" s="140"/>
      <c r="J240" s="140"/>
      <c r="K240" s="140"/>
      <c r="L240" s="140"/>
    </row>
    <row r="241" spans="3:12">
      <c r="C241" s="140"/>
      <c r="D241" s="140"/>
      <c r="E241" s="140"/>
      <c r="F241" s="140"/>
      <c r="G241" s="140"/>
      <c r="H241" s="140"/>
      <c r="I241" s="140"/>
      <c r="J241" s="140"/>
      <c r="K241" s="140"/>
      <c r="L241" s="140"/>
    </row>
    <row r="242" spans="3:12">
      <c r="C242" s="140"/>
      <c r="D242" s="140"/>
      <c r="E242" s="140"/>
      <c r="F242" s="140"/>
      <c r="G242" s="140"/>
      <c r="H242" s="140"/>
      <c r="I242" s="140"/>
      <c r="J242" s="140"/>
      <c r="K242" s="140"/>
      <c r="L242" s="140"/>
    </row>
    <row r="243" spans="3:12">
      <c r="C243" s="140"/>
      <c r="D243" s="140"/>
      <c r="E243" s="140"/>
      <c r="F243" s="140"/>
      <c r="G243" s="140"/>
      <c r="H243" s="140"/>
      <c r="I243" s="140"/>
      <c r="J243" s="140"/>
      <c r="K243" s="140"/>
      <c r="L243" s="140"/>
    </row>
    <row r="244" spans="3:12">
      <c r="C244" s="140"/>
      <c r="D244" s="140"/>
      <c r="E244" s="140"/>
      <c r="F244" s="140"/>
      <c r="G244" s="140"/>
      <c r="H244" s="140"/>
      <c r="I244" s="140"/>
      <c r="J244" s="140"/>
      <c r="K244" s="140"/>
      <c r="L244" s="140"/>
    </row>
    <row r="245" spans="3:12">
      <c r="C245" s="140"/>
      <c r="D245" s="140"/>
      <c r="E245" s="140"/>
      <c r="F245" s="140"/>
      <c r="G245" s="140"/>
      <c r="H245" s="140"/>
      <c r="I245" s="140"/>
      <c r="J245" s="140"/>
      <c r="K245" s="140"/>
      <c r="L245" s="140"/>
    </row>
    <row r="246" spans="3:12">
      <c r="C246" s="140"/>
      <c r="D246" s="140"/>
      <c r="E246" s="140"/>
      <c r="F246" s="140"/>
      <c r="G246" s="140"/>
      <c r="H246" s="140"/>
      <c r="I246" s="140"/>
      <c r="J246" s="140"/>
      <c r="K246" s="140"/>
      <c r="L246" s="140"/>
    </row>
    <row r="247" spans="3:12">
      <c r="C247" s="140"/>
      <c r="D247" s="140"/>
      <c r="E247" s="140"/>
      <c r="F247" s="140"/>
      <c r="G247" s="140"/>
      <c r="H247" s="140"/>
      <c r="I247" s="140"/>
      <c r="J247" s="140"/>
      <c r="K247" s="140"/>
      <c r="L247" s="140"/>
    </row>
    <row r="248" spans="3:12">
      <c r="C248" s="140"/>
      <c r="D248" s="140"/>
      <c r="E248" s="140"/>
      <c r="F248" s="140"/>
      <c r="G248" s="140"/>
      <c r="H248" s="140"/>
      <c r="I248" s="140"/>
      <c r="J248" s="140"/>
      <c r="K248" s="140"/>
      <c r="L248" s="140"/>
    </row>
    <row r="249" spans="3:12">
      <c r="C249" s="140"/>
      <c r="D249" s="140"/>
      <c r="E249" s="140"/>
      <c r="F249" s="140"/>
      <c r="G249" s="140"/>
      <c r="H249" s="140"/>
      <c r="I249" s="140"/>
      <c r="J249" s="140"/>
      <c r="K249" s="140"/>
      <c r="L249" s="140"/>
    </row>
    <row r="250" spans="3:12">
      <c r="C250" s="140"/>
      <c r="D250" s="140"/>
      <c r="E250" s="140"/>
      <c r="F250" s="140"/>
      <c r="G250" s="140"/>
      <c r="H250" s="140"/>
      <c r="I250" s="140"/>
      <c r="J250" s="140"/>
      <c r="K250" s="140"/>
      <c r="L250" s="140"/>
    </row>
    <row r="251" spans="3:12">
      <c r="C251" s="140"/>
      <c r="D251" s="140"/>
      <c r="E251" s="140"/>
      <c r="F251" s="140"/>
      <c r="G251" s="140"/>
      <c r="H251" s="140"/>
      <c r="I251" s="140"/>
      <c r="J251" s="140"/>
      <c r="K251" s="140"/>
      <c r="L251" s="140"/>
    </row>
    <row r="252" spans="3:12">
      <c r="C252" s="140"/>
      <c r="D252" s="140"/>
      <c r="E252" s="140"/>
      <c r="F252" s="140"/>
      <c r="G252" s="140"/>
      <c r="H252" s="140"/>
      <c r="I252" s="140"/>
      <c r="J252" s="140"/>
      <c r="K252" s="140"/>
      <c r="L252" s="140"/>
    </row>
    <row r="253" spans="3:12">
      <c r="C253" s="140"/>
      <c r="D253" s="140"/>
      <c r="E253" s="140"/>
      <c r="F253" s="140"/>
      <c r="G253" s="140"/>
      <c r="H253" s="140"/>
      <c r="I253" s="140"/>
      <c r="J253" s="140"/>
      <c r="K253" s="140"/>
      <c r="L253" s="140"/>
    </row>
    <row r="254" spans="3:12">
      <c r="C254" s="140"/>
      <c r="D254" s="140"/>
      <c r="E254" s="140"/>
      <c r="F254" s="140"/>
      <c r="G254" s="140"/>
      <c r="H254" s="140"/>
      <c r="I254" s="140"/>
      <c r="J254" s="140"/>
      <c r="K254" s="140"/>
      <c r="L254" s="140"/>
    </row>
    <row r="255" spans="3:12">
      <c r="C255" s="140"/>
      <c r="D255" s="140"/>
      <c r="E255" s="140"/>
      <c r="F255" s="140"/>
      <c r="G255" s="140"/>
      <c r="H255" s="140"/>
      <c r="I255" s="140"/>
      <c r="J255" s="140"/>
      <c r="K255" s="140"/>
      <c r="L255" s="140"/>
    </row>
    <row r="256" spans="3:12">
      <c r="C256" s="140"/>
      <c r="D256" s="140"/>
      <c r="E256" s="140"/>
      <c r="F256" s="140"/>
      <c r="G256" s="140"/>
      <c r="H256" s="140"/>
      <c r="I256" s="140"/>
      <c r="J256" s="140"/>
      <c r="K256" s="140"/>
      <c r="L256" s="140"/>
    </row>
    <row r="257" spans="3:12">
      <c r="C257" s="140"/>
      <c r="D257" s="140"/>
      <c r="E257" s="140"/>
      <c r="F257" s="140"/>
      <c r="G257" s="140"/>
      <c r="H257" s="140"/>
      <c r="I257" s="140"/>
      <c r="J257" s="140"/>
      <c r="K257" s="140"/>
      <c r="L257" s="140"/>
    </row>
    <row r="258" spans="3:12">
      <c r="C258" s="140"/>
      <c r="D258" s="140"/>
      <c r="E258" s="140"/>
      <c r="F258" s="140"/>
      <c r="G258" s="140"/>
      <c r="H258" s="140"/>
      <c r="I258" s="140"/>
      <c r="J258" s="140"/>
      <c r="K258" s="140"/>
      <c r="L258" s="140"/>
    </row>
    <row r="259" spans="3:12">
      <c r="C259" s="140"/>
      <c r="D259" s="140"/>
      <c r="E259" s="140"/>
      <c r="F259" s="140"/>
      <c r="G259" s="140"/>
      <c r="H259" s="140"/>
      <c r="I259" s="140"/>
      <c r="J259" s="140"/>
      <c r="K259" s="140"/>
      <c r="L259" s="140"/>
    </row>
    <row r="260" spans="3:12">
      <c r="C260" s="140"/>
      <c r="D260" s="140"/>
      <c r="E260" s="140"/>
      <c r="F260" s="140"/>
      <c r="G260" s="140"/>
      <c r="H260" s="140"/>
      <c r="I260" s="140"/>
      <c r="J260" s="140"/>
      <c r="K260" s="140"/>
      <c r="L260" s="140"/>
    </row>
    <row r="261" spans="3:12">
      <c r="C261" s="140"/>
      <c r="D261" s="140"/>
      <c r="E261" s="140"/>
      <c r="F261" s="140"/>
      <c r="G261" s="140"/>
      <c r="H261" s="140"/>
      <c r="I261" s="140"/>
      <c r="J261" s="140"/>
      <c r="K261" s="140"/>
      <c r="L261" s="140"/>
    </row>
    <row r="262" spans="3:12">
      <c r="C262" s="140"/>
      <c r="D262" s="140"/>
      <c r="E262" s="140"/>
      <c r="F262" s="140"/>
      <c r="G262" s="140"/>
      <c r="H262" s="140"/>
      <c r="I262" s="140"/>
      <c r="J262" s="140"/>
      <c r="K262" s="140"/>
      <c r="L262" s="140"/>
    </row>
    <row r="263" spans="3:12">
      <c r="C263" s="140"/>
      <c r="D263" s="140"/>
      <c r="E263" s="140"/>
      <c r="F263" s="140"/>
      <c r="G263" s="140"/>
      <c r="H263" s="140"/>
      <c r="I263" s="140"/>
      <c r="J263" s="140"/>
      <c r="K263" s="140"/>
      <c r="L263" s="140"/>
    </row>
    <row r="264" spans="3:12">
      <c r="C264" s="140"/>
      <c r="D264" s="140"/>
      <c r="E264" s="140"/>
      <c r="F264" s="140"/>
      <c r="G264" s="140"/>
      <c r="H264" s="140"/>
      <c r="I264" s="140"/>
      <c r="J264" s="140"/>
      <c r="K264" s="140"/>
      <c r="L264" s="140"/>
    </row>
    <row r="265" spans="3:12">
      <c r="C265" s="140"/>
      <c r="D265" s="140"/>
      <c r="E265" s="140"/>
      <c r="F265" s="140"/>
      <c r="G265" s="140"/>
      <c r="H265" s="140"/>
      <c r="I265" s="140"/>
      <c r="J265" s="140"/>
      <c r="K265" s="140"/>
      <c r="L265" s="140"/>
    </row>
    <row r="266" spans="3:12">
      <c r="C266" s="140"/>
      <c r="D266" s="140"/>
      <c r="E266" s="140"/>
      <c r="F266" s="140"/>
      <c r="G266" s="140"/>
      <c r="H266" s="140"/>
      <c r="I266" s="140"/>
      <c r="J266" s="140"/>
      <c r="K266" s="140"/>
      <c r="L266" s="140"/>
    </row>
    <row r="267" spans="3:12">
      <c r="C267" s="140"/>
      <c r="D267" s="140"/>
      <c r="E267" s="140"/>
      <c r="F267" s="140"/>
      <c r="G267" s="140"/>
      <c r="H267" s="140"/>
      <c r="I267" s="140"/>
      <c r="J267" s="140"/>
      <c r="K267" s="140"/>
      <c r="L267" s="140"/>
    </row>
    <row r="268" spans="3:12">
      <c r="C268" s="140"/>
      <c r="D268" s="140"/>
      <c r="E268" s="140"/>
      <c r="F268" s="140"/>
      <c r="G268" s="140"/>
      <c r="H268" s="140"/>
      <c r="I268" s="140"/>
      <c r="J268" s="140"/>
      <c r="K268" s="140"/>
      <c r="L268" s="140"/>
    </row>
    <row r="269" spans="3:12">
      <c r="C269" s="140"/>
      <c r="D269" s="140"/>
      <c r="E269" s="140"/>
      <c r="F269" s="140"/>
      <c r="G269" s="140"/>
      <c r="H269" s="140"/>
      <c r="I269" s="140"/>
      <c r="J269" s="140"/>
      <c r="K269" s="140"/>
      <c r="L269" s="140"/>
    </row>
    <row r="270" spans="3:12">
      <c r="C270" s="140"/>
      <c r="D270" s="140"/>
      <c r="E270" s="140"/>
      <c r="F270" s="140"/>
      <c r="G270" s="140"/>
      <c r="H270" s="140"/>
      <c r="I270" s="140"/>
      <c r="J270" s="140"/>
      <c r="K270" s="140"/>
      <c r="L270" s="140"/>
    </row>
    <row r="271" spans="3:12">
      <c r="C271" s="140"/>
      <c r="D271" s="140"/>
      <c r="E271" s="140"/>
      <c r="F271" s="140"/>
      <c r="G271" s="140"/>
      <c r="H271" s="140"/>
      <c r="I271" s="140"/>
      <c r="J271" s="140"/>
      <c r="K271" s="140"/>
      <c r="L271" s="140"/>
    </row>
    <row r="272" spans="3:12">
      <c r="C272" s="140"/>
      <c r="D272" s="140"/>
      <c r="E272" s="140"/>
      <c r="F272" s="140"/>
      <c r="G272" s="140"/>
      <c r="H272" s="140"/>
      <c r="I272" s="140"/>
      <c r="J272" s="140"/>
      <c r="K272" s="140"/>
      <c r="L272" s="140"/>
    </row>
    <row r="273" spans="3:12">
      <c r="C273" s="140"/>
      <c r="D273" s="140"/>
      <c r="E273" s="140"/>
      <c r="F273" s="140"/>
      <c r="G273" s="140"/>
      <c r="H273" s="140"/>
      <c r="I273" s="140"/>
      <c r="J273" s="140"/>
      <c r="K273" s="140"/>
      <c r="L273" s="140"/>
    </row>
    <row r="274" spans="3:12">
      <c r="C274" s="140"/>
      <c r="D274" s="140"/>
      <c r="E274" s="140"/>
      <c r="F274" s="140"/>
      <c r="G274" s="140"/>
      <c r="H274" s="140"/>
      <c r="I274" s="140"/>
      <c r="J274" s="140"/>
      <c r="K274" s="140"/>
      <c r="L274" s="140"/>
    </row>
    <row r="275" spans="3:12">
      <c r="C275" s="140"/>
      <c r="D275" s="140"/>
      <c r="E275" s="140"/>
      <c r="F275" s="140"/>
      <c r="G275" s="140"/>
      <c r="H275" s="140"/>
      <c r="I275" s="140"/>
      <c r="J275" s="140"/>
      <c r="K275" s="140"/>
      <c r="L275" s="140"/>
    </row>
    <row r="276" spans="3:12">
      <c r="C276" s="140"/>
      <c r="D276" s="140"/>
      <c r="E276" s="140"/>
      <c r="F276" s="140"/>
      <c r="G276" s="140"/>
      <c r="H276" s="140"/>
      <c r="I276" s="140"/>
      <c r="J276" s="140"/>
      <c r="K276" s="140"/>
      <c r="L276" s="140"/>
    </row>
    <row r="277" spans="3:12">
      <c r="C277" s="140"/>
      <c r="D277" s="140"/>
      <c r="E277" s="140"/>
      <c r="F277" s="140"/>
      <c r="G277" s="140"/>
      <c r="H277" s="140"/>
      <c r="I277" s="140"/>
      <c r="J277" s="140"/>
      <c r="K277" s="140"/>
      <c r="L277" s="140"/>
    </row>
    <row r="278" spans="3:12">
      <c r="C278" s="140"/>
      <c r="D278" s="140"/>
      <c r="E278" s="140"/>
      <c r="F278" s="140"/>
      <c r="G278" s="140"/>
      <c r="H278" s="140"/>
      <c r="I278" s="140"/>
      <c r="J278" s="140"/>
      <c r="K278" s="140"/>
      <c r="L278" s="140"/>
    </row>
    <row r="279" spans="3:12">
      <c r="C279" s="140"/>
      <c r="D279" s="140"/>
      <c r="E279" s="140"/>
      <c r="F279" s="140"/>
      <c r="G279" s="140"/>
      <c r="H279" s="140"/>
      <c r="I279" s="140"/>
      <c r="J279" s="140"/>
      <c r="K279" s="140"/>
      <c r="L279" s="140"/>
    </row>
    <row r="280" spans="3:12">
      <c r="C280" s="140"/>
      <c r="D280" s="140"/>
      <c r="E280" s="140"/>
      <c r="F280" s="140"/>
      <c r="G280" s="140"/>
      <c r="H280" s="140"/>
      <c r="I280" s="140"/>
      <c r="J280" s="140"/>
      <c r="K280" s="140"/>
      <c r="L280" s="140"/>
    </row>
    <row r="281" spans="3:12">
      <c r="C281" s="140"/>
      <c r="D281" s="140"/>
      <c r="E281" s="140"/>
      <c r="F281" s="140"/>
      <c r="G281" s="140"/>
      <c r="H281" s="140"/>
      <c r="I281" s="140"/>
      <c r="J281" s="140"/>
      <c r="K281" s="140"/>
      <c r="L281" s="140"/>
    </row>
    <row r="282" spans="3:12">
      <c r="C282" s="140"/>
      <c r="D282" s="140"/>
      <c r="E282" s="140"/>
      <c r="F282" s="140"/>
      <c r="G282" s="140"/>
      <c r="H282" s="140"/>
      <c r="I282" s="140"/>
      <c r="J282" s="140"/>
      <c r="K282" s="140"/>
      <c r="L282" s="140"/>
    </row>
    <row r="283" spans="3:12">
      <c r="C283" s="140"/>
      <c r="D283" s="140"/>
      <c r="E283" s="140"/>
      <c r="F283" s="140"/>
      <c r="G283" s="140"/>
      <c r="H283" s="140"/>
      <c r="I283" s="140"/>
      <c r="J283" s="140"/>
      <c r="K283" s="140"/>
      <c r="L283" s="140"/>
    </row>
    <row r="284" spans="3:12">
      <c r="C284" s="140"/>
      <c r="D284" s="140"/>
      <c r="E284" s="140"/>
      <c r="F284" s="140"/>
      <c r="G284" s="140"/>
      <c r="H284" s="140"/>
      <c r="I284" s="140"/>
      <c r="J284" s="140"/>
      <c r="K284" s="140"/>
      <c r="L284" s="140"/>
    </row>
    <row r="285" spans="3:12">
      <c r="C285" s="140"/>
      <c r="D285" s="140"/>
      <c r="E285" s="140"/>
      <c r="F285" s="140"/>
      <c r="G285" s="140"/>
      <c r="H285" s="140"/>
      <c r="I285" s="140"/>
      <c r="J285" s="140"/>
      <c r="K285" s="140"/>
      <c r="L285" s="140"/>
    </row>
    <row r="286" spans="3:12">
      <c r="C286" s="140"/>
      <c r="D286" s="140"/>
      <c r="E286" s="140"/>
      <c r="F286" s="140"/>
      <c r="G286" s="140"/>
      <c r="H286" s="140"/>
      <c r="I286" s="140"/>
      <c r="J286" s="140"/>
      <c r="K286" s="140"/>
      <c r="L286" s="140"/>
    </row>
    <row r="287" spans="3:12">
      <c r="C287" s="140"/>
      <c r="D287" s="140"/>
      <c r="E287" s="140"/>
      <c r="F287" s="140"/>
      <c r="G287" s="140"/>
      <c r="H287" s="140"/>
      <c r="I287" s="140"/>
      <c r="J287" s="140"/>
      <c r="K287" s="140"/>
      <c r="L287" s="140"/>
    </row>
    <row r="288" spans="3:12">
      <c r="C288" s="140"/>
      <c r="D288" s="140"/>
      <c r="E288" s="140"/>
      <c r="F288" s="140"/>
      <c r="G288" s="140"/>
      <c r="H288" s="140"/>
      <c r="I288" s="140"/>
      <c r="J288" s="140"/>
      <c r="K288" s="140"/>
      <c r="L288" s="140"/>
    </row>
    <row r="289" spans="3:12">
      <c r="C289" s="140"/>
      <c r="D289" s="140"/>
      <c r="E289" s="140"/>
      <c r="F289" s="140"/>
      <c r="G289" s="140"/>
      <c r="H289" s="140"/>
      <c r="I289" s="140"/>
      <c r="J289" s="140"/>
      <c r="K289" s="140"/>
      <c r="L289" s="140"/>
    </row>
    <row r="290" spans="3:12">
      <c r="C290" s="140"/>
      <c r="D290" s="140"/>
      <c r="E290" s="140"/>
      <c r="F290" s="140"/>
      <c r="G290" s="140"/>
      <c r="H290" s="140"/>
      <c r="I290" s="140"/>
      <c r="J290" s="140"/>
      <c r="K290" s="140"/>
      <c r="L290" s="140"/>
    </row>
    <row r="291" spans="3:12">
      <c r="C291" s="140"/>
      <c r="D291" s="140"/>
      <c r="E291" s="140"/>
      <c r="F291" s="140"/>
      <c r="G291" s="140"/>
      <c r="H291" s="140"/>
      <c r="I291" s="140"/>
      <c r="J291" s="140"/>
      <c r="K291" s="140"/>
      <c r="L291" s="140"/>
    </row>
    <row r="292" spans="3:12">
      <c r="C292" s="140"/>
      <c r="D292" s="140"/>
      <c r="E292" s="140"/>
      <c r="F292" s="140"/>
      <c r="G292" s="140"/>
      <c r="H292" s="140"/>
      <c r="I292" s="140"/>
      <c r="J292" s="140"/>
      <c r="K292" s="140"/>
      <c r="L292" s="140"/>
    </row>
    <row r="293" spans="3:12">
      <c r="C293" s="140"/>
      <c r="D293" s="140"/>
      <c r="E293" s="140"/>
      <c r="F293" s="140"/>
      <c r="G293" s="140"/>
      <c r="H293" s="140"/>
      <c r="I293" s="140"/>
      <c r="J293" s="140"/>
      <c r="K293" s="140"/>
      <c r="L293" s="140"/>
    </row>
    <row r="294" spans="3:12">
      <c r="C294" s="140"/>
      <c r="D294" s="140"/>
      <c r="E294" s="140"/>
      <c r="F294" s="140"/>
      <c r="G294" s="140"/>
      <c r="H294" s="140"/>
      <c r="I294" s="140"/>
      <c r="J294" s="140"/>
      <c r="K294" s="140"/>
      <c r="L294" s="140"/>
    </row>
    <row r="295" spans="3:12">
      <c r="C295" s="140"/>
      <c r="D295" s="140"/>
      <c r="E295" s="140"/>
      <c r="F295" s="140"/>
      <c r="G295" s="140"/>
      <c r="H295" s="140"/>
      <c r="I295" s="140"/>
      <c r="J295" s="140"/>
      <c r="K295" s="140"/>
      <c r="L295" s="140"/>
    </row>
    <row r="296" spans="3:12">
      <c r="C296" s="140"/>
      <c r="D296" s="140"/>
      <c r="E296" s="140"/>
      <c r="F296" s="140"/>
      <c r="G296" s="140"/>
      <c r="H296" s="140"/>
      <c r="I296" s="140"/>
      <c r="J296" s="140"/>
      <c r="K296" s="140"/>
      <c r="L296" s="140"/>
    </row>
    <row r="297" spans="3:12">
      <c r="C297" s="140"/>
      <c r="D297" s="140"/>
      <c r="E297" s="140"/>
      <c r="F297" s="140"/>
      <c r="G297" s="140"/>
      <c r="H297" s="140"/>
      <c r="I297" s="140"/>
      <c r="J297" s="140"/>
      <c r="K297" s="140"/>
      <c r="L297" s="140"/>
    </row>
    <row r="298" spans="3:12">
      <c r="C298" s="140"/>
      <c r="D298" s="140"/>
      <c r="E298" s="140"/>
      <c r="F298" s="140"/>
      <c r="G298" s="140"/>
      <c r="H298" s="140"/>
      <c r="I298" s="140"/>
      <c r="J298" s="140"/>
      <c r="K298" s="140"/>
      <c r="L298" s="140"/>
    </row>
    <row r="299" spans="3:12">
      <c r="C299" s="140"/>
      <c r="D299" s="140"/>
      <c r="E299" s="140"/>
      <c r="F299" s="140"/>
      <c r="G299" s="140"/>
      <c r="H299" s="140"/>
      <c r="I299" s="140"/>
      <c r="J299" s="140"/>
      <c r="K299" s="140"/>
      <c r="L299" s="140"/>
    </row>
    <row r="300" spans="3:12">
      <c r="C300" s="140"/>
      <c r="D300" s="140"/>
      <c r="E300" s="140"/>
      <c r="F300" s="140"/>
      <c r="G300" s="140"/>
      <c r="H300" s="140"/>
      <c r="I300" s="140"/>
      <c r="J300" s="140"/>
      <c r="K300" s="140"/>
      <c r="L300" s="140"/>
    </row>
    <row r="301" spans="3:12">
      <c r="C301" s="140"/>
      <c r="D301" s="140"/>
      <c r="E301" s="140"/>
      <c r="F301" s="140"/>
      <c r="G301" s="140"/>
      <c r="H301" s="140"/>
      <c r="I301" s="140"/>
      <c r="J301" s="140"/>
      <c r="K301" s="140"/>
      <c r="L301" s="140"/>
    </row>
    <row r="302" spans="3:12">
      <c r="C302" s="140"/>
      <c r="D302" s="140"/>
      <c r="E302" s="140"/>
      <c r="F302" s="140"/>
      <c r="G302" s="140"/>
      <c r="H302" s="140"/>
      <c r="I302" s="140"/>
      <c r="J302" s="140"/>
      <c r="K302" s="140"/>
      <c r="L302" s="140"/>
    </row>
    <row r="303" spans="3:12">
      <c r="C303" s="140"/>
      <c r="D303" s="140"/>
      <c r="E303" s="140"/>
      <c r="F303" s="140"/>
      <c r="G303" s="140"/>
      <c r="H303" s="140"/>
      <c r="I303" s="140"/>
      <c r="J303" s="140"/>
      <c r="K303" s="140"/>
      <c r="L303" s="140"/>
    </row>
    <row r="304" spans="3:12">
      <c r="C304" s="140"/>
      <c r="D304" s="140"/>
      <c r="E304" s="140"/>
      <c r="F304" s="140"/>
      <c r="G304" s="140"/>
      <c r="H304" s="140"/>
      <c r="I304" s="140"/>
      <c r="J304" s="140"/>
      <c r="K304" s="140"/>
      <c r="L304" s="140"/>
    </row>
    <row r="305" spans="3:12">
      <c r="C305" s="140"/>
      <c r="D305" s="140"/>
      <c r="E305" s="140"/>
      <c r="F305" s="140"/>
      <c r="G305" s="140"/>
      <c r="H305" s="140"/>
      <c r="I305" s="140"/>
      <c r="J305" s="140"/>
      <c r="K305" s="140"/>
      <c r="L305" s="140"/>
    </row>
    <row r="306" spans="3:12">
      <c r="C306" s="140"/>
      <c r="D306" s="140"/>
      <c r="E306" s="140"/>
      <c r="F306" s="140"/>
      <c r="G306" s="140"/>
      <c r="H306" s="140"/>
      <c r="I306" s="140"/>
      <c r="J306" s="140"/>
      <c r="K306" s="140"/>
      <c r="L306" s="140"/>
    </row>
    <row r="307" spans="3:12">
      <c r="C307" s="140"/>
      <c r="D307" s="140"/>
      <c r="E307" s="140"/>
      <c r="F307" s="140"/>
      <c r="G307" s="140"/>
      <c r="H307" s="140"/>
      <c r="I307" s="140"/>
      <c r="J307" s="140"/>
      <c r="K307" s="140"/>
      <c r="L307" s="140"/>
    </row>
    <row r="308" spans="3:12">
      <c r="C308" s="140"/>
      <c r="D308" s="140"/>
      <c r="E308" s="140"/>
      <c r="F308" s="140"/>
      <c r="G308" s="140"/>
      <c r="H308" s="140"/>
      <c r="I308" s="140"/>
      <c r="J308" s="140"/>
      <c r="K308" s="140"/>
      <c r="L308" s="140"/>
    </row>
    <row r="309" spans="3:12">
      <c r="C309" s="140"/>
      <c r="D309" s="140"/>
      <c r="E309" s="140"/>
      <c r="F309" s="140"/>
      <c r="G309" s="140"/>
      <c r="H309" s="140"/>
      <c r="I309" s="140"/>
      <c r="J309" s="140"/>
      <c r="K309" s="140"/>
      <c r="L309" s="140"/>
    </row>
    <row r="310" spans="3:12">
      <c r="C310" s="140"/>
      <c r="D310" s="140"/>
      <c r="E310" s="140"/>
      <c r="F310" s="140"/>
      <c r="G310" s="140"/>
      <c r="H310" s="140"/>
      <c r="I310" s="140"/>
      <c r="J310" s="140"/>
      <c r="K310" s="140"/>
      <c r="L310" s="140"/>
    </row>
    <row r="311" spans="3:12">
      <c r="C311" s="140"/>
      <c r="D311" s="140"/>
      <c r="E311" s="140"/>
      <c r="F311" s="140"/>
      <c r="G311" s="140"/>
      <c r="H311" s="140"/>
      <c r="I311" s="140"/>
      <c r="J311" s="140"/>
      <c r="K311" s="140"/>
      <c r="L311" s="140"/>
    </row>
    <row r="312" spans="3:12">
      <c r="C312" s="140"/>
      <c r="D312" s="140"/>
      <c r="E312" s="140"/>
      <c r="F312" s="140"/>
      <c r="G312" s="140"/>
      <c r="H312" s="140"/>
      <c r="I312" s="140"/>
      <c r="J312" s="140"/>
      <c r="K312" s="140"/>
      <c r="L312" s="140"/>
    </row>
    <row r="313" spans="3:12">
      <c r="C313" s="140"/>
      <c r="D313" s="140"/>
      <c r="E313" s="140"/>
      <c r="F313" s="140"/>
      <c r="G313" s="140"/>
      <c r="H313" s="140"/>
      <c r="I313" s="140"/>
      <c r="J313" s="140"/>
      <c r="K313" s="140"/>
      <c r="L313" s="140"/>
    </row>
    <row r="314" spans="3:12">
      <c r="C314" s="140"/>
      <c r="D314" s="140"/>
      <c r="E314" s="140"/>
      <c r="F314" s="140"/>
      <c r="G314" s="140"/>
      <c r="H314" s="140"/>
      <c r="I314" s="140"/>
      <c r="J314" s="140"/>
      <c r="K314" s="140"/>
      <c r="L314" s="140"/>
    </row>
    <row r="315" spans="3:12">
      <c r="C315" s="140"/>
      <c r="D315" s="140"/>
      <c r="E315" s="140"/>
      <c r="F315" s="140"/>
      <c r="G315" s="140"/>
      <c r="H315" s="140"/>
      <c r="I315" s="140"/>
      <c r="J315" s="140"/>
      <c r="K315" s="140"/>
      <c r="L315" s="140"/>
    </row>
    <row r="316" spans="3:12">
      <c r="C316" s="140"/>
      <c r="D316" s="140"/>
      <c r="E316" s="140"/>
      <c r="F316" s="140"/>
      <c r="G316" s="140"/>
      <c r="H316" s="140"/>
      <c r="I316" s="140"/>
      <c r="J316" s="140"/>
      <c r="K316" s="140"/>
      <c r="L316" s="140"/>
    </row>
    <row r="317" spans="3:12">
      <c r="C317" s="140"/>
      <c r="D317" s="140"/>
      <c r="E317" s="140"/>
      <c r="F317" s="140"/>
      <c r="G317" s="140"/>
      <c r="H317" s="140"/>
      <c r="I317" s="140"/>
      <c r="J317" s="140"/>
      <c r="K317" s="140"/>
      <c r="L317" s="140"/>
    </row>
    <row r="318" spans="3:12">
      <c r="C318" s="140"/>
      <c r="D318" s="140"/>
      <c r="E318" s="140"/>
      <c r="F318" s="140"/>
      <c r="G318" s="140"/>
      <c r="H318" s="140"/>
      <c r="I318" s="140"/>
      <c r="J318" s="140"/>
      <c r="K318" s="140"/>
      <c r="L318" s="140"/>
    </row>
    <row r="319" spans="3:12">
      <c r="C319" s="140"/>
      <c r="D319" s="140"/>
      <c r="E319" s="140"/>
      <c r="F319" s="140"/>
      <c r="G319" s="140"/>
      <c r="H319" s="140"/>
      <c r="I319" s="140"/>
      <c r="J319" s="140"/>
      <c r="K319" s="140"/>
      <c r="L319" s="140"/>
    </row>
    <row r="320" spans="3:12">
      <c r="C320" s="140"/>
      <c r="D320" s="140"/>
      <c r="E320" s="140"/>
      <c r="F320" s="140"/>
      <c r="G320" s="140"/>
      <c r="H320" s="140"/>
      <c r="I320" s="140"/>
      <c r="J320" s="140"/>
      <c r="K320" s="140"/>
      <c r="L320" s="140"/>
    </row>
    <row r="321" spans="3:12">
      <c r="C321" s="140"/>
      <c r="D321" s="140"/>
      <c r="E321" s="140"/>
      <c r="F321" s="140"/>
      <c r="G321" s="140"/>
      <c r="H321" s="140"/>
      <c r="I321" s="140"/>
      <c r="J321" s="140"/>
      <c r="K321" s="140"/>
      <c r="L321" s="140"/>
    </row>
    <row r="322" spans="3:12">
      <c r="C322" s="140"/>
      <c r="D322" s="140"/>
      <c r="E322" s="140"/>
      <c r="F322" s="140"/>
      <c r="G322" s="140"/>
      <c r="H322" s="140"/>
      <c r="I322" s="140"/>
      <c r="J322" s="140"/>
      <c r="K322" s="140"/>
      <c r="L322" s="140"/>
    </row>
    <row r="323" spans="3:12">
      <c r="C323" s="140"/>
      <c r="D323" s="140"/>
      <c r="E323" s="140"/>
      <c r="F323" s="140"/>
      <c r="G323" s="140"/>
      <c r="H323" s="140"/>
      <c r="I323" s="140"/>
      <c r="J323" s="140"/>
      <c r="K323" s="140"/>
      <c r="L323" s="140"/>
    </row>
    <row r="324" spans="3:12">
      <c r="C324" s="140"/>
      <c r="D324" s="140"/>
      <c r="E324" s="140"/>
      <c r="F324" s="140"/>
      <c r="G324" s="140"/>
      <c r="H324" s="140"/>
      <c r="I324" s="140"/>
      <c r="J324" s="140"/>
      <c r="K324" s="140"/>
      <c r="L324" s="140"/>
    </row>
    <row r="325" spans="3:12">
      <c r="C325" s="140"/>
      <c r="D325" s="140"/>
      <c r="E325" s="140"/>
      <c r="F325" s="140"/>
      <c r="G325" s="140"/>
      <c r="H325" s="140"/>
      <c r="I325" s="140"/>
      <c r="J325" s="140"/>
      <c r="K325" s="140"/>
      <c r="L325" s="140"/>
    </row>
    <row r="326" spans="3:12">
      <c r="C326" s="140"/>
      <c r="D326" s="140"/>
      <c r="E326" s="140"/>
      <c r="F326" s="140"/>
      <c r="G326" s="140"/>
      <c r="H326" s="140"/>
      <c r="I326" s="140"/>
      <c r="J326" s="140"/>
      <c r="K326" s="140"/>
      <c r="L326" s="140"/>
    </row>
    <row r="327" spans="3:12">
      <c r="C327" s="140"/>
      <c r="D327" s="140"/>
      <c r="E327" s="140"/>
      <c r="F327" s="140"/>
      <c r="G327" s="140"/>
      <c r="H327" s="140"/>
      <c r="I327" s="140"/>
      <c r="J327" s="140"/>
      <c r="K327" s="140"/>
      <c r="L327" s="140"/>
    </row>
    <row r="328" spans="3:12">
      <c r="C328" s="140"/>
      <c r="D328" s="140"/>
      <c r="E328" s="140"/>
      <c r="F328" s="140"/>
      <c r="G328" s="140"/>
      <c r="H328" s="140"/>
      <c r="I328" s="140"/>
      <c r="J328" s="140"/>
      <c r="K328" s="140"/>
      <c r="L328" s="140"/>
    </row>
    <row r="329" spans="3:12">
      <c r="C329" s="140"/>
      <c r="D329" s="140"/>
      <c r="E329" s="140"/>
      <c r="F329" s="140"/>
      <c r="G329" s="140"/>
      <c r="H329" s="140"/>
      <c r="I329" s="140"/>
      <c r="J329" s="140"/>
      <c r="K329" s="140"/>
      <c r="L329" s="140"/>
    </row>
    <row r="330" spans="3:12">
      <c r="C330" s="140"/>
      <c r="D330" s="140"/>
      <c r="E330" s="140"/>
      <c r="F330" s="140"/>
      <c r="G330" s="140"/>
      <c r="H330" s="140"/>
      <c r="I330" s="140"/>
      <c r="J330" s="140"/>
      <c r="K330" s="140"/>
      <c r="L330" s="140"/>
    </row>
    <row r="331" spans="3:12">
      <c r="C331" s="140"/>
      <c r="D331" s="140"/>
      <c r="E331" s="140"/>
      <c r="F331" s="140"/>
      <c r="G331" s="140"/>
      <c r="H331" s="140"/>
      <c r="I331" s="140"/>
      <c r="J331" s="140"/>
      <c r="K331" s="140"/>
      <c r="L331" s="140"/>
    </row>
    <row r="332" spans="3:12">
      <c r="C332" s="140"/>
      <c r="D332" s="140"/>
      <c r="E332" s="140"/>
      <c r="F332" s="140"/>
      <c r="G332" s="140"/>
      <c r="H332" s="140"/>
      <c r="I332" s="140"/>
      <c r="J332" s="140"/>
      <c r="K332" s="140"/>
      <c r="L332" s="140"/>
    </row>
    <row r="333" spans="3:12">
      <c r="C333" s="140"/>
      <c r="D333" s="140"/>
      <c r="E333" s="140"/>
      <c r="F333" s="140"/>
      <c r="G333" s="140"/>
      <c r="H333" s="140"/>
      <c r="I333" s="140"/>
      <c r="J333" s="140"/>
      <c r="K333" s="140"/>
      <c r="L333" s="140"/>
    </row>
    <row r="334" spans="3:12">
      <c r="C334" s="140"/>
      <c r="D334" s="140"/>
      <c r="E334" s="140"/>
      <c r="F334" s="140"/>
      <c r="G334" s="140"/>
      <c r="H334" s="140"/>
      <c r="I334" s="140"/>
      <c r="J334" s="140"/>
      <c r="K334" s="140"/>
      <c r="L334" s="140"/>
    </row>
    <row r="335" spans="3:12">
      <c r="C335" s="140"/>
      <c r="D335" s="140"/>
      <c r="E335" s="140"/>
      <c r="F335" s="140"/>
      <c r="G335" s="140"/>
      <c r="H335" s="140"/>
      <c r="I335" s="140"/>
      <c r="J335" s="140"/>
      <c r="K335" s="140"/>
      <c r="L335" s="140"/>
    </row>
    <row r="336" spans="3:12">
      <c r="C336" s="140"/>
      <c r="D336" s="140"/>
      <c r="E336" s="140"/>
      <c r="F336" s="140"/>
      <c r="G336" s="140"/>
      <c r="H336" s="140"/>
      <c r="I336" s="140"/>
      <c r="J336" s="140"/>
      <c r="K336" s="140"/>
      <c r="L336" s="140"/>
    </row>
    <row r="337" spans="3:12">
      <c r="C337" s="140"/>
      <c r="D337" s="140"/>
      <c r="E337" s="140"/>
      <c r="F337" s="140"/>
      <c r="G337" s="140"/>
      <c r="H337" s="140"/>
      <c r="I337" s="140"/>
      <c r="J337" s="140"/>
      <c r="K337" s="140"/>
      <c r="L337" s="140"/>
    </row>
    <row r="338" spans="3:12">
      <c r="C338" s="140"/>
      <c r="D338" s="140"/>
      <c r="E338" s="140"/>
      <c r="F338" s="140"/>
      <c r="G338" s="140"/>
      <c r="H338" s="140"/>
      <c r="I338" s="140"/>
      <c r="J338" s="140"/>
      <c r="K338" s="140"/>
      <c r="L338" s="140"/>
    </row>
    <row r="339" spans="3:12">
      <c r="C339" s="140"/>
      <c r="D339" s="140"/>
      <c r="E339" s="140"/>
      <c r="F339" s="140"/>
      <c r="G339" s="140"/>
      <c r="H339" s="140"/>
      <c r="I339" s="140"/>
      <c r="J339" s="140"/>
      <c r="K339" s="140"/>
      <c r="L339" s="140"/>
    </row>
    <row r="340" spans="3:12">
      <c r="C340" s="140"/>
      <c r="D340" s="140"/>
      <c r="E340" s="140"/>
      <c r="F340" s="140"/>
      <c r="G340" s="140"/>
      <c r="H340" s="140"/>
      <c r="I340" s="140"/>
      <c r="J340" s="140"/>
      <c r="K340" s="140"/>
      <c r="L340" s="140"/>
    </row>
    <row r="341" spans="3:12">
      <c r="C341" s="140"/>
      <c r="D341" s="140"/>
      <c r="E341" s="140"/>
      <c r="F341" s="140"/>
      <c r="G341" s="140"/>
      <c r="H341" s="140"/>
      <c r="I341" s="140"/>
      <c r="J341" s="140"/>
      <c r="K341" s="140"/>
      <c r="L341" s="140"/>
    </row>
    <row r="342" spans="3:12">
      <c r="C342" s="140"/>
      <c r="D342" s="140"/>
      <c r="E342" s="140"/>
      <c r="F342" s="140"/>
      <c r="G342" s="140"/>
      <c r="H342" s="140"/>
      <c r="I342" s="140"/>
      <c r="J342" s="140"/>
      <c r="K342" s="140"/>
      <c r="L342" s="140"/>
    </row>
    <row r="343" spans="3:12">
      <c r="C343" s="140"/>
      <c r="D343" s="140"/>
      <c r="E343" s="140"/>
      <c r="F343" s="140"/>
      <c r="G343" s="140"/>
      <c r="H343" s="140"/>
      <c r="I343" s="140"/>
      <c r="J343" s="140"/>
      <c r="K343" s="140"/>
      <c r="L343" s="140"/>
    </row>
    <row r="344" spans="3:12">
      <c r="C344" s="140"/>
      <c r="D344" s="140"/>
      <c r="E344" s="140"/>
      <c r="F344" s="140"/>
      <c r="G344" s="140"/>
      <c r="H344" s="140"/>
      <c r="I344" s="140"/>
      <c r="J344" s="140"/>
      <c r="K344" s="140"/>
      <c r="L344" s="140"/>
    </row>
    <row r="345" spans="3:12">
      <c r="C345" s="140"/>
      <c r="D345" s="140"/>
      <c r="E345" s="140"/>
      <c r="F345" s="140"/>
      <c r="G345" s="140"/>
      <c r="H345" s="140"/>
      <c r="I345" s="140"/>
      <c r="J345" s="140"/>
      <c r="K345" s="140"/>
      <c r="L345" s="140"/>
    </row>
    <row r="346" spans="3:12">
      <c r="C346" s="140"/>
      <c r="D346" s="140"/>
      <c r="E346" s="140"/>
      <c r="F346" s="140"/>
      <c r="G346" s="140"/>
      <c r="H346" s="140"/>
      <c r="I346" s="140"/>
      <c r="J346" s="140"/>
      <c r="K346" s="140"/>
      <c r="L346" s="140"/>
    </row>
    <row r="347" spans="3:12">
      <c r="C347" s="140"/>
      <c r="D347" s="140"/>
      <c r="E347" s="140"/>
      <c r="F347" s="140"/>
      <c r="G347" s="140"/>
      <c r="H347" s="140"/>
      <c r="I347" s="140"/>
      <c r="J347" s="140"/>
      <c r="K347" s="140"/>
      <c r="L347" s="140"/>
    </row>
    <row r="348" spans="3:12">
      <c r="C348" s="140"/>
      <c r="D348" s="140"/>
      <c r="E348" s="140"/>
      <c r="F348" s="140"/>
      <c r="G348" s="140"/>
      <c r="H348" s="140"/>
      <c r="I348" s="140"/>
      <c r="J348" s="140"/>
      <c r="K348" s="140"/>
      <c r="L348" s="140"/>
    </row>
    <row r="349" spans="3:12">
      <c r="C349" s="140"/>
      <c r="D349" s="140"/>
      <c r="E349" s="140"/>
      <c r="F349" s="140"/>
      <c r="G349" s="140"/>
      <c r="H349" s="140"/>
      <c r="I349" s="140"/>
      <c r="J349" s="140"/>
      <c r="K349" s="140"/>
      <c r="L349" s="140"/>
    </row>
    <row r="350" spans="3:12">
      <c r="C350" s="140"/>
      <c r="D350" s="140"/>
      <c r="E350" s="140"/>
      <c r="F350" s="140"/>
      <c r="G350" s="140"/>
      <c r="H350" s="140"/>
      <c r="I350" s="140"/>
      <c r="J350" s="140"/>
      <c r="K350" s="140"/>
      <c r="L350" s="140"/>
    </row>
    <row r="351" spans="3:12">
      <c r="C351" s="140"/>
      <c r="D351" s="140"/>
      <c r="E351" s="140"/>
      <c r="F351" s="140"/>
      <c r="G351" s="140"/>
      <c r="H351" s="140"/>
      <c r="I351" s="140"/>
      <c r="J351" s="140"/>
      <c r="K351" s="140"/>
      <c r="L351" s="140"/>
    </row>
    <row r="352" spans="3:12">
      <c r="C352" s="140"/>
      <c r="D352" s="140"/>
      <c r="E352" s="140"/>
      <c r="F352" s="140"/>
      <c r="G352" s="140"/>
      <c r="H352" s="140"/>
      <c r="I352" s="140"/>
      <c r="J352" s="140"/>
      <c r="K352" s="140"/>
      <c r="L352" s="140"/>
    </row>
    <row r="353" spans="3:12">
      <c r="C353" s="140"/>
      <c r="D353" s="140"/>
      <c r="E353" s="140"/>
      <c r="F353" s="140"/>
      <c r="G353" s="140"/>
      <c r="H353" s="140"/>
      <c r="I353" s="140"/>
      <c r="J353" s="140"/>
      <c r="K353" s="140"/>
      <c r="L353" s="140"/>
    </row>
    <row r="354" spans="3:12">
      <c r="C354" s="140"/>
      <c r="D354" s="140"/>
      <c r="E354" s="140"/>
      <c r="F354" s="140"/>
      <c r="G354" s="140"/>
      <c r="H354" s="140"/>
      <c r="I354" s="140"/>
      <c r="J354" s="140"/>
      <c r="K354" s="140"/>
      <c r="L354" s="140"/>
    </row>
    <row r="355" spans="3:12">
      <c r="C355" s="140"/>
      <c r="D355" s="140"/>
      <c r="E355" s="140"/>
      <c r="F355" s="140"/>
      <c r="G355" s="140"/>
      <c r="H355" s="140"/>
      <c r="I355" s="140"/>
      <c r="J355" s="140"/>
      <c r="K355" s="140"/>
      <c r="L355" s="140"/>
    </row>
    <row r="356" spans="3:12">
      <c r="C356" s="140"/>
      <c r="D356" s="140"/>
      <c r="E356" s="140"/>
      <c r="F356" s="140"/>
      <c r="G356" s="140"/>
      <c r="H356" s="140"/>
      <c r="I356" s="140"/>
      <c r="J356" s="140"/>
      <c r="K356" s="140"/>
      <c r="L356" s="140"/>
    </row>
    <row r="357" spans="3:12">
      <c r="C357" s="140"/>
      <c r="D357" s="140"/>
      <c r="E357" s="140"/>
      <c r="F357" s="140"/>
      <c r="G357" s="140"/>
      <c r="H357" s="140"/>
      <c r="I357" s="140"/>
      <c r="J357" s="140"/>
      <c r="K357" s="140"/>
      <c r="L357" s="140"/>
    </row>
    <row r="358" spans="3:12">
      <c r="C358" s="140"/>
      <c r="D358" s="140"/>
      <c r="E358" s="140"/>
      <c r="F358" s="140"/>
      <c r="G358" s="140"/>
      <c r="H358" s="140"/>
      <c r="I358" s="140"/>
      <c r="J358" s="140"/>
      <c r="K358" s="140"/>
      <c r="L358" s="140"/>
    </row>
    <row r="359" spans="3:12">
      <c r="C359" s="140"/>
      <c r="D359" s="140"/>
      <c r="E359" s="140"/>
      <c r="F359" s="140"/>
      <c r="G359" s="140"/>
      <c r="H359" s="140"/>
      <c r="I359" s="140"/>
      <c r="J359" s="140"/>
      <c r="K359" s="140"/>
      <c r="L359" s="140"/>
    </row>
    <row r="360" spans="3:12">
      <c r="C360" s="140"/>
      <c r="D360" s="140"/>
      <c r="E360" s="140"/>
      <c r="F360" s="140"/>
      <c r="G360" s="140"/>
      <c r="H360" s="140"/>
      <c r="I360" s="140"/>
      <c r="J360" s="140"/>
      <c r="K360" s="140"/>
      <c r="L360" s="140"/>
    </row>
    <row r="361" spans="3:12">
      <c r="C361" s="140"/>
      <c r="D361" s="140"/>
      <c r="E361" s="140"/>
      <c r="F361" s="140"/>
      <c r="G361" s="140"/>
      <c r="H361" s="140"/>
      <c r="I361" s="140"/>
      <c r="J361" s="140"/>
      <c r="K361" s="140"/>
      <c r="L361" s="140"/>
    </row>
    <row r="362" spans="3:12">
      <c r="C362" s="140"/>
      <c r="D362" s="140"/>
      <c r="E362" s="140"/>
      <c r="F362" s="140"/>
      <c r="G362" s="140"/>
      <c r="H362" s="140"/>
      <c r="I362" s="140"/>
      <c r="J362" s="140"/>
      <c r="K362" s="140"/>
      <c r="L362" s="140"/>
    </row>
    <row r="363" spans="3:12">
      <c r="C363" s="140"/>
      <c r="D363" s="140"/>
      <c r="E363" s="140"/>
      <c r="F363" s="140"/>
      <c r="G363" s="140"/>
      <c r="H363" s="140"/>
      <c r="I363" s="140"/>
      <c r="J363" s="140"/>
      <c r="K363" s="140"/>
      <c r="L363" s="140"/>
    </row>
    <row r="364" spans="3:12">
      <c r="C364" s="140"/>
      <c r="D364" s="140"/>
      <c r="E364" s="140"/>
      <c r="F364" s="140"/>
      <c r="G364" s="140"/>
      <c r="H364" s="140"/>
      <c r="I364" s="140"/>
      <c r="J364" s="140"/>
      <c r="K364" s="140"/>
      <c r="L364" s="140"/>
    </row>
    <row r="365" spans="3:12">
      <c r="C365" s="140"/>
      <c r="D365" s="140"/>
      <c r="E365" s="140"/>
      <c r="F365" s="140"/>
      <c r="G365" s="140"/>
      <c r="H365" s="140"/>
      <c r="I365" s="140"/>
      <c r="J365" s="140"/>
      <c r="K365" s="140"/>
      <c r="L365" s="140"/>
    </row>
    <row r="366" spans="3:12">
      <c r="C366" s="140"/>
      <c r="D366" s="140"/>
      <c r="E366" s="140"/>
      <c r="F366" s="140"/>
      <c r="G366" s="140"/>
      <c r="H366" s="140"/>
      <c r="I366" s="140"/>
      <c r="J366" s="140"/>
      <c r="K366" s="140"/>
      <c r="L366" s="140"/>
    </row>
    <row r="367" spans="3:12">
      <c r="C367" s="140"/>
      <c r="D367" s="140"/>
      <c r="E367" s="140"/>
      <c r="F367" s="140"/>
      <c r="G367" s="140"/>
      <c r="H367" s="140"/>
      <c r="I367" s="140"/>
      <c r="J367" s="140"/>
      <c r="K367" s="140"/>
      <c r="L367" s="140"/>
    </row>
    <row r="368" spans="3:12">
      <c r="C368" s="140"/>
      <c r="D368" s="140"/>
      <c r="E368" s="140"/>
      <c r="F368" s="140"/>
      <c r="G368" s="140"/>
      <c r="H368" s="140"/>
      <c r="I368" s="140"/>
      <c r="J368" s="140"/>
      <c r="K368" s="140"/>
      <c r="L368" s="140"/>
    </row>
    <row r="369" spans="3:12">
      <c r="C369" s="140"/>
      <c r="D369" s="140"/>
      <c r="E369" s="140"/>
      <c r="F369" s="140"/>
      <c r="G369" s="140"/>
      <c r="H369" s="140"/>
      <c r="I369" s="140"/>
      <c r="J369" s="140"/>
      <c r="K369" s="140"/>
      <c r="L369" s="140"/>
    </row>
    <row r="370" spans="3:12">
      <c r="C370" s="140"/>
      <c r="D370" s="140"/>
      <c r="E370" s="140"/>
      <c r="F370" s="140"/>
      <c r="G370" s="140"/>
      <c r="H370" s="140"/>
      <c r="I370" s="140"/>
      <c r="J370" s="140"/>
      <c r="K370" s="140"/>
      <c r="L370" s="140"/>
    </row>
    <row r="371" spans="3:12">
      <c r="C371" s="140"/>
      <c r="D371" s="140"/>
      <c r="E371" s="140"/>
      <c r="F371" s="140"/>
      <c r="G371" s="140"/>
      <c r="H371" s="140"/>
      <c r="I371" s="140"/>
      <c r="J371" s="140"/>
      <c r="K371" s="140"/>
      <c r="L371" s="140"/>
    </row>
    <row r="372" spans="3:12">
      <c r="C372" s="140"/>
      <c r="D372" s="140"/>
      <c r="E372" s="140"/>
      <c r="F372" s="140"/>
      <c r="G372" s="140"/>
      <c r="H372" s="140"/>
      <c r="I372" s="140"/>
      <c r="J372" s="140"/>
      <c r="K372" s="140"/>
      <c r="L372" s="140"/>
    </row>
    <row r="373" spans="3:12">
      <c r="C373" s="140"/>
      <c r="D373" s="140"/>
      <c r="E373" s="140"/>
      <c r="F373" s="140"/>
      <c r="G373" s="140"/>
      <c r="H373" s="140"/>
      <c r="I373" s="140"/>
      <c r="J373" s="140"/>
      <c r="K373" s="140"/>
      <c r="L373" s="140"/>
    </row>
    <row r="374" spans="3:12">
      <c r="C374" s="140"/>
      <c r="D374" s="140"/>
      <c r="E374" s="140"/>
      <c r="F374" s="140"/>
      <c r="G374" s="140"/>
      <c r="H374" s="140"/>
      <c r="I374" s="140"/>
      <c r="J374" s="140"/>
      <c r="K374" s="140"/>
      <c r="L374" s="140"/>
    </row>
    <row r="375" spans="3:12">
      <c r="C375" s="140"/>
      <c r="D375" s="140"/>
      <c r="E375" s="140"/>
      <c r="F375" s="140"/>
      <c r="G375" s="140"/>
      <c r="H375" s="140"/>
      <c r="I375" s="140"/>
      <c r="J375" s="140"/>
      <c r="K375" s="140"/>
      <c r="L375" s="140"/>
    </row>
    <row r="376" spans="3:12">
      <c r="C376" s="140"/>
      <c r="D376" s="140"/>
      <c r="E376" s="140"/>
      <c r="F376" s="140"/>
      <c r="G376" s="140"/>
      <c r="H376" s="140"/>
      <c r="I376" s="140"/>
      <c r="J376" s="140"/>
      <c r="K376" s="140"/>
      <c r="L376" s="140"/>
    </row>
    <row r="377" spans="3:12">
      <c r="C377" s="140"/>
      <c r="D377" s="140"/>
      <c r="E377" s="140"/>
      <c r="F377" s="140"/>
      <c r="G377" s="140"/>
      <c r="H377" s="140"/>
      <c r="I377" s="140"/>
      <c r="J377" s="140"/>
      <c r="K377" s="140"/>
      <c r="L377" s="140"/>
    </row>
    <row r="378" spans="3:12">
      <c r="C378" s="140"/>
      <c r="D378" s="140"/>
      <c r="E378" s="140"/>
      <c r="F378" s="140"/>
      <c r="G378" s="140"/>
      <c r="H378" s="140"/>
      <c r="I378" s="140"/>
      <c r="J378" s="140"/>
      <c r="K378" s="140"/>
      <c r="L378" s="140"/>
    </row>
    <row r="379" spans="3:12">
      <c r="C379" s="140"/>
      <c r="D379" s="140"/>
      <c r="E379" s="140"/>
      <c r="F379" s="140"/>
      <c r="G379" s="140"/>
      <c r="H379" s="140"/>
      <c r="I379" s="140"/>
      <c r="J379" s="140"/>
      <c r="K379" s="140"/>
      <c r="L379" s="140"/>
    </row>
    <row r="380" spans="3:12">
      <c r="C380" s="140"/>
      <c r="D380" s="140"/>
      <c r="E380" s="140"/>
      <c r="F380" s="140"/>
      <c r="G380" s="140"/>
      <c r="H380" s="140"/>
      <c r="I380" s="140"/>
      <c r="J380" s="140"/>
      <c r="K380" s="140"/>
      <c r="L380" s="140"/>
    </row>
    <row r="381" spans="3:12">
      <c r="C381" s="140"/>
      <c r="D381" s="140"/>
      <c r="E381" s="140"/>
      <c r="F381" s="140"/>
      <c r="G381" s="140"/>
      <c r="H381" s="140"/>
      <c r="I381" s="140"/>
      <c r="J381" s="140"/>
      <c r="K381" s="140"/>
      <c r="L381" s="140"/>
    </row>
    <row r="382" spans="3:12">
      <c r="C382" s="140"/>
      <c r="D382" s="140"/>
      <c r="E382" s="140"/>
      <c r="F382" s="140"/>
      <c r="G382" s="140"/>
      <c r="H382" s="140"/>
      <c r="I382" s="140"/>
      <c r="J382" s="140"/>
      <c r="K382" s="140"/>
      <c r="L382" s="140"/>
    </row>
    <row r="383" spans="3:12">
      <c r="C383" s="140"/>
      <c r="D383" s="140"/>
      <c r="E383" s="140"/>
      <c r="F383" s="140"/>
      <c r="G383" s="140"/>
      <c r="H383" s="140"/>
      <c r="I383" s="140"/>
      <c r="J383" s="140"/>
      <c r="K383" s="140"/>
      <c r="L383" s="140"/>
    </row>
    <row r="384" spans="3:12">
      <c r="C384" s="140"/>
      <c r="D384" s="140"/>
      <c r="E384" s="140"/>
      <c r="F384" s="140"/>
      <c r="G384" s="140"/>
      <c r="H384" s="140"/>
      <c r="I384" s="140"/>
      <c r="J384" s="140"/>
      <c r="K384" s="140"/>
      <c r="L384" s="140"/>
    </row>
    <row r="385" spans="3:12">
      <c r="C385" s="140"/>
      <c r="D385" s="140"/>
      <c r="E385" s="140"/>
      <c r="F385" s="140"/>
      <c r="G385" s="140"/>
      <c r="H385" s="140"/>
      <c r="I385" s="140"/>
      <c r="J385" s="140"/>
      <c r="K385" s="140"/>
      <c r="L385" s="140"/>
    </row>
    <row r="386" spans="3:12">
      <c r="C386" s="140"/>
      <c r="D386" s="140"/>
      <c r="E386" s="140"/>
      <c r="F386" s="140"/>
      <c r="G386" s="140"/>
      <c r="H386" s="140"/>
      <c r="I386" s="140"/>
      <c r="J386" s="140"/>
      <c r="K386" s="140"/>
      <c r="L386" s="140"/>
    </row>
    <row r="387" spans="3:12">
      <c r="C387" s="140"/>
      <c r="D387" s="140"/>
      <c r="E387" s="140"/>
      <c r="F387" s="140"/>
      <c r="G387" s="140"/>
      <c r="H387" s="140"/>
      <c r="I387" s="140"/>
      <c r="J387" s="140"/>
      <c r="K387" s="140"/>
      <c r="L387" s="140"/>
    </row>
    <row r="388" spans="3:12">
      <c r="C388" s="140"/>
      <c r="D388" s="140"/>
      <c r="E388" s="140"/>
      <c r="F388" s="140"/>
      <c r="G388" s="140"/>
      <c r="H388" s="140"/>
      <c r="I388" s="140"/>
      <c r="J388" s="140"/>
      <c r="K388" s="140"/>
      <c r="L388" s="140"/>
    </row>
    <row r="389" spans="3:12">
      <c r="C389" s="140"/>
      <c r="D389" s="140"/>
      <c r="E389" s="140"/>
      <c r="F389" s="140"/>
      <c r="G389" s="140"/>
      <c r="H389" s="140"/>
      <c r="I389" s="140"/>
      <c r="J389" s="140"/>
      <c r="K389" s="140"/>
      <c r="L389" s="140"/>
    </row>
    <row r="390" spans="3:12">
      <c r="C390" s="140"/>
      <c r="D390" s="140"/>
      <c r="E390" s="140"/>
      <c r="F390" s="140"/>
      <c r="G390" s="140"/>
      <c r="H390" s="140"/>
      <c r="I390" s="140"/>
      <c r="J390" s="140"/>
      <c r="K390" s="140"/>
      <c r="L390" s="140"/>
    </row>
    <row r="391" spans="3:12">
      <c r="C391" s="140"/>
      <c r="D391" s="140"/>
      <c r="E391" s="140"/>
      <c r="F391" s="140"/>
      <c r="G391" s="140"/>
      <c r="H391" s="140"/>
      <c r="I391" s="140"/>
      <c r="J391" s="140"/>
      <c r="K391" s="140"/>
      <c r="L391" s="140"/>
    </row>
    <row r="392" spans="3:12">
      <c r="C392" s="140"/>
      <c r="D392" s="140"/>
      <c r="E392" s="140"/>
      <c r="F392" s="140"/>
      <c r="G392" s="140"/>
      <c r="H392" s="140"/>
      <c r="I392" s="140"/>
      <c r="J392" s="140"/>
      <c r="K392" s="140"/>
      <c r="L392" s="140"/>
    </row>
    <row r="393" spans="3:12">
      <c r="C393" s="140"/>
      <c r="D393" s="140"/>
      <c r="E393" s="140"/>
      <c r="F393" s="140"/>
      <c r="G393" s="140"/>
      <c r="H393" s="140"/>
      <c r="I393" s="140"/>
      <c r="J393" s="140"/>
      <c r="K393" s="140"/>
      <c r="L393" s="140"/>
    </row>
    <row r="394" spans="3:12">
      <c r="C394" s="140"/>
      <c r="D394" s="140"/>
      <c r="E394" s="140"/>
      <c r="F394" s="140"/>
      <c r="G394" s="140"/>
      <c r="H394" s="140"/>
      <c r="I394" s="140"/>
      <c r="J394" s="140"/>
      <c r="K394" s="140"/>
      <c r="L394" s="140"/>
    </row>
    <row r="395" spans="3:12">
      <c r="C395" s="140"/>
      <c r="D395" s="140"/>
      <c r="E395" s="140"/>
      <c r="F395" s="140"/>
      <c r="G395" s="140"/>
      <c r="H395" s="140"/>
      <c r="I395" s="140"/>
      <c r="J395" s="140"/>
      <c r="K395" s="140"/>
      <c r="L395" s="140"/>
    </row>
    <row r="396" spans="3:12">
      <c r="C396" s="140"/>
      <c r="D396" s="140"/>
      <c r="E396" s="140"/>
      <c r="F396" s="140"/>
      <c r="G396" s="140"/>
      <c r="H396" s="140"/>
      <c r="I396" s="140"/>
      <c r="J396" s="140"/>
      <c r="K396" s="140"/>
      <c r="L396" s="140"/>
    </row>
    <row r="397" spans="3:12">
      <c r="C397" s="140"/>
      <c r="D397" s="140"/>
      <c r="E397" s="140"/>
      <c r="F397" s="140"/>
      <c r="G397" s="140"/>
      <c r="H397" s="140"/>
      <c r="I397" s="140"/>
      <c r="J397" s="140"/>
      <c r="K397" s="140"/>
      <c r="L397" s="140"/>
    </row>
    <row r="398" spans="3:12">
      <c r="C398" s="140"/>
      <c r="D398" s="140"/>
      <c r="E398" s="140"/>
      <c r="F398" s="140"/>
      <c r="G398" s="140"/>
      <c r="H398" s="140"/>
      <c r="I398" s="140"/>
      <c r="J398" s="140"/>
      <c r="K398" s="140"/>
      <c r="L398" s="140"/>
    </row>
    <row r="399" spans="3:12">
      <c r="C399" s="140"/>
      <c r="D399" s="140"/>
      <c r="E399" s="140"/>
      <c r="F399" s="140"/>
      <c r="G399" s="140"/>
      <c r="H399" s="140"/>
      <c r="I399" s="140"/>
      <c r="J399" s="140"/>
      <c r="K399" s="140"/>
      <c r="L399" s="140"/>
    </row>
    <row r="400" spans="3:12">
      <c r="C400" s="140"/>
      <c r="D400" s="140"/>
      <c r="E400" s="140"/>
      <c r="F400" s="140"/>
      <c r="G400" s="140"/>
      <c r="H400" s="140"/>
      <c r="I400" s="140"/>
      <c r="J400" s="140"/>
      <c r="K400" s="140"/>
      <c r="L400" s="140"/>
    </row>
    <row r="401" spans="3:12">
      <c r="C401" s="140"/>
      <c r="D401" s="140"/>
      <c r="E401" s="140"/>
      <c r="F401" s="140"/>
      <c r="G401" s="140"/>
      <c r="H401" s="140"/>
      <c r="I401" s="140"/>
      <c r="J401" s="140"/>
      <c r="K401" s="140"/>
      <c r="L401" s="140"/>
    </row>
    <row r="402" spans="3:12">
      <c r="C402" s="140"/>
      <c r="D402" s="140"/>
      <c r="E402" s="140"/>
      <c r="F402" s="140"/>
      <c r="G402" s="140"/>
      <c r="H402" s="140"/>
      <c r="I402" s="140"/>
      <c r="J402" s="140"/>
      <c r="K402" s="140"/>
      <c r="L402" s="140"/>
    </row>
    <row r="403" spans="3:12">
      <c r="C403" s="140"/>
      <c r="D403" s="140"/>
      <c r="E403" s="140"/>
      <c r="F403" s="140"/>
      <c r="G403" s="140"/>
      <c r="H403" s="140"/>
      <c r="I403" s="140"/>
      <c r="J403" s="140"/>
      <c r="K403" s="140"/>
      <c r="L403" s="140"/>
    </row>
    <row r="404" spans="3:12">
      <c r="C404" s="140"/>
      <c r="D404" s="140"/>
      <c r="E404" s="140"/>
      <c r="F404" s="140"/>
      <c r="G404" s="140"/>
      <c r="H404" s="140"/>
      <c r="I404" s="140"/>
      <c r="J404" s="140"/>
      <c r="K404" s="140"/>
      <c r="L404" s="140"/>
    </row>
    <row r="405" spans="3:12">
      <c r="C405" s="140"/>
      <c r="D405" s="140"/>
      <c r="E405" s="140"/>
      <c r="F405" s="140"/>
      <c r="G405" s="140"/>
      <c r="H405" s="140"/>
      <c r="I405" s="140"/>
      <c r="J405" s="140"/>
      <c r="K405" s="140"/>
      <c r="L405" s="140"/>
    </row>
    <row r="406" spans="3:12">
      <c r="C406" s="140"/>
      <c r="D406" s="140"/>
      <c r="E406" s="140"/>
      <c r="F406" s="140"/>
      <c r="G406" s="140"/>
      <c r="H406" s="140"/>
      <c r="I406" s="140"/>
      <c r="J406" s="140"/>
      <c r="K406" s="140"/>
      <c r="L406" s="140"/>
    </row>
    <row r="407" spans="3:12">
      <c r="C407" s="140"/>
      <c r="D407" s="140"/>
      <c r="E407" s="140"/>
      <c r="F407" s="140"/>
      <c r="G407" s="140"/>
      <c r="H407" s="140"/>
      <c r="I407" s="140"/>
      <c r="J407" s="140"/>
      <c r="K407" s="140"/>
      <c r="L407" s="140"/>
    </row>
    <row r="408" spans="3:12">
      <c r="C408" s="140"/>
      <c r="D408" s="140"/>
      <c r="E408" s="140"/>
      <c r="F408" s="140"/>
      <c r="G408" s="140"/>
      <c r="H408" s="140"/>
      <c r="I408" s="140"/>
      <c r="J408" s="140"/>
      <c r="K408" s="140"/>
      <c r="L408" s="140"/>
    </row>
    <row r="409" spans="3:12">
      <c r="C409" s="140"/>
      <c r="D409" s="140"/>
      <c r="E409" s="140"/>
      <c r="F409" s="140"/>
      <c r="G409" s="140"/>
      <c r="H409" s="140"/>
      <c r="I409" s="140"/>
      <c r="J409" s="140"/>
      <c r="K409" s="140"/>
      <c r="L409" s="140"/>
    </row>
    <row r="410" spans="3:12">
      <c r="C410" s="140"/>
      <c r="D410" s="140"/>
      <c r="E410" s="140"/>
      <c r="F410" s="140"/>
      <c r="G410" s="140"/>
      <c r="H410" s="140"/>
      <c r="I410" s="140"/>
      <c r="J410" s="140"/>
      <c r="K410" s="140"/>
      <c r="L410" s="140"/>
    </row>
    <row r="411" spans="3:12">
      <c r="C411" s="140"/>
      <c r="D411" s="140"/>
      <c r="E411" s="140"/>
      <c r="F411" s="140"/>
      <c r="G411" s="140"/>
      <c r="H411" s="140"/>
      <c r="I411" s="140"/>
      <c r="J411" s="140"/>
      <c r="K411" s="140"/>
      <c r="L411" s="140"/>
    </row>
    <row r="412" spans="3:12">
      <c r="C412" s="140"/>
      <c r="D412" s="140"/>
      <c r="E412" s="140"/>
      <c r="F412" s="140"/>
      <c r="G412" s="140"/>
      <c r="H412" s="140"/>
      <c r="I412" s="140"/>
      <c r="J412" s="140"/>
      <c r="K412" s="140"/>
      <c r="L412" s="140"/>
    </row>
    <row r="413" spans="3:12">
      <c r="C413" s="140"/>
      <c r="D413" s="140"/>
      <c r="E413" s="140"/>
      <c r="F413" s="140"/>
      <c r="G413" s="140"/>
      <c r="H413" s="140"/>
      <c r="I413" s="140"/>
      <c r="J413" s="140"/>
      <c r="K413" s="140"/>
      <c r="L413" s="140"/>
    </row>
    <row r="414" spans="3:12">
      <c r="C414" s="140"/>
      <c r="D414" s="140"/>
      <c r="E414" s="140"/>
      <c r="F414" s="140"/>
      <c r="G414" s="140"/>
      <c r="H414" s="140"/>
      <c r="I414" s="140"/>
      <c r="J414" s="140"/>
      <c r="K414" s="140"/>
      <c r="L414" s="140"/>
    </row>
    <row r="415" spans="3:12">
      <c r="C415" s="140"/>
      <c r="D415" s="140"/>
      <c r="E415" s="140"/>
      <c r="F415" s="140"/>
      <c r="G415" s="140"/>
      <c r="H415" s="140"/>
      <c r="I415" s="140"/>
      <c r="J415" s="140"/>
      <c r="K415" s="140"/>
      <c r="L415" s="140"/>
    </row>
    <row r="416" spans="3:12">
      <c r="C416" s="140"/>
      <c r="D416" s="140"/>
      <c r="E416" s="140"/>
      <c r="F416" s="140"/>
      <c r="G416" s="140"/>
      <c r="H416" s="140"/>
      <c r="I416" s="140"/>
      <c r="J416" s="140"/>
      <c r="K416" s="140"/>
      <c r="L416" s="140"/>
    </row>
    <row r="417" spans="3:12">
      <c r="C417" s="140"/>
      <c r="D417" s="140"/>
      <c r="E417" s="140"/>
      <c r="F417" s="140"/>
      <c r="G417" s="140"/>
      <c r="H417" s="140"/>
      <c r="I417" s="140"/>
      <c r="J417" s="140"/>
      <c r="K417" s="140"/>
      <c r="L417" s="140"/>
    </row>
    <row r="418" spans="3:12">
      <c r="C418" s="140"/>
      <c r="D418" s="140"/>
      <c r="E418" s="140"/>
      <c r="F418" s="140"/>
      <c r="G418" s="140"/>
      <c r="H418" s="140"/>
      <c r="I418" s="140"/>
      <c r="J418" s="140"/>
      <c r="K418" s="140"/>
      <c r="L418" s="140"/>
    </row>
    <row r="419" spans="3:12">
      <c r="C419" s="140"/>
      <c r="D419" s="140"/>
      <c r="E419" s="140"/>
      <c r="F419" s="140"/>
      <c r="G419" s="140"/>
      <c r="H419" s="140"/>
      <c r="I419" s="140"/>
      <c r="J419" s="140"/>
      <c r="K419" s="140"/>
      <c r="L419" s="140"/>
    </row>
    <row r="420" spans="3:12">
      <c r="C420" s="140"/>
      <c r="D420" s="140"/>
      <c r="E420" s="140"/>
      <c r="F420" s="140"/>
      <c r="G420" s="140"/>
      <c r="H420" s="140"/>
      <c r="I420" s="140"/>
      <c r="J420" s="140"/>
      <c r="K420" s="140"/>
      <c r="L420" s="140"/>
    </row>
    <row r="421" spans="3:12">
      <c r="C421" s="140"/>
      <c r="D421" s="140"/>
      <c r="E421" s="140"/>
      <c r="F421" s="140"/>
      <c r="G421" s="140"/>
      <c r="H421" s="140"/>
      <c r="I421" s="140"/>
      <c r="J421" s="140"/>
      <c r="K421" s="140"/>
      <c r="L421" s="140"/>
    </row>
    <row r="422" spans="3:12">
      <c r="C422" s="140"/>
      <c r="D422" s="140"/>
      <c r="E422" s="140"/>
      <c r="F422" s="140"/>
      <c r="G422" s="140"/>
      <c r="H422" s="140"/>
      <c r="I422" s="140"/>
      <c r="J422" s="140"/>
      <c r="K422" s="140"/>
      <c r="L422" s="140"/>
    </row>
    <row r="423" spans="3:12">
      <c r="C423" s="140"/>
      <c r="D423" s="140"/>
      <c r="E423" s="140"/>
      <c r="F423" s="140"/>
      <c r="G423" s="140"/>
      <c r="H423" s="140"/>
      <c r="I423" s="140"/>
      <c r="J423" s="140"/>
      <c r="K423" s="140"/>
      <c r="L423" s="140"/>
    </row>
    <row r="424" spans="3:12">
      <c r="C424" s="140"/>
      <c r="D424" s="140"/>
      <c r="E424" s="140"/>
      <c r="F424" s="140"/>
      <c r="G424" s="140"/>
      <c r="H424" s="140"/>
      <c r="I424" s="140"/>
      <c r="J424" s="140"/>
      <c r="K424" s="140"/>
      <c r="L424" s="140"/>
    </row>
    <row r="425" spans="3:12">
      <c r="C425" s="140"/>
      <c r="D425" s="140"/>
      <c r="E425" s="140"/>
      <c r="F425" s="140"/>
      <c r="G425" s="140"/>
      <c r="H425" s="140"/>
      <c r="I425" s="140"/>
      <c r="J425" s="140"/>
      <c r="K425" s="140"/>
      <c r="L425" s="140"/>
    </row>
    <row r="426" spans="3:12">
      <c r="C426" s="140"/>
      <c r="D426" s="140"/>
      <c r="E426" s="140"/>
      <c r="F426" s="140"/>
      <c r="G426" s="140"/>
      <c r="H426" s="140"/>
      <c r="I426" s="140"/>
      <c r="J426" s="140"/>
      <c r="K426" s="140"/>
      <c r="L426" s="140"/>
    </row>
    <row r="427" spans="3:12">
      <c r="C427" s="140"/>
      <c r="D427" s="140"/>
      <c r="E427" s="140"/>
      <c r="F427" s="140"/>
      <c r="G427" s="140"/>
      <c r="H427" s="140"/>
      <c r="I427" s="140"/>
      <c r="J427" s="140"/>
      <c r="K427" s="140"/>
      <c r="L427" s="140"/>
    </row>
    <row r="428" spans="3:12">
      <c r="C428" s="140"/>
      <c r="D428" s="140"/>
      <c r="E428" s="140"/>
      <c r="F428" s="140"/>
      <c r="G428" s="140"/>
      <c r="H428" s="140"/>
      <c r="I428" s="140"/>
      <c r="J428" s="140"/>
      <c r="K428" s="140"/>
      <c r="L428" s="140"/>
    </row>
    <row r="429" spans="3:12">
      <c r="C429" s="140"/>
      <c r="D429" s="140"/>
      <c r="E429" s="140"/>
      <c r="F429" s="140"/>
      <c r="G429" s="140"/>
      <c r="H429" s="140"/>
      <c r="I429" s="140"/>
      <c r="J429" s="140"/>
      <c r="K429" s="140"/>
      <c r="L429" s="140"/>
    </row>
    <row r="430" spans="3:12">
      <c r="C430" s="140"/>
      <c r="D430" s="140"/>
      <c r="E430" s="140"/>
      <c r="F430" s="140"/>
      <c r="G430" s="140"/>
      <c r="H430" s="140"/>
      <c r="I430" s="140"/>
      <c r="J430" s="140"/>
      <c r="K430" s="140"/>
      <c r="L430" s="140"/>
    </row>
    <row r="431" spans="3:12">
      <c r="C431" s="140"/>
      <c r="D431" s="140"/>
      <c r="E431" s="140"/>
      <c r="F431" s="140"/>
      <c r="G431" s="140"/>
      <c r="H431" s="140"/>
      <c r="I431" s="140"/>
      <c r="J431" s="140"/>
      <c r="K431" s="140"/>
      <c r="L431" s="140"/>
    </row>
    <row r="432" spans="3:12">
      <c r="C432" s="140"/>
      <c r="D432" s="140"/>
      <c r="E432" s="140"/>
      <c r="F432" s="140"/>
      <c r="G432" s="140"/>
      <c r="H432" s="140"/>
      <c r="I432" s="140"/>
      <c r="J432" s="140"/>
      <c r="K432" s="140"/>
      <c r="L432" s="140"/>
    </row>
    <row r="433" spans="3:12">
      <c r="C433" s="140"/>
      <c r="D433" s="140"/>
      <c r="E433" s="140"/>
      <c r="F433" s="140"/>
      <c r="G433" s="140"/>
      <c r="H433" s="140"/>
      <c r="I433" s="140"/>
      <c r="J433" s="140"/>
      <c r="K433" s="140"/>
      <c r="L433" s="140"/>
    </row>
    <row r="434" spans="3:12">
      <c r="C434" s="140"/>
      <c r="D434" s="140"/>
      <c r="E434" s="140"/>
      <c r="F434" s="140"/>
      <c r="G434" s="140"/>
      <c r="H434" s="140"/>
      <c r="I434" s="140"/>
      <c r="J434" s="140"/>
      <c r="K434" s="140"/>
      <c r="L434" s="140"/>
    </row>
    <row r="435" spans="3:12">
      <c r="C435" s="140"/>
      <c r="D435" s="140"/>
      <c r="E435" s="140"/>
      <c r="F435" s="140"/>
      <c r="G435" s="140"/>
      <c r="H435" s="140"/>
      <c r="I435" s="140"/>
      <c r="J435" s="140"/>
      <c r="K435" s="140"/>
      <c r="L435" s="140"/>
    </row>
    <row r="436" spans="3:12">
      <c r="C436" s="140"/>
      <c r="D436" s="140"/>
      <c r="E436" s="140"/>
      <c r="F436" s="140"/>
      <c r="G436" s="140"/>
      <c r="H436" s="140"/>
      <c r="I436" s="140"/>
      <c r="J436" s="140"/>
      <c r="K436" s="140"/>
      <c r="L436" s="140"/>
    </row>
    <row r="437" spans="3:12">
      <c r="C437" s="140"/>
      <c r="D437" s="140"/>
      <c r="E437" s="140"/>
      <c r="F437" s="140"/>
      <c r="G437" s="140"/>
      <c r="H437" s="140"/>
      <c r="I437" s="140"/>
      <c r="J437" s="140"/>
      <c r="K437" s="140"/>
      <c r="L437" s="140"/>
    </row>
    <row r="438" spans="3:12">
      <c r="C438" s="140"/>
      <c r="D438" s="140"/>
      <c r="E438" s="140"/>
      <c r="F438" s="140"/>
      <c r="G438" s="140"/>
      <c r="H438" s="140"/>
      <c r="I438" s="140"/>
      <c r="J438" s="140"/>
      <c r="K438" s="140"/>
      <c r="L438" s="140"/>
    </row>
    <row r="439" spans="3:12">
      <c r="C439" s="140"/>
      <c r="D439" s="140"/>
      <c r="E439" s="140"/>
      <c r="F439" s="140"/>
      <c r="G439" s="140"/>
      <c r="H439" s="140"/>
      <c r="I439" s="140"/>
      <c r="J439" s="140"/>
      <c r="K439" s="140"/>
      <c r="L439" s="140"/>
    </row>
    <row r="440" spans="3:12">
      <c r="C440" s="140"/>
      <c r="D440" s="140"/>
      <c r="E440" s="140"/>
      <c r="F440" s="140"/>
      <c r="G440" s="140"/>
      <c r="H440" s="140"/>
      <c r="I440" s="140"/>
      <c r="J440" s="140"/>
      <c r="K440" s="140"/>
      <c r="L440" s="140"/>
    </row>
    <row r="441" spans="3:12">
      <c r="C441" s="140"/>
      <c r="D441" s="140"/>
      <c r="E441" s="140"/>
      <c r="F441" s="140"/>
      <c r="G441" s="140"/>
      <c r="H441" s="140"/>
      <c r="I441" s="140"/>
      <c r="J441" s="140"/>
      <c r="K441" s="140"/>
      <c r="L441" s="140"/>
    </row>
    <row r="442" spans="3:12">
      <c r="C442" s="140"/>
      <c r="D442" s="140"/>
      <c r="E442" s="140"/>
      <c r="F442" s="140"/>
      <c r="G442" s="140"/>
      <c r="H442" s="140"/>
      <c r="I442" s="140"/>
      <c r="J442" s="140"/>
      <c r="K442" s="140"/>
      <c r="L442" s="140"/>
    </row>
    <row r="443" spans="3:12">
      <c r="C443" s="140"/>
      <c r="D443" s="140"/>
      <c r="E443" s="140"/>
      <c r="F443" s="140"/>
      <c r="G443" s="140"/>
      <c r="H443" s="140"/>
      <c r="I443" s="140"/>
      <c r="J443" s="140"/>
      <c r="K443" s="140"/>
      <c r="L443" s="140"/>
    </row>
    <row r="444" spans="3:12">
      <c r="C444" s="140"/>
      <c r="D444" s="140"/>
      <c r="E444" s="140"/>
      <c r="F444" s="140"/>
      <c r="G444" s="140"/>
      <c r="H444" s="140"/>
      <c r="I444" s="140"/>
      <c r="J444" s="140"/>
      <c r="K444" s="140"/>
      <c r="L444" s="140"/>
    </row>
    <row r="445" spans="3:12">
      <c r="C445" s="140"/>
      <c r="D445" s="140"/>
      <c r="E445" s="140"/>
      <c r="F445" s="140"/>
      <c r="G445" s="140"/>
      <c r="H445" s="140"/>
      <c r="I445" s="140"/>
      <c r="J445" s="140"/>
      <c r="K445" s="140"/>
      <c r="L445" s="140"/>
    </row>
    <row r="446" spans="3:12">
      <c r="C446" s="140"/>
      <c r="D446" s="140"/>
      <c r="E446" s="140"/>
      <c r="F446" s="140"/>
      <c r="G446" s="140"/>
      <c r="H446" s="140"/>
      <c r="I446" s="140"/>
      <c r="J446" s="140"/>
      <c r="K446" s="140"/>
      <c r="L446" s="140"/>
    </row>
    <row r="447" spans="3:12">
      <c r="C447" s="140"/>
      <c r="D447" s="140"/>
      <c r="E447" s="140"/>
      <c r="F447" s="140"/>
      <c r="G447" s="140"/>
      <c r="H447" s="140"/>
      <c r="I447" s="140"/>
      <c r="J447" s="140"/>
      <c r="K447" s="140"/>
      <c r="L447" s="140"/>
    </row>
    <row r="448" spans="3:12">
      <c r="C448" s="140"/>
      <c r="D448" s="140"/>
      <c r="E448" s="140"/>
      <c r="F448" s="140"/>
      <c r="G448" s="140"/>
      <c r="H448" s="140"/>
      <c r="I448" s="140"/>
      <c r="J448" s="140"/>
      <c r="K448" s="140"/>
      <c r="L448" s="140"/>
    </row>
    <row r="449" spans="3:12">
      <c r="C449" s="140"/>
      <c r="D449" s="140"/>
      <c r="E449" s="140"/>
      <c r="F449" s="140"/>
      <c r="G449" s="140"/>
      <c r="H449" s="140"/>
      <c r="I449" s="140"/>
      <c r="J449" s="140"/>
      <c r="K449" s="140"/>
      <c r="L449" s="140"/>
    </row>
    <row r="450" spans="3:12">
      <c r="C450" s="140"/>
      <c r="D450" s="140"/>
      <c r="E450" s="140"/>
      <c r="F450" s="140"/>
      <c r="G450" s="140"/>
      <c r="H450" s="140"/>
      <c r="I450" s="140"/>
      <c r="J450" s="140"/>
      <c r="K450" s="140"/>
      <c r="L450" s="140"/>
    </row>
    <row r="451" spans="3:12">
      <c r="C451" s="140"/>
      <c r="D451" s="140"/>
      <c r="E451" s="140"/>
      <c r="F451" s="140"/>
      <c r="G451" s="140"/>
      <c r="H451" s="140"/>
      <c r="I451" s="140"/>
      <c r="J451" s="140"/>
      <c r="K451" s="140"/>
      <c r="L451" s="140"/>
    </row>
    <row r="452" spans="3:12">
      <c r="C452" s="140"/>
      <c r="D452" s="140"/>
      <c r="E452" s="140"/>
      <c r="F452" s="140"/>
      <c r="G452" s="140"/>
      <c r="H452" s="140"/>
      <c r="I452" s="140"/>
      <c r="J452" s="140"/>
      <c r="K452" s="140"/>
      <c r="L452" s="140"/>
    </row>
    <row r="453" spans="3:12">
      <c r="C453" s="140"/>
      <c r="D453" s="140"/>
      <c r="E453" s="140"/>
      <c r="F453" s="140"/>
      <c r="G453" s="140"/>
      <c r="H453" s="140"/>
      <c r="I453" s="140"/>
      <c r="J453" s="140"/>
      <c r="K453" s="140"/>
      <c r="L453" s="140"/>
    </row>
    <row r="454" spans="3:12">
      <c r="C454" s="140"/>
      <c r="D454" s="140"/>
      <c r="E454" s="140"/>
      <c r="F454" s="140"/>
      <c r="G454" s="140"/>
      <c r="H454" s="140"/>
      <c r="I454" s="140"/>
      <c r="J454" s="140"/>
      <c r="K454" s="140"/>
      <c r="L454" s="140"/>
    </row>
    <row r="455" spans="3:12">
      <c r="C455" s="140"/>
      <c r="D455" s="140"/>
      <c r="E455" s="140"/>
      <c r="F455" s="140"/>
      <c r="G455" s="140"/>
      <c r="H455" s="140"/>
      <c r="I455" s="140"/>
      <c r="J455" s="140"/>
      <c r="K455" s="140"/>
      <c r="L455" s="140"/>
    </row>
    <row r="456" spans="3:12">
      <c r="C456" s="140"/>
      <c r="D456" s="140"/>
      <c r="E456" s="140"/>
      <c r="F456" s="140"/>
      <c r="G456" s="140"/>
      <c r="H456" s="140"/>
      <c r="I456" s="140"/>
      <c r="J456" s="140"/>
      <c r="K456" s="140"/>
      <c r="L456" s="140"/>
    </row>
    <row r="457" spans="3:12">
      <c r="C457" s="140"/>
      <c r="D457" s="140"/>
      <c r="E457" s="140"/>
      <c r="F457" s="140"/>
      <c r="G457" s="140"/>
      <c r="H457" s="140"/>
      <c r="I457" s="140"/>
      <c r="J457" s="140"/>
      <c r="K457" s="140"/>
      <c r="L457" s="140"/>
    </row>
    <row r="458" spans="3:12">
      <c r="C458" s="140"/>
      <c r="D458" s="140"/>
      <c r="E458" s="140"/>
      <c r="F458" s="140"/>
      <c r="G458" s="140"/>
      <c r="H458" s="140"/>
      <c r="I458" s="140"/>
      <c r="J458" s="140"/>
      <c r="K458" s="140"/>
      <c r="L458" s="140"/>
    </row>
    <row r="459" spans="3:12">
      <c r="C459" s="140"/>
      <c r="D459" s="140"/>
      <c r="E459" s="140"/>
      <c r="F459" s="140"/>
      <c r="G459" s="140"/>
      <c r="H459" s="140"/>
      <c r="I459" s="140"/>
      <c r="J459" s="140"/>
      <c r="K459" s="140"/>
      <c r="L459" s="140"/>
    </row>
    <row r="460" spans="3:12">
      <c r="C460" s="140"/>
      <c r="D460" s="140"/>
      <c r="E460" s="140"/>
      <c r="F460" s="140"/>
      <c r="G460" s="140"/>
      <c r="H460" s="140"/>
      <c r="I460" s="140"/>
      <c r="J460" s="140"/>
      <c r="K460" s="140"/>
      <c r="L460" s="140"/>
    </row>
    <row r="461" spans="3:12">
      <c r="C461" s="140"/>
      <c r="D461" s="140"/>
      <c r="E461" s="140"/>
      <c r="F461" s="140"/>
      <c r="G461" s="140"/>
      <c r="H461" s="140"/>
      <c r="I461" s="140"/>
      <c r="J461" s="140"/>
      <c r="K461" s="140"/>
      <c r="L461" s="140"/>
    </row>
    <row r="462" spans="3:12">
      <c r="C462" s="140"/>
      <c r="D462" s="140"/>
      <c r="E462" s="140"/>
      <c r="F462" s="140"/>
      <c r="G462" s="140"/>
      <c r="H462" s="140"/>
      <c r="I462" s="140"/>
      <c r="J462" s="140"/>
      <c r="K462" s="140"/>
      <c r="L462" s="140"/>
    </row>
    <row r="463" spans="3:12">
      <c r="C463" s="140"/>
      <c r="D463" s="140"/>
      <c r="E463" s="140"/>
      <c r="F463" s="140"/>
      <c r="G463" s="140"/>
      <c r="H463" s="140"/>
      <c r="I463" s="140"/>
      <c r="J463" s="140"/>
      <c r="K463" s="140"/>
      <c r="L463" s="140"/>
    </row>
    <row r="464" spans="3:12">
      <c r="C464" s="140"/>
      <c r="D464" s="140"/>
      <c r="E464" s="140"/>
      <c r="F464" s="140"/>
      <c r="G464" s="140"/>
      <c r="H464" s="140"/>
      <c r="I464" s="140"/>
      <c r="J464" s="140"/>
      <c r="K464" s="140"/>
      <c r="L464" s="140"/>
    </row>
    <row r="465" spans="3:12">
      <c r="C465" s="140"/>
      <c r="D465" s="140"/>
      <c r="E465" s="140"/>
      <c r="F465" s="140"/>
      <c r="G465" s="140"/>
      <c r="H465" s="140"/>
      <c r="I465" s="140"/>
      <c r="J465" s="140"/>
      <c r="K465" s="140"/>
      <c r="L465" s="140"/>
    </row>
    <row r="466" spans="3:12">
      <c r="C466" s="140"/>
      <c r="D466" s="140"/>
      <c r="E466" s="140"/>
      <c r="F466" s="140"/>
      <c r="G466" s="140"/>
      <c r="H466" s="140"/>
      <c r="I466" s="140"/>
      <c r="J466" s="140"/>
      <c r="K466" s="140"/>
      <c r="L466" s="140"/>
    </row>
    <row r="467" spans="3:12">
      <c r="C467" s="140"/>
      <c r="D467" s="140"/>
      <c r="E467" s="140"/>
      <c r="F467" s="140"/>
      <c r="G467" s="140"/>
      <c r="H467" s="140"/>
      <c r="I467" s="140"/>
      <c r="J467" s="140"/>
      <c r="K467" s="140"/>
      <c r="L467" s="140"/>
    </row>
    <row r="468" spans="3:12">
      <c r="C468" s="140"/>
      <c r="D468" s="140"/>
      <c r="E468" s="140"/>
      <c r="F468" s="140"/>
      <c r="G468" s="140"/>
      <c r="H468" s="140"/>
      <c r="I468" s="140"/>
      <c r="J468" s="140"/>
      <c r="K468" s="140"/>
      <c r="L468" s="140"/>
    </row>
    <row r="469" spans="3:12">
      <c r="C469" s="140"/>
      <c r="D469" s="140"/>
      <c r="E469" s="140"/>
      <c r="F469" s="140"/>
      <c r="G469" s="140"/>
      <c r="H469" s="140"/>
      <c r="I469" s="140"/>
      <c r="J469" s="140"/>
      <c r="K469" s="140"/>
      <c r="L469" s="140"/>
    </row>
    <row r="470" spans="3:12">
      <c r="C470" s="140"/>
      <c r="D470" s="140"/>
      <c r="E470" s="140"/>
      <c r="F470" s="140"/>
      <c r="G470" s="140"/>
      <c r="H470" s="140"/>
      <c r="I470" s="140"/>
      <c r="J470" s="140"/>
      <c r="K470" s="140"/>
      <c r="L470" s="140"/>
    </row>
    <row r="471" spans="3:12">
      <c r="C471" s="140"/>
      <c r="D471" s="140"/>
      <c r="E471" s="140"/>
      <c r="F471" s="140"/>
      <c r="G471" s="140"/>
      <c r="H471" s="140"/>
      <c r="I471" s="140"/>
      <c r="J471" s="140"/>
      <c r="K471" s="140"/>
      <c r="L471" s="140"/>
    </row>
    <row r="472" spans="3:12">
      <c r="C472" s="140"/>
      <c r="D472" s="140"/>
      <c r="E472" s="140"/>
      <c r="F472" s="140"/>
      <c r="G472" s="140"/>
      <c r="H472" s="140"/>
      <c r="I472" s="140"/>
      <c r="J472" s="140"/>
      <c r="K472" s="140"/>
      <c r="L472" s="140"/>
    </row>
    <row r="473" spans="3:12">
      <c r="C473" s="140"/>
      <c r="D473" s="140"/>
      <c r="E473" s="140"/>
      <c r="F473" s="140"/>
      <c r="G473" s="140"/>
      <c r="H473" s="140"/>
      <c r="I473" s="140"/>
      <c r="J473" s="140"/>
      <c r="K473" s="140"/>
      <c r="L473" s="140"/>
    </row>
    <row r="474" spans="3:12">
      <c r="C474" s="140"/>
      <c r="D474" s="140"/>
      <c r="E474" s="140"/>
      <c r="F474" s="140"/>
      <c r="G474" s="140"/>
      <c r="H474" s="140"/>
      <c r="I474" s="140"/>
      <c r="J474" s="140"/>
      <c r="K474" s="140"/>
      <c r="L474" s="140"/>
    </row>
    <row r="475" spans="3:12">
      <c r="C475" s="140"/>
      <c r="D475" s="140"/>
      <c r="E475" s="140"/>
      <c r="F475" s="140"/>
      <c r="G475" s="140"/>
      <c r="H475" s="140"/>
      <c r="I475" s="140"/>
      <c r="J475" s="140"/>
      <c r="K475" s="140"/>
      <c r="L475" s="140"/>
    </row>
    <row r="476" spans="3:12">
      <c r="C476" s="140"/>
      <c r="D476" s="140"/>
      <c r="E476" s="140"/>
      <c r="F476" s="140"/>
      <c r="G476" s="140"/>
      <c r="H476" s="140"/>
      <c r="I476" s="140"/>
      <c r="J476" s="140"/>
      <c r="K476" s="140"/>
      <c r="L476" s="140"/>
    </row>
    <row r="477" spans="3:12">
      <c r="C477" s="140"/>
      <c r="D477" s="140"/>
      <c r="E477" s="140"/>
      <c r="F477" s="140"/>
      <c r="G477" s="140"/>
      <c r="H477" s="140"/>
      <c r="I477" s="140"/>
      <c r="J477" s="140"/>
      <c r="K477" s="140"/>
      <c r="L477" s="140"/>
    </row>
    <row r="478" spans="3:12">
      <c r="C478" s="140"/>
      <c r="D478" s="140"/>
      <c r="E478" s="140"/>
      <c r="F478" s="140"/>
      <c r="G478" s="140"/>
      <c r="H478" s="140"/>
      <c r="I478" s="140"/>
      <c r="J478" s="140"/>
      <c r="K478" s="140"/>
      <c r="L478" s="140"/>
    </row>
    <row r="479" spans="3:12">
      <c r="C479" s="140"/>
      <c r="D479" s="140"/>
      <c r="E479" s="140"/>
      <c r="F479" s="140"/>
      <c r="G479" s="140"/>
      <c r="H479" s="140"/>
      <c r="I479" s="140"/>
      <c r="J479" s="140"/>
      <c r="K479" s="140"/>
      <c r="L479" s="140"/>
    </row>
    <row r="480" spans="3:12">
      <c r="C480" s="140"/>
      <c r="D480" s="140"/>
      <c r="E480" s="140"/>
      <c r="F480" s="140"/>
      <c r="G480" s="140"/>
      <c r="H480" s="140"/>
      <c r="I480" s="140"/>
      <c r="J480" s="140"/>
      <c r="K480" s="140"/>
      <c r="L480" s="140"/>
    </row>
    <row r="481" spans="3:12">
      <c r="C481" s="140"/>
      <c r="D481" s="140"/>
      <c r="E481" s="140"/>
      <c r="F481" s="140"/>
      <c r="G481" s="140"/>
      <c r="H481" s="140"/>
      <c r="I481" s="140"/>
      <c r="J481" s="140"/>
      <c r="K481" s="140"/>
      <c r="L481" s="140"/>
    </row>
    <row r="482" spans="3:12">
      <c r="C482" s="140"/>
      <c r="D482" s="140"/>
      <c r="E482" s="140"/>
      <c r="F482" s="140"/>
      <c r="G482" s="140"/>
      <c r="H482" s="140"/>
      <c r="I482" s="140"/>
      <c r="J482" s="140"/>
      <c r="K482" s="140"/>
      <c r="L482" s="140"/>
    </row>
    <row r="483" spans="3:12">
      <c r="C483" s="140"/>
      <c r="D483" s="140"/>
      <c r="E483" s="140"/>
      <c r="F483" s="140"/>
      <c r="G483" s="140"/>
      <c r="H483" s="140"/>
      <c r="I483" s="140"/>
      <c r="J483" s="140"/>
      <c r="K483" s="140"/>
      <c r="L483" s="140"/>
    </row>
    <row r="484" spans="3:12">
      <c r="C484" s="140"/>
      <c r="D484" s="140"/>
      <c r="E484" s="140"/>
      <c r="F484" s="140"/>
      <c r="G484" s="140"/>
      <c r="H484" s="140"/>
      <c r="I484" s="140"/>
      <c r="J484" s="140"/>
      <c r="K484" s="140"/>
      <c r="L484" s="140"/>
    </row>
    <row r="485" spans="3:12">
      <c r="C485" s="140"/>
      <c r="D485" s="140"/>
      <c r="E485" s="140"/>
      <c r="F485" s="140"/>
      <c r="G485" s="140"/>
      <c r="H485" s="140"/>
      <c r="I485" s="140"/>
      <c r="J485" s="140"/>
      <c r="K485" s="140"/>
      <c r="L485" s="140"/>
    </row>
    <row r="486" spans="3:12">
      <c r="C486" s="140"/>
      <c r="D486" s="140"/>
      <c r="E486" s="140"/>
      <c r="F486" s="140"/>
      <c r="G486" s="140"/>
      <c r="H486" s="140"/>
      <c r="I486" s="140"/>
      <c r="J486" s="140"/>
      <c r="K486" s="140"/>
      <c r="L486" s="140"/>
    </row>
    <row r="487" spans="3:12">
      <c r="C487" s="140"/>
      <c r="D487" s="140"/>
      <c r="E487" s="140"/>
      <c r="F487" s="140"/>
      <c r="G487" s="140"/>
      <c r="H487" s="140"/>
      <c r="I487" s="140"/>
      <c r="J487" s="140"/>
      <c r="K487" s="140"/>
      <c r="L487" s="140"/>
    </row>
    <row r="488" spans="3:12">
      <c r="C488" s="140"/>
      <c r="D488" s="140"/>
      <c r="E488" s="140"/>
      <c r="F488" s="140"/>
      <c r="G488" s="140"/>
      <c r="H488" s="140"/>
      <c r="I488" s="140"/>
      <c r="J488" s="140"/>
      <c r="K488" s="140"/>
      <c r="L488" s="140"/>
    </row>
    <row r="489" spans="3:12">
      <c r="C489" s="140"/>
      <c r="D489" s="140"/>
      <c r="E489" s="140"/>
      <c r="F489" s="140"/>
      <c r="G489" s="140"/>
      <c r="H489" s="140"/>
      <c r="I489" s="140"/>
      <c r="J489" s="140"/>
      <c r="K489" s="140"/>
      <c r="L489" s="140"/>
    </row>
    <row r="490" spans="3:12">
      <c r="C490" s="140"/>
      <c r="D490" s="140"/>
      <c r="E490" s="140"/>
      <c r="F490" s="140"/>
      <c r="G490" s="140"/>
      <c r="H490" s="140"/>
      <c r="I490" s="140"/>
      <c r="J490" s="140"/>
      <c r="K490" s="140"/>
      <c r="L490" s="140"/>
    </row>
    <row r="491" spans="3:12">
      <c r="C491" s="140"/>
      <c r="D491" s="140"/>
      <c r="E491" s="140"/>
      <c r="F491" s="140"/>
      <c r="G491" s="140"/>
      <c r="H491" s="140"/>
      <c r="I491" s="140"/>
      <c r="J491" s="140"/>
      <c r="K491" s="140"/>
      <c r="L491" s="140"/>
    </row>
    <row r="492" spans="3:12">
      <c r="C492" s="140"/>
      <c r="D492" s="140"/>
      <c r="E492" s="140"/>
      <c r="F492" s="140"/>
      <c r="G492" s="140"/>
      <c r="H492" s="140"/>
      <c r="I492" s="140"/>
      <c r="J492" s="140"/>
      <c r="K492" s="140"/>
      <c r="L492" s="140"/>
    </row>
    <row r="493" spans="3:12">
      <c r="C493" s="140"/>
      <c r="D493" s="140"/>
      <c r="E493" s="140"/>
      <c r="F493" s="140"/>
      <c r="G493" s="140"/>
      <c r="H493" s="140"/>
      <c r="I493" s="140"/>
      <c r="J493" s="140"/>
      <c r="K493" s="140"/>
      <c r="L493" s="140"/>
    </row>
    <row r="494" spans="3:12">
      <c r="C494" s="140"/>
      <c r="D494" s="140"/>
      <c r="E494" s="140"/>
      <c r="F494" s="140"/>
      <c r="G494" s="140"/>
      <c r="H494" s="140"/>
      <c r="I494" s="140"/>
      <c r="J494" s="140"/>
      <c r="K494" s="140"/>
      <c r="L494" s="140"/>
    </row>
    <row r="495" spans="3:12">
      <c r="C495" s="140"/>
      <c r="D495" s="140"/>
      <c r="E495" s="140"/>
      <c r="F495" s="140"/>
      <c r="G495" s="140"/>
      <c r="H495" s="140"/>
      <c r="I495" s="140"/>
      <c r="J495" s="140"/>
      <c r="K495" s="140"/>
      <c r="L495" s="140"/>
    </row>
    <row r="496" spans="3:12">
      <c r="C496" s="140"/>
      <c r="D496" s="140"/>
      <c r="E496" s="140"/>
      <c r="F496" s="140"/>
      <c r="G496" s="140"/>
      <c r="H496" s="140"/>
      <c r="I496" s="140"/>
      <c r="J496" s="140"/>
      <c r="K496" s="140"/>
      <c r="L496" s="140"/>
    </row>
    <row r="497" spans="3:12">
      <c r="C497" s="140"/>
      <c r="D497" s="140"/>
      <c r="E497" s="140"/>
      <c r="F497" s="140"/>
      <c r="G497" s="140"/>
      <c r="H497" s="140"/>
      <c r="I497" s="140"/>
      <c r="J497" s="140"/>
      <c r="K497" s="140"/>
      <c r="L497" s="140"/>
    </row>
    <row r="498" spans="3:12">
      <c r="C498" s="140"/>
      <c r="D498" s="140"/>
      <c r="E498" s="140"/>
      <c r="F498" s="140"/>
      <c r="G498" s="140"/>
      <c r="H498" s="140"/>
      <c r="I498" s="140"/>
      <c r="J498" s="140"/>
      <c r="K498" s="140"/>
      <c r="L498" s="140"/>
    </row>
    <row r="499" spans="3:12">
      <c r="C499" s="140"/>
      <c r="D499" s="140"/>
      <c r="E499" s="140"/>
      <c r="F499" s="140"/>
      <c r="G499" s="140"/>
      <c r="H499" s="140"/>
      <c r="I499" s="140"/>
      <c r="J499" s="140"/>
      <c r="K499" s="140"/>
      <c r="L499" s="140"/>
    </row>
    <row r="500" spans="3:12">
      <c r="C500" s="140"/>
      <c r="D500" s="140"/>
      <c r="E500" s="140"/>
      <c r="F500" s="140"/>
      <c r="G500" s="140"/>
      <c r="H500" s="140"/>
      <c r="I500" s="140"/>
      <c r="J500" s="140"/>
      <c r="K500" s="140"/>
      <c r="L500" s="140"/>
    </row>
    <row r="501" spans="3:12">
      <c r="C501" s="140"/>
      <c r="D501" s="140"/>
      <c r="E501" s="140"/>
      <c r="F501" s="140"/>
      <c r="G501" s="140"/>
      <c r="H501" s="140"/>
      <c r="I501" s="140"/>
      <c r="J501" s="140"/>
      <c r="K501" s="140"/>
      <c r="L501" s="140"/>
    </row>
    <row r="502" spans="3:12">
      <c r="C502" s="140"/>
      <c r="D502" s="140"/>
      <c r="E502" s="140"/>
      <c r="F502" s="140"/>
      <c r="G502" s="140"/>
      <c r="H502" s="140"/>
      <c r="I502" s="140"/>
      <c r="J502" s="140"/>
      <c r="K502" s="140"/>
      <c r="L502" s="140"/>
    </row>
    <row r="503" spans="3:12">
      <c r="C503" s="140"/>
      <c r="D503" s="140"/>
      <c r="E503" s="140"/>
      <c r="F503" s="140"/>
      <c r="G503" s="140"/>
      <c r="H503" s="140"/>
      <c r="I503" s="140"/>
      <c r="J503" s="140"/>
      <c r="K503" s="140"/>
      <c r="L503" s="140"/>
    </row>
    <row r="504" spans="3:12">
      <c r="C504" s="140"/>
      <c r="D504" s="140"/>
      <c r="E504" s="140"/>
      <c r="F504" s="140"/>
      <c r="G504" s="140"/>
      <c r="H504" s="140"/>
      <c r="I504" s="140"/>
      <c r="J504" s="140"/>
      <c r="K504" s="140"/>
      <c r="L504" s="140"/>
    </row>
    <row r="505" spans="3:12">
      <c r="C505" s="140"/>
      <c r="D505" s="140"/>
      <c r="E505" s="140"/>
      <c r="F505" s="140"/>
      <c r="G505" s="140"/>
      <c r="H505" s="140"/>
      <c r="I505" s="140"/>
      <c r="J505" s="140"/>
      <c r="K505" s="140"/>
      <c r="L505" s="140"/>
    </row>
    <row r="506" spans="3:12">
      <c r="C506" s="140"/>
      <c r="D506" s="140"/>
      <c r="E506" s="140"/>
      <c r="F506" s="140"/>
      <c r="G506" s="140"/>
      <c r="H506" s="140"/>
      <c r="I506" s="140"/>
      <c r="J506" s="140"/>
      <c r="K506" s="140"/>
      <c r="L506" s="140"/>
    </row>
    <row r="507" spans="3:12">
      <c r="C507" s="140"/>
      <c r="D507" s="140"/>
      <c r="E507" s="140"/>
      <c r="F507" s="140"/>
      <c r="G507" s="140"/>
      <c r="H507" s="140"/>
      <c r="I507" s="140"/>
      <c r="J507" s="140"/>
      <c r="K507" s="140"/>
      <c r="L507" s="140"/>
    </row>
    <row r="508" spans="3:12">
      <c r="C508" s="140"/>
      <c r="D508" s="140"/>
      <c r="E508" s="140"/>
      <c r="F508" s="140"/>
      <c r="G508" s="140"/>
      <c r="H508" s="140"/>
      <c r="I508" s="140"/>
      <c r="J508" s="140"/>
      <c r="K508" s="140"/>
      <c r="L508" s="140"/>
    </row>
    <row r="509" spans="3:12">
      <c r="C509" s="140"/>
      <c r="D509" s="140"/>
      <c r="E509" s="140"/>
      <c r="F509" s="140"/>
      <c r="G509" s="140"/>
      <c r="H509" s="140"/>
      <c r="I509" s="140"/>
      <c r="J509" s="140"/>
      <c r="K509" s="140"/>
      <c r="L509" s="140"/>
    </row>
    <row r="510" spans="3:12">
      <c r="C510" s="140"/>
      <c r="D510" s="140"/>
      <c r="E510" s="140"/>
      <c r="F510" s="140"/>
      <c r="G510" s="140"/>
      <c r="H510" s="140"/>
      <c r="I510" s="140"/>
      <c r="J510" s="140"/>
      <c r="K510" s="140"/>
      <c r="L510" s="140"/>
    </row>
    <row r="511" spans="3:12">
      <c r="C511" s="140"/>
      <c r="D511" s="140"/>
      <c r="E511" s="140"/>
      <c r="F511" s="140"/>
      <c r="G511" s="140"/>
      <c r="H511" s="140"/>
      <c r="I511" s="140"/>
      <c r="J511" s="140"/>
      <c r="K511" s="140"/>
      <c r="L511" s="140"/>
    </row>
    <row r="512" spans="3:12">
      <c r="C512" s="140"/>
      <c r="D512" s="140"/>
      <c r="E512" s="140"/>
      <c r="F512" s="140"/>
      <c r="G512" s="140"/>
      <c r="H512" s="140"/>
      <c r="I512" s="140"/>
      <c r="J512" s="140"/>
      <c r="K512" s="140"/>
      <c r="L512" s="140"/>
    </row>
    <row r="513" spans="3:12">
      <c r="C513" s="140"/>
      <c r="D513" s="140"/>
      <c r="E513" s="140"/>
      <c r="F513" s="140"/>
      <c r="G513" s="140"/>
      <c r="H513" s="140"/>
      <c r="I513" s="140"/>
      <c r="J513" s="140"/>
      <c r="K513" s="140"/>
      <c r="L513" s="140"/>
    </row>
    <row r="514" spans="3:12">
      <c r="C514" s="140"/>
      <c r="D514" s="140"/>
      <c r="E514" s="140"/>
      <c r="F514" s="140"/>
      <c r="G514" s="140"/>
      <c r="H514" s="140"/>
      <c r="I514" s="140"/>
      <c r="J514" s="140"/>
      <c r="K514" s="140"/>
      <c r="L514" s="140"/>
    </row>
    <row r="515" spans="3:12">
      <c r="C515" s="140"/>
      <c r="D515" s="140"/>
      <c r="E515" s="140"/>
      <c r="F515" s="140"/>
      <c r="G515" s="140"/>
      <c r="H515" s="140"/>
      <c r="I515" s="140"/>
      <c r="J515" s="140"/>
      <c r="K515" s="140"/>
      <c r="L515" s="140"/>
    </row>
    <row r="516" spans="3:12">
      <c r="C516" s="140"/>
      <c r="D516" s="140"/>
      <c r="E516" s="140"/>
      <c r="F516" s="140"/>
      <c r="G516" s="140"/>
      <c r="H516" s="140"/>
      <c r="I516" s="140"/>
      <c r="J516" s="140"/>
      <c r="K516" s="140"/>
      <c r="L516" s="140"/>
    </row>
    <row r="517" spans="3:12">
      <c r="C517" s="140"/>
      <c r="D517" s="140"/>
      <c r="E517" s="140"/>
      <c r="F517" s="140"/>
      <c r="G517" s="140"/>
      <c r="H517" s="140"/>
      <c r="I517" s="140"/>
      <c r="J517" s="140"/>
      <c r="K517" s="140"/>
      <c r="L517" s="140"/>
    </row>
    <row r="518" spans="3:12">
      <c r="C518" s="140"/>
      <c r="D518" s="140"/>
      <c r="E518" s="140"/>
      <c r="F518" s="140"/>
      <c r="G518" s="140"/>
      <c r="H518" s="140"/>
      <c r="I518" s="140"/>
      <c r="J518" s="140"/>
      <c r="K518" s="140"/>
      <c r="L518" s="140"/>
    </row>
    <row r="519" spans="3:12">
      <c r="C519" s="140"/>
      <c r="D519" s="140"/>
      <c r="E519" s="140"/>
      <c r="F519" s="140"/>
      <c r="G519" s="140"/>
      <c r="H519" s="140"/>
      <c r="I519" s="140"/>
      <c r="J519" s="140"/>
      <c r="K519" s="140"/>
      <c r="L519" s="140"/>
    </row>
    <row r="520" spans="3:12">
      <c r="C520" s="140"/>
      <c r="D520" s="140"/>
      <c r="E520" s="140"/>
      <c r="F520" s="140"/>
      <c r="G520" s="140"/>
      <c r="H520" s="140"/>
      <c r="I520" s="140"/>
      <c r="J520" s="140"/>
      <c r="K520" s="140"/>
      <c r="L520" s="140"/>
    </row>
    <row r="521" spans="3:12">
      <c r="C521" s="140"/>
      <c r="D521" s="140"/>
      <c r="E521" s="140"/>
      <c r="F521" s="140"/>
      <c r="G521" s="140"/>
      <c r="H521" s="140"/>
      <c r="I521" s="140"/>
      <c r="J521" s="140"/>
      <c r="K521" s="140"/>
      <c r="L521" s="140"/>
    </row>
    <row r="522" spans="3:12">
      <c r="C522" s="140"/>
      <c r="D522" s="140"/>
      <c r="E522" s="140"/>
      <c r="F522" s="140"/>
      <c r="G522" s="140"/>
      <c r="H522" s="140"/>
      <c r="I522" s="140"/>
      <c r="J522" s="140"/>
      <c r="K522" s="140"/>
      <c r="L522" s="140"/>
    </row>
    <row r="523" spans="3:12">
      <c r="C523" s="140"/>
      <c r="D523" s="140"/>
      <c r="E523" s="140"/>
      <c r="F523" s="140"/>
      <c r="G523" s="140"/>
      <c r="H523" s="140"/>
      <c r="I523" s="140"/>
      <c r="J523" s="140"/>
      <c r="K523" s="140"/>
      <c r="L523" s="140"/>
    </row>
    <row r="524" spans="3:12">
      <c r="C524" s="140"/>
      <c r="D524" s="140"/>
      <c r="E524" s="140"/>
      <c r="F524" s="140"/>
      <c r="G524" s="140"/>
      <c r="H524" s="140"/>
      <c r="I524" s="140"/>
      <c r="J524" s="140"/>
      <c r="K524" s="140"/>
      <c r="L524" s="140"/>
    </row>
    <row r="525" spans="3:12">
      <c r="C525" s="140"/>
      <c r="D525" s="140"/>
      <c r="E525" s="140"/>
      <c r="F525" s="140"/>
      <c r="G525" s="140"/>
      <c r="H525" s="140"/>
      <c r="I525" s="140"/>
      <c r="J525" s="140"/>
      <c r="K525" s="140"/>
      <c r="L525" s="140"/>
    </row>
    <row r="526" spans="3:12">
      <c r="C526" s="140"/>
      <c r="D526" s="140"/>
      <c r="E526" s="140"/>
      <c r="F526" s="140"/>
      <c r="G526" s="140"/>
      <c r="H526" s="140"/>
      <c r="I526" s="140"/>
      <c r="J526" s="140"/>
      <c r="K526" s="140"/>
      <c r="L526" s="140"/>
    </row>
    <row r="527" spans="3:12">
      <c r="C527" s="140"/>
      <c r="D527" s="140"/>
      <c r="E527" s="140"/>
      <c r="F527" s="140"/>
      <c r="G527" s="140"/>
      <c r="H527" s="140"/>
      <c r="I527" s="140"/>
      <c r="J527" s="140"/>
      <c r="K527" s="140"/>
      <c r="L527" s="140"/>
    </row>
    <row r="528" spans="3:12">
      <c r="C528" s="140"/>
      <c r="D528" s="140"/>
      <c r="E528" s="140"/>
      <c r="F528" s="140"/>
      <c r="G528" s="140"/>
      <c r="H528" s="140"/>
      <c r="I528" s="140"/>
      <c r="J528" s="140"/>
      <c r="K528" s="140"/>
      <c r="L528" s="140"/>
    </row>
    <row r="529" spans="3:12">
      <c r="C529" s="140"/>
      <c r="D529" s="140"/>
      <c r="E529" s="140"/>
      <c r="F529" s="140"/>
      <c r="G529" s="140"/>
      <c r="H529" s="140"/>
      <c r="I529" s="140"/>
      <c r="J529" s="140"/>
      <c r="K529" s="140"/>
      <c r="L529" s="140"/>
    </row>
    <row r="530" spans="3:12">
      <c r="C530" s="140"/>
      <c r="D530" s="140"/>
      <c r="E530" s="140"/>
      <c r="F530" s="140"/>
      <c r="G530" s="140"/>
      <c r="H530" s="140"/>
      <c r="I530" s="140"/>
      <c r="J530" s="140"/>
      <c r="K530" s="140"/>
      <c r="L530" s="140"/>
    </row>
    <row r="531" spans="3:12">
      <c r="C531" s="140"/>
      <c r="D531" s="140"/>
      <c r="E531" s="140"/>
      <c r="F531" s="140"/>
      <c r="G531" s="140"/>
      <c r="H531" s="140"/>
      <c r="I531" s="140"/>
      <c r="J531" s="140"/>
      <c r="K531" s="140"/>
      <c r="L531" s="140"/>
    </row>
    <row r="532" spans="3:12">
      <c r="C532" s="140"/>
      <c r="D532" s="140"/>
      <c r="E532" s="140"/>
      <c r="F532" s="140"/>
      <c r="G532" s="140"/>
      <c r="H532" s="140"/>
      <c r="I532" s="140"/>
      <c r="J532" s="140"/>
      <c r="K532" s="140"/>
      <c r="L532" s="140"/>
    </row>
    <row r="533" spans="3:12">
      <c r="C533" s="140"/>
      <c r="D533" s="140"/>
      <c r="E533" s="140"/>
      <c r="F533" s="140"/>
      <c r="G533" s="140"/>
      <c r="H533" s="140"/>
      <c r="I533" s="140"/>
      <c r="J533" s="140"/>
      <c r="K533" s="140"/>
      <c r="L533" s="140"/>
    </row>
    <row r="534" spans="3:12">
      <c r="C534" s="140"/>
      <c r="D534" s="140"/>
      <c r="E534" s="140"/>
      <c r="F534" s="140"/>
      <c r="G534" s="140"/>
      <c r="H534" s="140"/>
      <c r="I534" s="140"/>
      <c r="J534" s="140"/>
      <c r="K534" s="140"/>
      <c r="L534" s="140"/>
    </row>
    <row r="535" spans="3:12">
      <c r="C535" s="140"/>
      <c r="D535" s="140"/>
      <c r="E535" s="140"/>
      <c r="F535" s="140"/>
      <c r="G535" s="140"/>
      <c r="H535" s="140"/>
      <c r="I535" s="140"/>
      <c r="J535" s="140"/>
      <c r="K535" s="140"/>
      <c r="L535" s="140"/>
    </row>
    <row r="536" spans="3:12">
      <c r="C536" s="140"/>
      <c r="D536" s="140"/>
      <c r="E536" s="140"/>
      <c r="F536" s="140"/>
      <c r="G536" s="140"/>
      <c r="H536" s="140"/>
      <c r="I536" s="140"/>
      <c r="J536" s="140"/>
      <c r="K536" s="140"/>
      <c r="L536" s="140"/>
    </row>
    <row r="537" spans="3:12">
      <c r="C537" s="140"/>
      <c r="D537" s="140"/>
      <c r="E537" s="140"/>
      <c r="F537" s="140"/>
      <c r="G537" s="140"/>
      <c r="H537" s="140"/>
      <c r="I537" s="140"/>
      <c r="J537" s="140"/>
      <c r="K537" s="140"/>
      <c r="L537" s="140"/>
    </row>
    <row r="538" spans="3:12">
      <c r="C538" s="140"/>
      <c r="D538" s="140"/>
      <c r="E538" s="140"/>
      <c r="F538" s="140"/>
      <c r="G538" s="140"/>
      <c r="H538" s="140"/>
      <c r="I538" s="140"/>
      <c r="J538" s="140"/>
      <c r="K538" s="140"/>
      <c r="L538" s="140"/>
    </row>
    <row r="539" spans="3:12">
      <c r="C539" s="140"/>
      <c r="D539" s="140"/>
      <c r="E539" s="140"/>
      <c r="F539" s="140"/>
      <c r="G539" s="140"/>
      <c r="H539" s="140"/>
      <c r="I539" s="140"/>
      <c r="J539" s="140"/>
      <c r="K539" s="140"/>
      <c r="L539" s="140"/>
    </row>
    <row r="540" spans="3:12">
      <c r="C540" s="140"/>
      <c r="D540" s="140"/>
      <c r="E540" s="140"/>
      <c r="F540" s="140"/>
      <c r="G540" s="140"/>
      <c r="H540" s="140"/>
      <c r="I540" s="140"/>
      <c r="J540" s="140"/>
      <c r="K540" s="140"/>
      <c r="L540" s="140"/>
    </row>
    <row r="541" spans="3:12">
      <c r="C541" s="140"/>
      <c r="D541" s="140"/>
      <c r="E541" s="140"/>
      <c r="F541" s="140"/>
      <c r="G541" s="140"/>
      <c r="H541" s="140"/>
      <c r="I541" s="140"/>
      <c r="J541" s="140"/>
      <c r="K541" s="140"/>
      <c r="L541" s="140"/>
    </row>
    <row r="542" spans="3:12">
      <c r="C542" s="140"/>
      <c r="D542" s="140"/>
      <c r="E542" s="140"/>
      <c r="F542" s="140"/>
      <c r="G542" s="140"/>
      <c r="H542" s="140"/>
      <c r="I542" s="140"/>
      <c r="J542" s="140"/>
      <c r="K542" s="140"/>
      <c r="L542" s="140"/>
    </row>
    <row r="543" spans="3:12">
      <c r="C543" s="140"/>
      <c r="D543" s="140"/>
      <c r="E543" s="140"/>
      <c r="F543" s="140"/>
      <c r="G543" s="140"/>
      <c r="H543" s="140"/>
      <c r="I543" s="140"/>
      <c r="J543" s="140"/>
      <c r="K543" s="140"/>
      <c r="L543" s="140"/>
    </row>
    <row r="544" spans="3:12">
      <c r="C544" s="140"/>
      <c r="D544" s="140"/>
      <c r="E544" s="140"/>
      <c r="F544" s="140"/>
      <c r="G544" s="140"/>
      <c r="H544" s="140"/>
      <c r="I544" s="140"/>
      <c r="J544" s="140"/>
      <c r="K544" s="140"/>
      <c r="L544" s="140"/>
    </row>
    <row r="545" spans="3:12">
      <c r="C545" s="140"/>
      <c r="D545" s="140"/>
      <c r="E545" s="140"/>
      <c r="F545" s="140"/>
      <c r="G545" s="140"/>
      <c r="H545" s="140"/>
      <c r="I545" s="140"/>
      <c r="J545" s="140"/>
      <c r="K545" s="140"/>
      <c r="L545" s="140"/>
    </row>
    <row r="546" spans="3:12">
      <c r="C546" s="140"/>
      <c r="D546" s="140"/>
      <c r="E546" s="140"/>
      <c r="F546" s="140"/>
      <c r="G546" s="140"/>
      <c r="H546" s="140"/>
      <c r="I546" s="140"/>
      <c r="J546" s="140"/>
      <c r="K546" s="140"/>
      <c r="L546" s="140"/>
    </row>
    <row r="547" spans="3:12">
      <c r="C547" s="140"/>
      <c r="D547" s="140"/>
      <c r="E547" s="140"/>
      <c r="F547" s="140"/>
      <c r="G547" s="140"/>
      <c r="H547" s="140"/>
      <c r="I547" s="140"/>
      <c r="J547" s="140"/>
      <c r="K547" s="140"/>
      <c r="L547" s="140"/>
    </row>
    <row r="548" spans="3:12">
      <c r="C548" s="140"/>
      <c r="D548" s="140"/>
      <c r="E548" s="140"/>
      <c r="F548" s="140"/>
      <c r="G548" s="140"/>
      <c r="H548" s="140"/>
      <c r="I548" s="140"/>
      <c r="J548" s="140"/>
      <c r="K548" s="140"/>
      <c r="L548" s="140"/>
    </row>
    <row r="549" spans="3:12">
      <c r="C549" s="140"/>
      <c r="D549" s="140"/>
      <c r="E549" s="140"/>
      <c r="F549" s="140"/>
      <c r="G549" s="140"/>
      <c r="H549" s="140"/>
      <c r="I549" s="140"/>
      <c r="J549" s="140"/>
      <c r="K549" s="140"/>
      <c r="L549" s="140"/>
    </row>
    <row r="550" spans="3:12">
      <c r="C550" s="140"/>
      <c r="D550" s="140"/>
      <c r="E550" s="140"/>
      <c r="F550" s="140"/>
      <c r="G550" s="140"/>
      <c r="H550" s="140"/>
      <c r="I550" s="140"/>
      <c r="J550" s="140"/>
      <c r="K550" s="140"/>
      <c r="L550" s="140"/>
    </row>
    <row r="551" spans="3:12">
      <c r="C551" s="140"/>
      <c r="D551" s="140"/>
      <c r="E551" s="140"/>
      <c r="F551" s="140"/>
      <c r="G551" s="140"/>
      <c r="H551" s="140"/>
      <c r="I551" s="140"/>
      <c r="J551" s="140"/>
      <c r="K551" s="140"/>
      <c r="L551" s="140"/>
    </row>
    <row r="552" spans="3:12">
      <c r="C552" s="140"/>
      <c r="D552" s="140"/>
      <c r="E552" s="140"/>
      <c r="F552" s="140"/>
      <c r="G552" s="140"/>
      <c r="H552" s="140"/>
      <c r="I552" s="140"/>
      <c r="J552" s="140"/>
      <c r="K552" s="140"/>
      <c r="L552" s="140"/>
    </row>
    <row r="553" spans="3:12">
      <c r="C553" s="140"/>
      <c r="D553" s="140"/>
      <c r="E553" s="140"/>
      <c r="F553" s="140"/>
      <c r="G553" s="140"/>
      <c r="H553" s="140"/>
      <c r="I553" s="140"/>
      <c r="J553" s="140"/>
      <c r="K553" s="140"/>
      <c r="L553" s="140"/>
    </row>
    <row r="554" spans="3:12">
      <c r="C554" s="140"/>
      <c r="D554" s="140"/>
      <c r="E554" s="140"/>
      <c r="F554" s="140"/>
      <c r="G554" s="140"/>
      <c r="H554" s="140"/>
      <c r="I554" s="140"/>
      <c r="J554" s="140"/>
      <c r="K554" s="140"/>
      <c r="L554" s="140"/>
    </row>
    <row r="555" spans="3:12">
      <c r="C555" s="140"/>
      <c r="D555" s="140"/>
      <c r="E555" s="140"/>
      <c r="F555" s="140"/>
      <c r="G555" s="140"/>
      <c r="H555" s="140"/>
      <c r="I555" s="140"/>
      <c r="J555" s="140"/>
      <c r="K555" s="140"/>
      <c r="L555" s="140"/>
    </row>
    <row r="556" spans="3:12">
      <c r="C556" s="140"/>
      <c r="D556" s="140"/>
      <c r="E556" s="140"/>
      <c r="F556" s="140"/>
      <c r="G556" s="140"/>
      <c r="H556" s="140"/>
      <c r="I556" s="140"/>
      <c r="J556" s="140"/>
      <c r="K556" s="140"/>
      <c r="L556" s="140"/>
    </row>
    <row r="557" spans="3:12">
      <c r="C557" s="140"/>
      <c r="D557" s="140"/>
      <c r="E557" s="140"/>
      <c r="F557" s="140"/>
      <c r="G557" s="140"/>
      <c r="H557" s="140"/>
      <c r="I557" s="140"/>
      <c r="J557" s="140"/>
      <c r="K557" s="140"/>
      <c r="L557" s="140"/>
    </row>
    <row r="558" spans="3:12">
      <c r="C558" s="140"/>
      <c r="D558" s="140"/>
      <c r="E558" s="140"/>
      <c r="F558" s="140"/>
      <c r="G558" s="140"/>
      <c r="H558" s="140"/>
      <c r="I558" s="140"/>
      <c r="J558" s="140"/>
      <c r="K558" s="140"/>
      <c r="L558" s="140"/>
    </row>
    <row r="559" spans="3:12">
      <c r="C559" s="140"/>
      <c r="D559" s="140"/>
      <c r="E559" s="140"/>
      <c r="F559" s="140"/>
      <c r="G559" s="140"/>
      <c r="H559" s="140"/>
      <c r="I559" s="140"/>
      <c r="J559" s="140"/>
      <c r="K559" s="140"/>
      <c r="L559" s="140"/>
    </row>
    <row r="560" spans="3:12">
      <c r="C560" s="140"/>
      <c r="D560" s="140"/>
      <c r="E560" s="140"/>
      <c r="F560" s="140"/>
      <c r="G560" s="140"/>
      <c r="H560" s="140"/>
      <c r="I560" s="140"/>
      <c r="J560" s="140"/>
      <c r="K560" s="140"/>
      <c r="L560" s="140"/>
    </row>
    <row r="561" spans="3:12">
      <c r="C561" s="140"/>
      <c r="D561" s="140"/>
      <c r="E561" s="140"/>
      <c r="F561" s="140"/>
      <c r="G561" s="140"/>
      <c r="H561" s="140"/>
      <c r="I561" s="140"/>
      <c r="J561" s="140"/>
      <c r="K561" s="140"/>
      <c r="L561" s="140"/>
    </row>
    <row r="562" spans="3:12">
      <c r="C562" s="140"/>
      <c r="D562" s="140"/>
      <c r="E562" s="140"/>
      <c r="F562" s="140"/>
      <c r="G562" s="140"/>
      <c r="H562" s="140"/>
      <c r="I562" s="140"/>
      <c r="J562" s="140"/>
      <c r="K562" s="140"/>
      <c r="L562" s="140"/>
    </row>
    <row r="563" spans="3:12">
      <c r="C563" s="140"/>
      <c r="D563" s="140"/>
      <c r="E563" s="140"/>
      <c r="F563" s="140"/>
      <c r="G563" s="140"/>
      <c r="H563" s="140"/>
      <c r="I563" s="140"/>
      <c r="J563" s="140"/>
      <c r="K563" s="140"/>
      <c r="L563" s="140"/>
    </row>
    <row r="564" spans="3:12">
      <c r="C564" s="140"/>
      <c r="D564" s="140"/>
      <c r="E564" s="140"/>
      <c r="F564" s="140"/>
      <c r="G564" s="140"/>
      <c r="H564" s="140"/>
      <c r="I564" s="140"/>
      <c r="J564" s="140"/>
      <c r="K564" s="140"/>
      <c r="L564" s="140"/>
    </row>
    <row r="565" spans="3:12">
      <c r="C565" s="140"/>
      <c r="D565" s="140"/>
      <c r="E565" s="140"/>
      <c r="F565" s="140"/>
      <c r="G565" s="140"/>
      <c r="H565" s="140"/>
      <c r="I565" s="140"/>
      <c r="J565" s="140"/>
      <c r="K565" s="140"/>
      <c r="L565" s="140"/>
    </row>
    <row r="566" spans="3:12">
      <c r="C566" s="140"/>
      <c r="D566" s="140"/>
      <c r="E566" s="140"/>
      <c r="F566" s="140"/>
      <c r="G566" s="140"/>
      <c r="H566" s="140"/>
      <c r="I566" s="140"/>
      <c r="J566" s="140"/>
      <c r="K566" s="140"/>
      <c r="L566" s="140"/>
    </row>
    <row r="567" spans="3:12">
      <c r="C567" s="140"/>
      <c r="D567" s="140"/>
      <c r="E567" s="140"/>
      <c r="F567" s="140"/>
      <c r="G567" s="140"/>
      <c r="H567" s="140"/>
      <c r="I567" s="140"/>
      <c r="J567" s="140"/>
      <c r="K567" s="140"/>
      <c r="L567" s="140"/>
    </row>
    <row r="568" spans="3:12">
      <c r="C568" s="140"/>
      <c r="D568" s="140"/>
      <c r="E568" s="140"/>
      <c r="F568" s="140"/>
      <c r="G568" s="140"/>
      <c r="H568" s="140"/>
      <c r="I568" s="140"/>
      <c r="J568" s="140"/>
      <c r="K568" s="140"/>
      <c r="L568" s="140"/>
    </row>
    <row r="569" spans="3:12">
      <c r="C569" s="140"/>
      <c r="D569" s="140"/>
      <c r="E569" s="140"/>
      <c r="F569" s="140"/>
      <c r="G569" s="140"/>
      <c r="H569" s="140"/>
      <c r="I569" s="140"/>
      <c r="J569" s="140"/>
      <c r="K569" s="140"/>
      <c r="L569" s="140"/>
    </row>
    <row r="570" spans="3:12">
      <c r="C570" s="140"/>
      <c r="D570" s="140"/>
      <c r="E570" s="140"/>
      <c r="F570" s="140"/>
      <c r="G570" s="140"/>
      <c r="H570" s="140"/>
      <c r="I570" s="140"/>
      <c r="J570" s="140"/>
      <c r="K570" s="140"/>
      <c r="L570" s="140"/>
    </row>
    <row r="571" spans="3:12">
      <c r="C571" s="140"/>
      <c r="D571" s="140"/>
      <c r="E571" s="140"/>
      <c r="F571" s="140"/>
      <c r="G571" s="140"/>
      <c r="H571" s="140"/>
      <c r="I571" s="140"/>
      <c r="J571" s="140"/>
      <c r="K571" s="140"/>
      <c r="L571" s="140"/>
    </row>
    <row r="572" spans="3:12">
      <c r="C572" s="140"/>
      <c r="D572" s="140"/>
      <c r="E572" s="140"/>
      <c r="F572" s="140"/>
      <c r="G572" s="140"/>
      <c r="H572" s="140"/>
      <c r="I572" s="140"/>
      <c r="J572" s="140"/>
      <c r="K572" s="140"/>
      <c r="L572" s="140"/>
    </row>
    <row r="573" spans="3:12">
      <c r="C573" s="140"/>
      <c r="D573" s="140"/>
      <c r="E573" s="140"/>
      <c r="F573" s="140"/>
      <c r="G573" s="140"/>
      <c r="H573" s="140"/>
      <c r="I573" s="140"/>
      <c r="J573" s="140"/>
      <c r="K573" s="140"/>
      <c r="L573" s="140"/>
    </row>
    <row r="574" spans="3:12">
      <c r="C574" s="140"/>
      <c r="D574" s="140"/>
      <c r="E574" s="140"/>
      <c r="F574" s="140"/>
      <c r="G574" s="140"/>
      <c r="H574" s="140"/>
      <c r="I574" s="140"/>
      <c r="J574" s="140"/>
      <c r="K574" s="140"/>
      <c r="L574" s="140"/>
    </row>
    <row r="575" spans="3:12">
      <c r="C575" s="140"/>
      <c r="D575" s="140"/>
      <c r="E575" s="140"/>
      <c r="F575" s="140"/>
      <c r="G575" s="140"/>
      <c r="H575" s="140"/>
      <c r="I575" s="140"/>
      <c r="J575" s="140"/>
      <c r="K575" s="140"/>
      <c r="L575" s="140"/>
    </row>
    <row r="576" spans="3:12">
      <c r="C576" s="140"/>
      <c r="D576" s="140"/>
      <c r="E576" s="140"/>
      <c r="F576" s="140"/>
      <c r="G576" s="140"/>
      <c r="H576" s="140"/>
      <c r="I576" s="140"/>
      <c r="J576" s="140"/>
      <c r="K576" s="140"/>
      <c r="L576" s="140"/>
    </row>
    <row r="577" spans="3:12">
      <c r="C577" s="140"/>
      <c r="D577" s="140"/>
      <c r="E577" s="140"/>
      <c r="F577" s="140"/>
      <c r="G577" s="140"/>
      <c r="H577" s="140"/>
      <c r="I577" s="140"/>
      <c r="J577" s="140"/>
      <c r="K577" s="140"/>
      <c r="L577" s="140"/>
    </row>
    <row r="578" spans="3:12">
      <c r="C578" s="140"/>
      <c r="D578" s="140"/>
      <c r="E578" s="140"/>
      <c r="F578" s="140"/>
      <c r="G578" s="140"/>
      <c r="H578" s="140"/>
      <c r="I578" s="140"/>
      <c r="J578" s="140"/>
      <c r="K578" s="140"/>
      <c r="L578" s="140"/>
    </row>
    <row r="579" spans="3:12">
      <c r="C579" s="140"/>
      <c r="D579" s="140"/>
      <c r="E579" s="140"/>
      <c r="F579" s="140"/>
      <c r="G579" s="140"/>
      <c r="H579" s="140"/>
      <c r="I579" s="140"/>
      <c r="J579" s="140"/>
      <c r="K579" s="140"/>
      <c r="L579" s="140"/>
    </row>
    <row r="580" spans="3:12">
      <c r="C580" s="140"/>
      <c r="D580" s="140"/>
      <c r="E580" s="140"/>
      <c r="F580" s="140"/>
      <c r="G580" s="140"/>
      <c r="H580" s="140"/>
      <c r="I580" s="140"/>
      <c r="J580" s="140"/>
      <c r="K580" s="140"/>
      <c r="L580" s="140"/>
    </row>
    <row r="581" spans="3:12">
      <c r="C581" s="140"/>
      <c r="D581" s="140"/>
      <c r="E581" s="140"/>
      <c r="F581" s="140"/>
      <c r="G581" s="140"/>
      <c r="H581" s="140"/>
      <c r="I581" s="140"/>
      <c r="J581" s="140"/>
      <c r="K581" s="140"/>
      <c r="L581" s="140"/>
    </row>
    <row r="582" spans="3:12">
      <c r="C582" s="140"/>
      <c r="D582" s="140"/>
      <c r="E582" s="140"/>
      <c r="F582" s="140"/>
      <c r="G582" s="140"/>
      <c r="H582" s="140"/>
      <c r="I582" s="140"/>
      <c r="J582" s="140"/>
      <c r="K582" s="140"/>
      <c r="L582" s="140"/>
    </row>
    <row r="583" spans="3:12">
      <c r="C583" s="140"/>
      <c r="D583" s="140"/>
      <c r="E583" s="140"/>
      <c r="F583" s="140"/>
      <c r="G583" s="140"/>
      <c r="H583" s="140"/>
      <c r="I583" s="140"/>
      <c r="J583" s="140"/>
      <c r="K583" s="140"/>
      <c r="L583" s="140"/>
    </row>
    <row r="584" spans="3:12">
      <c r="C584" s="140"/>
      <c r="D584" s="140"/>
      <c r="E584" s="140"/>
      <c r="F584" s="140"/>
      <c r="G584" s="140"/>
      <c r="H584" s="140"/>
      <c r="I584" s="140"/>
      <c r="J584" s="140"/>
      <c r="K584" s="140"/>
      <c r="L584" s="140"/>
    </row>
    <row r="585" spans="3:12">
      <c r="C585" s="140"/>
      <c r="D585" s="140"/>
      <c r="E585" s="140"/>
      <c r="F585" s="140"/>
      <c r="G585" s="140"/>
      <c r="H585" s="140"/>
      <c r="I585" s="140"/>
      <c r="J585" s="140"/>
      <c r="K585" s="140"/>
      <c r="L585" s="140"/>
    </row>
    <row r="586" spans="3:12">
      <c r="C586" s="140"/>
      <c r="D586" s="140"/>
      <c r="E586" s="140"/>
      <c r="F586" s="140"/>
      <c r="G586" s="140"/>
      <c r="H586" s="140"/>
      <c r="I586" s="140"/>
      <c r="J586" s="140"/>
      <c r="K586" s="140"/>
      <c r="L586" s="140"/>
    </row>
    <row r="587" spans="3:12">
      <c r="C587" s="140"/>
      <c r="D587" s="140"/>
      <c r="E587" s="140"/>
      <c r="F587" s="140"/>
      <c r="G587" s="140"/>
      <c r="H587" s="140"/>
      <c r="I587" s="140"/>
      <c r="J587" s="140"/>
      <c r="K587" s="140"/>
      <c r="L587" s="140"/>
    </row>
    <row r="588" spans="3:12">
      <c r="C588" s="140"/>
      <c r="D588" s="140"/>
      <c r="E588" s="140"/>
      <c r="F588" s="140"/>
      <c r="G588" s="140"/>
      <c r="H588" s="140"/>
      <c r="I588" s="140"/>
      <c r="J588" s="140"/>
      <c r="K588" s="140"/>
      <c r="L588" s="140"/>
    </row>
    <row r="589" spans="3:12">
      <c r="C589" s="140"/>
      <c r="D589" s="140"/>
      <c r="E589" s="140"/>
      <c r="F589" s="140"/>
      <c r="G589" s="140"/>
      <c r="H589" s="140"/>
      <c r="I589" s="140"/>
      <c r="J589" s="140"/>
      <c r="K589" s="140"/>
      <c r="L589" s="140"/>
    </row>
    <row r="590" spans="3:12">
      <c r="C590" s="140"/>
      <c r="D590" s="140"/>
      <c r="E590" s="140"/>
      <c r="F590" s="140"/>
      <c r="G590" s="140"/>
      <c r="H590" s="140"/>
      <c r="I590" s="140"/>
      <c r="J590" s="140"/>
      <c r="K590" s="140"/>
      <c r="L590" s="140"/>
    </row>
    <row r="591" spans="3:12">
      <c r="C591" s="140"/>
      <c r="D591" s="140"/>
      <c r="E591" s="140"/>
      <c r="F591" s="140"/>
      <c r="G591" s="140"/>
      <c r="H591" s="140"/>
      <c r="I591" s="140"/>
      <c r="J591" s="140"/>
      <c r="K591" s="140"/>
      <c r="L591" s="140"/>
    </row>
    <row r="592" spans="3:12">
      <c r="C592" s="140"/>
      <c r="D592" s="140"/>
      <c r="E592" s="140"/>
      <c r="F592" s="140"/>
      <c r="G592" s="140"/>
      <c r="H592" s="140"/>
      <c r="I592" s="140"/>
      <c r="J592" s="140"/>
      <c r="K592" s="140"/>
      <c r="L592" s="140"/>
    </row>
    <row r="593" spans="3:12">
      <c r="C593" s="140"/>
      <c r="D593" s="140"/>
      <c r="E593" s="140"/>
      <c r="F593" s="140"/>
      <c r="G593" s="140"/>
      <c r="H593" s="140"/>
      <c r="I593" s="140"/>
      <c r="J593" s="140"/>
      <c r="K593" s="140"/>
      <c r="L593" s="140"/>
    </row>
    <row r="594" spans="3:12">
      <c r="C594" s="140"/>
      <c r="D594" s="140"/>
      <c r="E594" s="140"/>
      <c r="F594" s="140"/>
      <c r="G594" s="140"/>
      <c r="H594" s="140"/>
      <c r="I594" s="140"/>
      <c r="J594" s="140"/>
      <c r="K594" s="140"/>
      <c r="L594" s="140"/>
    </row>
    <row r="595" spans="3:12">
      <c r="C595" s="140"/>
      <c r="D595" s="140"/>
      <c r="E595" s="140"/>
      <c r="F595" s="140"/>
      <c r="G595" s="140"/>
      <c r="H595" s="140"/>
      <c r="I595" s="140"/>
      <c r="J595" s="140"/>
      <c r="K595" s="140"/>
      <c r="L595" s="140"/>
    </row>
    <row r="596" spans="3:12">
      <c r="C596" s="140"/>
      <c r="D596" s="140"/>
      <c r="E596" s="140"/>
      <c r="F596" s="140"/>
      <c r="G596" s="140"/>
      <c r="H596" s="140"/>
      <c r="I596" s="140"/>
      <c r="J596" s="140"/>
      <c r="K596" s="140"/>
      <c r="L596" s="140"/>
    </row>
    <row r="597" spans="3:12">
      <c r="C597" s="140"/>
      <c r="D597" s="140"/>
      <c r="E597" s="140"/>
      <c r="F597" s="140"/>
      <c r="G597" s="140"/>
      <c r="H597" s="140"/>
      <c r="I597" s="140"/>
      <c r="J597" s="140"/>
      <c r="K597" s="140"/>
      <c r="L597" s="140"/>
    </row>
    <row r="598" spans="3:12">
      <c r="C598" s="140"/>
      <c r="D598" s="140"/>
      <c r="E598" s="140"/>
      <c r="F598" s="140"/>
      <c r="G598" s="140"/>
      <c r="H598" s="140"/>
      <c r="I598" s="140"/>
      <c r="J598" s="140"/>
      <c r="K598" s="140"/>
      <c r="L598" s="140"/>
    </row>
    <row r="599" spans="3:12">
      <c r="C599" s="140"/>
      <c r="D599" s="140"/>
      <c r="E599" s="140"/>
      <c r="F599" s="140"/>
      <c r="G599" s="140"/>
      <c r="H599" s="140"/>
      <c r="I599" s="140"/>
      <c r="J599" s="140"/>
      <c r="K599" s="140"/>
      <c r="L599" s="140"/>
    </row>
    <row r="600" spans="3:12">
      <c r="C600" s="140"/>
      <c r="D600" s="140"/>
      <c r="E600" s="140"/>
      <c r="F600" s="140"/>
      <c r="G600" s="140"/>
      <c r="H600" s="140"/>
      <c r="I600" s="140"/>
      <c r="J600" s="140"/>
      <c r="K600" s="140"/>
      <c r="L600" s="140"/>
    </row>
    <row r="601" spans="3:12">
      <c r="C601" s="140"/>
      <c r="D601" s="140"/>
      <c r="E601" s="140"/>
      <c r="F601" s="140"/>
      <c r="G601" s="140"/>
      <c r="H601" s="140"/>
      <c r="I601" s="140"/>
      <c r="J601" s="140"/>
      <c r="K601" s="140"/>
      <c r="L601" s="140"/>
    </row>
    <row r="602" spans="3:12">
      <c r="C602" s="140"/>
      <c r="D602" s="140"/>
      <c r="E602" s="140"/>
      <c r="F602" s="140"/>
      <c r="G602" s="140"/>
      <c r="H602" s="140"/>
      <c r="I602" s="140"/>
      <c r="J602" s="140"/>
      <c r="K602" s="140"/>
      <c r="L602" s="140"/>
    </row>
    <row r="603" spans="3:12">
      <c r="C603" s="140"/>
      <c r="D603" s="140"/>
      <c r="E603" s="140"/>
      <c r="F603" s="140"/>
      <c r="G603" s="140"/>
      <c r="H603" s="140"/>
      <c r="I603" s="140"/>
      <c r="J603" s="140"/>
      <c r="K603" s="140"/>
      <c r="L603" s="140"/>
    </row>
    <row r="604" spans="3:12">
      <c r="C604" s="140"/>
      <c r="D604" s="140"/>
      <c r="E604" s="140"/>
      <c r="F604" s="140"/>
      <c r="G604" s="140"/>
      <c r="H604" s="140"/>
      <c r="I604" s="140"/>
      <c r="J604" s="140"/>
      <c r="K604" s="140"/>
      <c r="L604" s="140"/>
    </row>
    <row r="605" spans="3:12">
      <c r="C605" s="140"/>
      <c r="D605" s="140"/>
      <c r="E605" s="140"/>
      <c r="F605" s="140"/>
      <c r="G605" s="140"/>
      <c r="H605" s="140"/>
      <c r="I605" s="140"/>
      <c r="J605" s="140"/>
      <c r="K605" s="140"/>
      <c r="L605" s="140"/>
    </row>
    <row r="606" spans="3:12">
      <c r="C606" s="140"/>
      <c r="D606" s="140"/>
      <c r="E606" s="140"/>
      <c r="F606" s="140"/>
      <c r="G606" s="140"/>
      <c r="H606" s="140"/>
      <c r="I606" s="140"/>
      <c r="J606" s="140"/>
      <c r="K606" s="140"/>
      <c r="L606" s="140"/>
    </row>
    <row r="607" spans="3:12">
      <c r="C607" s="140"/>
      <c r="D607" s="140"/>
      <c r="E607" s="140"/>
      <c r="F607" s="140"/>
      <c r="G607" s="140"/>
      <c r="H607" s="140"/>
      <c r="I607" s="140"/>
      <c r="J607" s="140"/>
      <c r="K607" s="140"/>
      <c r="L607" s="140"/>
    </row>
    <row r="608" spans="3:12">
      <c r="C608" s="140"/>
      <c r="D608" s="140"/>
      <c r="E608" s="140"/>
      <c r="F608" s="140"/>
      <c r="G608" s="140"/>
      <c r="H608" s="140"/>
      <c r="I608" s="140"/>
      <c r="J608" s="140"/>
      <c r="K608" s="140"/>
      <c r="L608" s="140"/>
    </row>
    <row r="609" spans="3:12">
      <c r="C609" s="140"/>
      <c r="D609" s="140"/>
      <c r="E609" s="140"/>
      <c r="F609" s="140"/>
      <c r="G609" s="140"/>
      <c r="H609" s="140"/>
      <c r="I609" s="140"/>
      <c r="J609" s="140"/>
      <c r="K609" s="140"/>
      <c r="L609" s="140"/>
    </row>
    <row r="610" spans="3:12">
      <c r="C610" s="140"/>
      <c r="D610" s="140"/>
      <c r="E610" s="140"/>
      <c r="F610" s="140"/>
      <c r="G610" s="140"/>
      <c r="H610" s="140"/>
      <c r="I610" s="140"/>
      <c r="J610" s="140"/>
      <c r="K610" s="140"/>
      <c r="L610" s="140"/>
    </row>
    <row r="611" spans="3:12">
      <c r="C611" s="140"/>
      <c r="D611" s="140"/>
      <c r="E611" s="140"/>
      <c r="F611" s="140"/>
      <c r="G611" s="140"/>
      <c r="H611" s="140"/>
      <c r="I611" s="140"/>
      <c r="J611" s="140"/>
      <c r="K611" s="140"/>
      <c r="L611" s="140"/>
    </row>
    <row r="612" spans="3:12">
      <c r="C612" s="140"/>
      <c r="D612" s="140"/>
      <c r="E612" s="140"/>
      <c r="F612" s="140"/>
      <c r="G612" s="140"/>
      <c r="H612" s="140"/>
      <c r="I612" s="140"/>
      <c r="J612" s="140"/>
      <c r="K612" s="140"/>
      <c r="L612" s="140"/>
    </row>
    <row r="613" spans="3:12">
      <c r="C613" s="140"/>
      <c r="D613" s="140"/>
      <c r="E613" s="140"/>
      <c r="F613" s="140"/>
      <c r="G613" s="140"/>
      <c r="H613" s="140"/>
      <c r="I613" s="140"/>
      <c r="J613" s="140"/>
      <c r="K613" s="140"/>
      <c r="L613" s="140"/>
    </row>
    <row r="614" spans="3:12">
      <c r="C614" s="140"/>
      <c r="D614" s="140"/>
      <c r="E614" s="140"/>
      <c r="F614" s="140"/>
      <c r="G614" s="140"/>
      <c r="H614" s="140"/>
      <c r="I614" s="140"/>
      <c r="J614" s="140"/>
      <c r="K614" s="140"/>
      <c r="L614" s="140"/>
    </row>
    <row r="615" spans="3:12">
      <c r="C615" s="140"/>
      <c r="D615" s="140"/>
      <c r="E615" s="140"/>
      <c r="F615" s="140"/>
      <c r="G615" s="140"/>
      <c r="H615" s="140"/>
      <c r="I615" s="140"/>
      <c r="J615" s="140"/>
      <c r="K615" s="140"/>
      <c r="L615" s="140"/>
    </row>
    <row r="616" spans="3:12">
      <c r="C616" s="140"/>
      <c r="D616" s="140"/>
      <c r="E616" s="140"/>
      <c r="F616" s="140"/>
      <c r="G616" s="140"/>
      <c r="H616" s="140"/>
      <c r="I616" s="140"/>
      <c r="J616" s="140"/>
      <c r="K616" s="140"/>
      <c r="L616" s="140"/>
    </row>
    <row r="617" spans="3:12">
      <c r="C617" s="140"/>
      <c r="D617" s="140"/>
      <c r="E617" s="140"/>
      <c r="F617" s="140"/>
      <c r="G617" s="140"/>
      <c r="H617" s="140"/>
      <c r="I617" s="140"/>
      <c r="J617" s="140"/>
      <c r="K617" s="140"/>
      <c r="L617" s="140"/>
    </row>
    <row r="618" spans="3:12">
      <c r="C618" s="140"/>
      <c r="D618" s="140"/>
      <c r="E618" s="140"/>
      <c r="F618" s="140"/>
      <c r="G618" s="140"/>
      <c r="H618" s="140"/>
      <c r="I618" s="140"/>
      <c r="J618" s="140"/>
      <c r="K618" s="140"/>
      <c r="L618" s="140"/>
    </row>
    <row r="619" spans="3:12">
      <c r="C619" s="140"/>
      <c r="D619" s="140"/>
      <c r="E619" s="140"/>
      <c r="F619" s="140"/>
      <c r="G619" s="140"/>
      <c r="H619" s="140"/>
      <c r="I619" s="140"/>
      <c r="J619" s="140"/>
      <c r="K619" s="140"/>
      <c r="L619" s="140"/>
    </row>
    <row r="620" spans="3:12">
      <c r="C620" s="140"/>
      <c r="D620" s="140"/>
      <c r="E620" s="140"/>
      <c r="F620" s="140"/>
      <c r="G620" s="140"/>
      <c r="H620" s="140"/>
      <c r="I620" s="140"/>
      <c r="J620" s="140"/>
      <c r="K620" s="140"/>
      <c r="L620" s="140"/>
    </row>
    <row r="621" spans="3:12">
      <c r="C621" s="140"/>
      <c r="D621" s="140"/>
      <c r="E621" s="140"/>
      <c r="F621" s="140"/>
      <c r="G621" s="140"/>
      <c r="H621" s="140"/>
      <c r="I621" s="140"/>
      <c r="J621" s="140"/>
      <c r="K621" s="140"/>
      <c r="L621" s="140"/>
    </row>
    <row r="622" spans="3:12">
      <c r="C622" s="140"/>
      <c r="D622" s="140"/>
      <c r="E622" s="140"/>
      <c r="F622" s="140"/>
      <c r="G622" s="140"/>
      <c r="H622" s="140"/>
      <c r="I622" s="140"/>
      <c r="J622" s="140"/>
      <c r="K622" s="140"/>
      <c r="L622" s="140"/>
    </row>
    <row r="623" spans="3:12">
      <c r="C623" s="140"/>
      <c r="D623" s="140"/>
      <c r="E623" s="140"/>
      <c r="F623" s="140"/>
      <c r="G623" s="140"/>
      <c r="H623" s="140"/>
      <c r="I623" s="140"/>
      <c r="J623" s="140"/>
      <c r="K623" s="140"/>
      <c r="L623" s="140"/>
    </row>
    <row r="624" spans="3:12">
      <c r="C624" s="140"/>
      <c r="D624" s="140"/>
      <c r="E624" s="140"/>
      <c r="F624" s="140"/>
      <c r="G624" s="140"/>
      <c r="H624" s="140"/>
      <c r="I624" s="140"/>
      <c r="J624" s="140"/>
      <c r="K624" s="140"/>
      <c r="L624" s="140"/>
    </row>
    <row r="625" spans="3:12">
      <c r="C625" s="140"/>
      <c r="D625" s="140"/>
      <c r="E625" s="140"/>
      <c r="F625" s="140"/>
      <c r="G625" s="140"/>
      <c r="H625" s="140"/>
      <c r="I625" s="140"/>
      <c r="J625" s="140"/>
      <c r="K625" s="140"/>
      <c r="L625" s="140"/>
    </row>
    <row r="626" spans="3:12">
      <c r="C626" s="140"/>
      <c r="D626" s="140"/>
      <c r="E626" s="140"/>
      <c r="F626" s="140"/>
      <c r="G626" s="140"/>
      <c r="H626" s="140"/>
      <c r="I626" s="140"/>
      <c r="J626" s="140"/>
      <c r="K626" s="140"/>
      <c r="L626" s="140"/>
    </row>
    <row r="627" spans="3:12">
      <c r="C627" s="140"/>
      <c r="D627" s="140"/>
      <c r="E627" s="140"/>
      <c r="F627" s="140"/>
      <c r="G627" s="140"/>
      <c r="H627" s="140"/>
      <c r="I627" s="140"/>
      <c r="J627" s="140"/>
      <c r="K627" s="140"/>
      <c r="L627" s="140"/>
    </row>
    <row r="628" spans="3:12">
      <c r="C628" s="140"/>
      <c r="D628" s="140"/>
      <c r="E628" s="140"/>
      <c r="F628" s="140"/>
      <c r="G628" s="140"/>
      <c r="H628" s="140"/>
      <c r="I628" s="140"/>
      <c r="J628" s="140"/>
      <c r="K628" s="140"/>
      <c r="L628" s="140"/>
    </row>
    <row r="629" spans="3:12">
      <c r="C629" s="140"/>
      <c r="D629" s="140"/>
      <c r="E629" s="140"/>
      <c r="F629" s="140"/>
      <c r="G629" s="140"/>
      <c r="H629" s="140"/>
      <c r="I629" s="140"/>
      <c r="J629" s="140"/>
      <c r="K629" s="140"/>
      <c r="L629" s="140"/>
    </row>
    <row r="630" spans="3:12">
      <c r="C630" s="140"/>
      <c r="D630" s="140"/>
      <c r="E630" s="140"/>
      <c r="F630" s="140"/>
      <c r="G630" s="140"/>
      <c r="H630" s="140"/>
      <c r="I630" s="140"/>
      <c r="J630" s="140"/>
      <c r="K630" s="140"/>
      <c r="L630" s="140"/>
    </row>
    <row r="631" spans="3:12">
      <c r="C631" s="140"/>
      <c r="D631" s="140"/>
      <c r="E631" s="140"/>
      <c r="F631" s="140"/>
      <c r="G631" s="140"/>
      <c r="H631" s="140"/>
      <c r="I631" s="140"/>
      <c r="J631" s="140"/>
      <c r="K631" s="140"/>
      <c r="L631" s="140"/>
    </row>
    <row r="632" spans="3:12">
      <c r="C632" s="140"/>
      <c r="D632" s="140"/>
      <c r="E632" s="140"/>
      <c r="F632" s="140"/>
      <c r="G632" s="140"/>
      <c r="H632" s="140"/>
      <c r="I632" s="140"/>
      <c r="J632" s="140"/>
      <c r="K632" s="140"/>
      <c r="L632" s="140"/>
    </row>
    <row r="633" spans="3:12">
      <c r="C633" s="140"/>
      <c r="D633" s="140"/>
      <c r="E633" s="140"/>
      <c r="F633" s="140"/>
      <c r="G633" s="140"/>
      <c r="H633" s="140"/>
      <c r="I633" s="140"/>
      <c r="J633" s="140"/>
      <c r="K633" s="140"/>
      <c r="L633" s="140"/>
    </row>
    <row r="634" spans="3:12">
      <c r="C634" s="140"/>
      <c r="D634" s="140"/>
      <c r="E634" s="140"/>
      <c r="F634" s="140"/>
      <c r="G634" s="140"/>
      <c r="H634" s="140"/>
      <c r="I634" s="140"/>
      <c r="J634" s="140"/>
      <c r="K634" s="140"/>
      <c r="L634" s="140"/>
    </row>
    <row r="635" spans="3:12">
      <c r="C635" s="140"/>
      <c r="D635" s="140"/>
      <c r="E635" s="140"/>
      <c r="F635" s="140"/>
      <c r="G635" s="140"/>
      <c r="H635" s="140"/>
      <c r="I635" s="140"/>
      <c r="J635" s="140"/>
      <c r="K635" s="140"/>
      <c r="L635" s="140"/>
    </row>
    <row r="636" spans="3:12">
      <c r="C636" s="140"/>
      <c r="D636" s="140"/>
      <c r="E636" s="140"/>
      <c r="F636" s="140"/>
      <c r="G636" s="140"/>
      <c r="H636" s="140"/>
      <c r="I636" s="140"/>
      <c r="J636" s="140"/>
      <c r="K636" s="140"/>
      <c r="L636" s="140"/>
    </row>
    <row r="637" spans="3:12">
      <c r="C637" s="140"/>
      <c r="D637" s="140"/>
      <c r="E637" s="140"/>
      <c r="F637" s="140"/>
      <c r="G637" s="140"/>
      <c r="H637" s="140"/>
      <c r="I637" s="140"/>
      <c r="J637" s="140"/>
      <c r="K637" s="140"/>
      <c r="L637" s="140"/>
    </row>
    <row r="638" spans="3:12">
      <c r="C638" s="140"/>
      <c r="D638" s="140"/>
      <c r="E638" s="140"/>
      <c r="F638" s="140"/>
      <c r="G638" s="140"/>
      <c r="H638" s="140"/>
      <c r="I638" s="140"/>
      <c r="J638" s="140"/>
      <c r="K638" s="140"/>
      <c r="L638" s="140"/>
    </row>
    <row r="639" spans="3:12">
      <c r="C639" s="140"/>
      <c r="D639" s="140"/>
      <c r="E639" s="140"/>
      <c r="F639" s="140"/>
      <c r="G639" s="140"/>
      <c r="H639" s="140"/>
      <c r="I639" s="140"/>
      <c r="J639" s="140"/>
      <c r="K639" s="140"/>
      <c r="L639" s="140"/>
    </row>
    <row r="640" spans="3:12">
      <c r="C640" s="140"/>
      <c r="D640" s="140"/>
      <c r="E640" s="140"/>
      <c r="F640" s="140"/>
      <c r="G640" s="140"/>
      <c r="H640" s="140"/>
      <c r="I640" s="140"/>
      <c r="J640" s="140"/>
      <c r="K640" s="140"/>
      <c r="L640" s="140"/>
    </row>
    <row r="641" spans="3:12">
      <c r="C641" s="140"/>
      <c r="D641" s="140"/>
      <c r="E641" s="140"/>
      <c r="F641" s="140"/>
      <c r="G641" s="140"/>
      <c r="H641" s="140"/>
      <c r="I641" s="140"/>
      <c r="J641" s="140"/>
      <c r="K641" s="140"/>
      <c r="L641" s="140"/>
    </row>
    <row r="642" spans="3:12">
      <c r="C642" s="140"/>
      <c r="D642" s="140"/>
      <c r="E642" s="140"/>
      <c r="F642" s="140"/>
      <c r="G642" s="140"/>
      <c r="H642" s="140"/>
      <c r="I642" s="140"/>
      <c r="J642" s="140"/>
      <c r="K642" s="140"/>
      <c r="L642" s="140"/>
    </row>
    <row r="643" spans="3:12">
      <c r="C643" s="140"/>
      <c r="D643" s="140"/>
      <c r="E643" s="140"/>
      <c r="F643" s="140"/>
      <c r="G643" s="140"/>
      <c r="H643" s="140"/>
      <c r="I643" s="140"/>
      <c r="J643" s="140"/>
      <c r="K643" s="140"/>
      <c r="L643" s="140"/>
    </row>
    <row r="644" spans="3:12">
      <c r="C644" s="140"/>
      <c r="D644" s="140"/>
      <c r="E644" s="140"/>
      <c r="F644" s="140"/>
      <c r="G644" s="140"/>
      <c r="H644" s="140"/>
      <c r="I644" s="140"/>
      <c r="J644" s="140"/>
      <c r="K644" s="140"/>
      <c r="L644" s="140"/>
    </row>
    <row r="645" spans="3:12">
      <c r="C645" s="140"/>
      <c r="D645" s="140"/>
      <c r="E645" s="140"/>
      <c r="F645" s="140"/>
      <c r="G645" s="140"/>
      <c r="H645" s="140"/>
      <c r="I645" s="140"/>
      <c r="J645" s="140"/>
      <c r="K645" s="140"/>
      <c r="L645" s="140"/>
    </row>
    <row r="646" spans="3:12">
      <c r="C646" s="140"/>
      <c r="D646" s="140"/>
      <c r="E646" s="140"/>
      <c r="F646" s="140"/>
      <c r="G646" s="140"/>
      <c r="H646" s="140"/>
      <c r="I646" s="140"/>
      <c r="J646" s="140"/>
      <c r="K646" s="140"/>
      <c r="L646" s="140"/>
    </row>
    <row r="647" spans="3:12">
      <c r="C647" s="140"/>
      <c r="D647" s="140"/>
      <c r="E647" s="140"/>
      <c r="F647" s="140"/>
      <c r="G647" s="140"/>
      <c r="H647" s="140"/>
      <c r="I647" s="140"/>
      <c r="J647" s="140"/>
      <c r="K647" s="140"/>
      <c r="L647" s="140"/>
    </row>
    <row r="648" spans="3:12">
      <c r="C648" s="140"/>
      <c r="D648" s="140"/>
      <c r="E648" s="140"/>
      <c r="F648" s="140"/>
      <c r="G648" s="140"/>
      <c r="H648" s="140"/>
      <c r="I648" s="140"/>
      <c r="J648" s="140"/>
      <c r="K648" s="140"/>
      <c r="L648" s="140"/>
    </row>
    <row r="649" spans="3:12">
      <c r="C649" s="140"/>
      <c r="D649" s="140"/>
      <c r="E649" s="140"/>
      <c r="F649" s="140"/>
      <c r="G649" s="140"/>
      <c r="H649" s="140"/>
      <c r="I649" s="140"/>
      <c r="J649" s="140"/>
      <c r="K649" s="140"/>
      <c r="L649" s="140"/>
    </row>
    <row r="650" spans="3:12">
      <c r="C650" s="140"/>
      <c r="D650" s="140"/>
      <c r="E650" s="140"/>
      <c r="F650" s="140"/>
      <c r="G650" s="140"/>
      <c r="H650" s="140"/>
      <c r="I650" s="140"/>
      <c r="J650" s="140"/>
      <c r="K650" s="140"/>
      <c r="L650" s="140"/>
    </row>
    <row r="651" spans="3:12">
      <c r="C651" s="140"/>
      <c r="D651" s="140"/>
      <c r="E651" s="140"/>
      <c r="F651" s="140"/>
      <c r="G651" s="140"/>
      <c r="H651" s="140"/>
      <c r="I651" s="140"/>
      <c r="J651" s="140"/>
      <c r="K651" s="140"/>
      <c r="L651" s="140"/>
    </row>
    <row r="652" spans="3:12">
      <c r="C652" s="140"/>
      <c r="D652" s="140"/>
      <c r="E652" s="140"/>
      <c r="F652" s="140"/>
      <c r="G652" s="140"/>
      <c r="H652" s="140"/>
      <c r="I652" s="140"/>
      <c r="J652" s="140"/>
      <c r="K652" s="140"/>
      <c r="L652" s="140"/>
    </row>
    <row r="653" spans="3:12">
      <c r="C653" s="140"/>
      <c r="D653" s="140"/>
      <c r="E653" s="140"/>
      <c r="F653" s="140"/>
      <c r="G653" s="140"/>
      <c r="H653" s="140"/>
      <c r="I653" s="140"/>
      <c r="J653" s="140"/>
      <c r="K653" s="140"/>
      <c r="L653" s="140"/>
    </row>
    <row r="654" spans="3:12">
      <c r="C654" s="140"/>
      <c r="D654" s="140"/>
      <c r="E654" s="140"/>
      <c r="F654" s="140"/>
      <c r="G654" s="140"/>
      <c r="H654" s="140"/>
      <c r="I654" s="140"/>
      <c r="J654" s="140"/>
      <c r="K654" s="140"/>
      <c r="L654" s="140"/>
    </row>
    <row r="655" spans="3:12">
      <c r="C655" s="140"/>
      <c r="D655" s="140"/>
      <c r="E655" s="140"/>
      <c r="F655" s="140"/>
      <c r="G655" s="140"/>
      <c r="H655" s="140"/>
      <c r="I655" s="140"/>
      <c r="J655" s="140"/>
      <c r="K655" s="140"/>
      <c r="L655" s="140"/>
    </row>
    <row r="656" spans="3:12">
      <c r="C656" s="140"/>
      <c r="D656" s="140"/>
      <c r="E656" s="140"/>
      <c r="F656" s="140"/>
      <c r="G656" s="140"/>
      <c r="H656" s="140"/>
      <c r="I656" s="140"/>
      <c r="J656" s="140"/>
      <c r="K656" s="140"/>
      <c r="L656" s="140"/>
    </row>
    <row r="657" spans="3:12">
      <c r="C657" s="140"/>
      <c r="D657" s="140"/>
      <c r="E657" s="140"/>
      <c r="F657" s="140"/>
      <c r="G657" s="140"/>
      <c r="H657" s="140"/>
      <c r="I657" s="140"/>
      <c r="J657" s="140"/>
      <c r="K657" s="140"/>
      <c r="L657" s="140"/>
    </row>
    <row r="658" spans="3:12">
      <c r="C658" s="140"/>
      <c r="D658" s="140"/>
      <c r="E658" s="140"/>
      <c r="F658" s="140"/>
      <c r="G658" s="140"/>
      <c r="H658" s="140"/>
      <c r="I658" s="140"/>
      <c r="J658" s="140"/>
      <c r="K658" s="140"/>
      <c r="L658" s="140"/>
    </row>
    <row r="659" spans="3:12">
      <c r="C659" s="140"/>
      <c r="D659" s="140"/>
      <c r="E659" s="140"/>
      <c r="F659" s="140"/>
      <c r="G659" s="140"/>
      <c r="H659" s="140"/>
      <c r="I659" s="140"/>
      <c r="J659" s="140"/>
      <c r="K659" s="140"/>
      <c r="L659" s="140"/>
    </row>
    <row r="660" spans="3:12">
      <c r="C660" s="140"/>
      <c r="D660" s="140"/>
      <c r="E660" s="140"/>
      <c r="F660" s="140"/>
      <c r="G660" s="140"/>
      <c r="H660" s="140"/>
      <c r="I660" s="140"/>
      <c r="J660" s="140"/>
      <c r="K660" s="140"/>
      <c r="L660" s="140"/>
    </row>
    <row r="661" spans="3:12">
      <c r="C661" s="140"/>
      <c r="D661" s="140"/>
      <c r="E661" s="140"/>
      <c r="F661" s="140"/>
      <c r="G661" s="140"/>
      <c r="H661" s="140"/>
      <c r="I661" s="140"/>
      <c r="J661" s="140"/>
      <c r="K661" s="140"/>
      <c r="L661" s="140"/>
    </row>
    <row r="662" spans="3:12">
      <c r="C662" s="140"/>
      <c r="D662" s="140"/>
      <c r="E662" s="140"/>
      <c r="F662" s="140"/>
      <c r="G662" s="140"/>
      <c r="H662" s="140"/>
      <c r="I662" s="140"/>
      <c r="J662" s="140"/>
      <c r="K662" s="140"/>
      <c r="L662" s="140"/>
    </row>
    <row r="663" spans="3:12">
      <c r="C663" s="140"/>
      <c r="D663" s="140"/>
      <c r="E663" s="140"/>
      <c r="F663" s="140"/>
      <c r="G663" s="140"/>
      <c r="H663" s="140"/>
      <c r="I663" s="140"/>
      <c r="J663" s="140"/>
      <c r="K663" s="140"/>
      <c r="L663" s="140"/>
    </row>
    <row r="664" spans="3:12">
      <c r="C664" s="140"/>
      <c r="D664" s="140"/>
      <c r="E664" s="140"/>
      <c r="F664" s="140"/>
      <c r="G664" s="140"/>
      <c r="H664" s="140"/>
      <c r="I664" s="140"/>
      <c r="J664" s="140"/>
      <c r="K664" s="140"/>
      <c r="L664" s="140"/>
    </row>
    <row r="665" spans="3:12">
      <c r="C665" s="140"/>
      <c r="D665" s="140"/>
      <c r="E665" s="140"/>
      <c r="F665" s="140"/>
      <c r="G665" s="140"/>
      <c r="H665" s="140"/>
      <c r="I665" s="140"/>
      <c r="J665" s="140"/>
      <c r="K665" s="140"/>
      <c r="L665" s="140"/>
    </row>
    <row r="666" spans="3:12">
      <c r="C666" s="140"/>
      <c r="D666" s="140"/>
      <c r="E666" s="140"/>
      <c r="F666" s="140"/>
      <c r="G666" s="140"/>
      <c r="H666" s="140"/>
      <c r="I666" s="140"/>
      <c r="J666" s="140"/>
      <c r="K666" s="140"/>
      <c r="L666" s="140"/>
    </row>
    <row r="667" spans="3:12">
      <c r="C667" s="140"/>
      <c r="D667" s="140"/>
      <c r="E667" s="140"/>
      <c r="F667" s="140"/>
      <c r="G667" s="140"/>
      <c r="H667" s="140"/>
      <c r="I667" s="140"/>
      <c r="J667" s="140"/>
      <c r="K667" s="140"/>
      <c r="L667" s="140"/>
    </row>
    <row r="668" spans="3:12">
      <c r="C668" s="140"/>
      <c r="D668" s="140"/>
      <c r="E668" s="140"/>
      <c r="F668" s="140"/>
      <c r="G668" s="140"/>
      <c r="H668" s="140"/>
      <c r="I668" s="140"/>
      <c r="J668" s="140"/>
      <c r="K668" s="140"/>
      <c r="L668" s="140"/>
    </row>
    <row r="669" spans="3:12">
      <c r="C669" s="140"/>
      <c r="D669" s="140"/>
      <c r="E669" s="140"/>
      <c r="F669" s="140"/>
      <c r="G669" s="140"/>
      <c r="H669" s="140"/>
      <c r="I669" s="140"/>
      <c r="J669" s="140"/>
      <c r="K669" s="140"/>
      <c r="L669" s="140"/>
    </row>
    <row r="670" spans="3:12">
      <c r="C670" s="140"/>
      <c r="D670" s="140"/>
      <c r="E670" s="140"/>
      <c r="F670" s="140"/>
      <c r="G670" s="140"/>
      <c r="H670" s="140"/>
      <c r="I670" s="140"/>
      <c r="J670" s="140"/>
      <c r="K670" s="140"/>
      <c r="L670" s="140"/>
    </row>
    <row r="671" spans="3:12">
      <c r="C671" s="140"/>
      <c r="D671" s="140"/>
      <c r="E671" s="140"/>
      <c r="F671" s="140"/>
      <c r="G671" s="140"/>
      <c r="H671" s="140"/>
      <c r="I671" s="140"/>
      <c r="J671" s="140"/>
      <c r="K671" s="140"/>
      <c r="L671" s="140"/>
    </row>
    <row r="672" spans="3:12">
      <c r="C672" s="140"/>
      <c r="D672" s="140"/>
      <c r="E672" s="140"/>
      <c r="F672" s="140"/>
      <c r="G672" s="140"/>
      <c r="H672" s="140"/>
      <c r="I672" s="140"/>
      <c r="J672" s="140"/>
      <c r="K672" s="140"/>
      <c r="L672" s="140"/>
    </row>
    <row r="673" spans="3:12">
      <c r="C673" s="140"/>
      <c r="D673" s="140"/>
      <c r="E673" s="140"/>
      <c r="F673" s="140"/>
      <c r="G673" s="140"/>
      <c r="H673" s="140"/>
      <c r="I673" s="140"/>
      <c r="J673" s="140"/>
      <c r="K673" s="140"/>
      <c r="L673" s="140"/>
    </row>
    <row r="674" spans="3:12">
      <c r="C674" s="140"/>
      <c r="D674" s="140"/>
      <c r="E674" s="140"/>
      <c r="F674" s="140"/>
      <c r="G674" s="140"/>
      <c r="H674" s="140"/>
      <c r="I674" s="140"/>
      <c r="J674" s="140"/>
      <c r="K674" s="140"/>
      <c r="L674" s="140"/>
    </row>
    <row r="675" spans="3:12">
      <c r="C675" s="140"/>
      <c r="D675" s="140"/>
      <c r="E675" s="140"/>
      <c r="F675" s="140"/>
      <c r="G675" s="140"/>
      <c r="H675" s="140"/>
      <c r="I675" s="140"/>
      <c r="J675" s="140"/>
      <c r="K675" s="140"/>
      <c r="L675" s="140"/>
    </row>
    <row r="676" spans="3:12">
      <c r="C676" s="140"/>
      <c r="D676" s="140"/>
      <c r="E676" s="140"/>
      <c r="F676" s="140"/>
      <c r="G676" s="140"/>
      <c r="H676" s="140"/>
      <c r="I676" s="140"/>
      <c r="J676" s="140"/>
      <c r="K676" s="140"/>
      <c r="L676" s="140"/>
    </row>
    <row r="677" spans="3:12">
      <c r="C677" s="140"/>
      <c r="D677" s="140"/>
      <c r="E677" s="140"/>
      <c r="F677" s="140"/>
      <c r="G677" s="140"/>
      <c r="H677" s="140"/>
      <c r="I677" s="140"/>
      <c r="J677" s="140"/>
      <c r="K677" s="140"/>
      <c r="L677" s="140"/>
    </row>
    <row r="678" spans="3:12">
      <c r="C678" s="140"/>
      <c r="D678" s="140"/>
      <c r="E678" s="140"/>
      <c r="F678" s="140"/>
      <c r="G678" s="140"/>
      <c r="H678" s="140"/>
      <c r="I678" s="140"/>
      <c r="J678" s="140"/>
      <c r="K678" s="140"/>
      <c r="L678" s="140"/>
    </row>
    <row r="679" spans="3:12">
      <c r="C679" s="140"/>
      <c r="D679" s="140"/>
      <c r="E679" s="140"/>
      <c r="F679" s="140"/>
      <c r="G679" s="140"/>
      <c r="H679" s="140"/>
      <c r="I679" s="140"/>
      <c r="J679" s="140"/>
      <c r="K679" s="140"/>
      <c r="L679" s="140"/>
    </row>
    <row r="680" spans="3:12">
      <c r="C680" s="140"/>
      <c r="D680" s="140"/>
      <c r="E680" s="140"/>
      <c r="F680" s="140"/>
      <c r="G680" s="140"/>
      <c r="H680" s="140"/>
      <c r="I680" s="140"/>
      <c r="J680" s="140"/>
      <c r="K680" s="140"/>
      <c r="L680" s="140"/>
    </row>
    <row r="681" spans="3:12">
      <c r="C681" s="140"/>
      <c r="D681" s="140"/>
      <c r="E681" s="140"/>
      <c r="F681" s="140"/>
      <c r="G681" s="140"/>
      <c r="H681" s="140"/>
      <c r="I681" s="140"/>
      <c r="J681" s="140"/>
      <c r="K681" s="140"/>
      <c r="L681" s="140"/>
    </row>
    <row r="682" spans="3:12">
      <c r="C682" s="140"/>
      <c r="D682" s="140"/>
      <c r="E682" s="140"/>
      <c r="F682" s="140"/>
      <c r="G682" s="140"/>
      <c r="H682" s="140"/>
      <c r="I682" s="140"/>
      <c r="J682" s="140"/>
      <c r="K682" s="140"/>
      <c r="L682" s="140"/>
    </row>
    <row r="683" spans="3:12">
      <c r="C683" s="140"/>
      <c r="D683" s="140"/>
      <c r="E683" s="140"/>
      <c r="F683" s="140"/>
      <c r="G683" s="140"/>
      <c r="H683" s="140"/>
      <c r="I683" s="140"/>
      <c r="J683" s="140"/>
      <c r="K683" s="140"/>
      <c r="L683" s="140"/>
    </row>
    <row r="684" spans="3:12">
      <c r="C684" s="140"/>
      <c r="D684" s="140"/>
      <c r="E684" s="140"/>
      <c r="F684" s="140"/>
      <c r="G684" s="140"/>
      <c r="H684" s="140"/>
      <c r="I684" s="140"/>
      <c r="J684" s="140"/>
      <c r="K684" s="140"/>
      <c r="L684" s="140"/>
    </row>
    <row r="685" spans="3:12">
      <c r="C685" s="140"/>
      <c r="D685" s="140"/>
      <c r="E685" s="140"/>
      <c r="F685" s="140"/>
      <c r="G685" s="140"/>
      <c r="H685" s="140"/>
      <c r="I685" s="140"/>
      <c r="J685" s="140"/>
      <c r="K685" s="140"/>
      <c r="L685" s="140"/>
    </row>
    <row r="686" spans="3:12">
      <c r="C686" s="140"/>
      <c r="D686" s="140"/>
      <c r="E686" s="140"/>
      <c r="F686" s="140"/>
      <c r="G686" s="140"/>
      <c r="H686" s="140"/>
      <c r="I686" s="140"/>
      <c r="J686" s="140"/>
      <c r="K686" s="140"/>
      <c r="L686" s="140"/>
    </row>
    <row r="687" spans="3:12">
      <c r="C687" s="140"/>
      <c r="D687" s="140"/>
      <c r="E687" s="140"/>
      <c r="F687" s="140"/>
      <c r="G687" s="140"/>
      <c r="H687" s="140"/>
      <c r="I687" s="140"/>
      <c r="J687" s="140"/>
      <c r="K687" s="140"/>
      <c r="L687" s="140"/>
    </row>
    <row r="688" spans="3:12">
      <c r="C688" s="140"/>
      <c r="D688" s="140"/>
      <c r="E688" s="140"/>
      <c r="F688" s="140"/>
      <c r="G688" s="140"/>
      <c r="H688" s="140"/>
      <c r="I688" s="140"/>
      <c r="J688" s="140"/>
      <c r="K688" s="140"/>
      <c r="L688" s="140"/>
    </row>
    <row r="689" spans="3:12">
      <c r="C689" s="140"/>
      <c r="D689" s="140"/>
      <c r="E689" s="140"/>
      <c r="F689" s="140"/>
      <c r="G689" s="140"/>
      <c r="H689" s="140"/>
      <c r="I689" s="140"/>
      <c r="J689" s="140"/>
      <c r="K689" s="140"/>
      <c r="L689" s="140"/>
    </row>
    <row r="690" spans="3:12">
      <c r="C690" s="140"/>
      <c r="D690" s="140"/>
      <c r="E690" s="140"/>
      <c r="F690" s="140"/>
      <c r="G690" s="140"/>
      <c r="H690" s="140"/>
      <c r="I690" s="140"/>
      <c r="J690" s="140"/>
      <c r="K690" s="140"/>
      <c r="L690" s="140"/>
    </row>
    <row r="691" spans="3:12">
      <c r="C691" s="140"/>
      <c r="D691" s="140"/>
      <c r="E691" s="140"/>
      <c r="F691" s="140"/>
      <c r="G691" s="140"/>
      <c r="H691" s="140"/>
      <c r="I691" s="140"/>
      <c r="J691" s="140"/>
      <c r="K691" s="140"/>
      <c r="L691" s="140"/>
    </row>
    <row r="692" spans="3:12">
      <c r="C692" s="140"/>
      <c r="D692" s="140"/>
      <c r="E692" s="140"/>
      <c r="F692" s="140"/>
      <c r="G692" s="140"/>
      <c r="H692" s="140"/>
      <c r="I692" s="140"/>
      <c r="J692" s="140"/>
      <c r="K692" s="140"/>
      <c r="L692" s="140"/>
    </row>
    <row r="693" spans="3:12">
      <c r="C693" s="140"/>
      <c r="D693" s="140"/>
      <c r="E693" s="140"/>
      <c r="F693" s="140"/>
      <c r="G693" s="140"/>
      <c r="H693" s="140"/>
      <c r="I693" s="140"/>
      <c r="J693" s="140"/>
      <c r="K693" s="140"/>
      <c r="L693" s="140"/>
    </row>
    <row r="694" spans="3:12">
      <c r="C694" s="140"/>
      <c r="D694" s="140"/>
      <c r="E694" s="140"/>
      <c r="F694" s="140"/>
      <c r="G694" s="140"/>
      <c r="H694" s="140"/>
      <c r="I694" s="140"/>
      <c r="J694" s="140"/>
      <c r="K694" s="140"/>
      <c r="L694" s="140"/>
    </row>
    <row r="695" spans="3:12">
      <c r="C695" s="140"/>
      <c r="D695" s="140"/>
      <c r="E695" s="140"/>
      <c r="F695" s="140"/>
      <c r="G695" s="140"/>
      <c r="H695" s="140"/>
      <c r="I695" s="140"/>
      <c r="J695" s="140"/>
      <c r="K695" s="140"/>
      <c r="L695" s="140"/>
    </row>
    <row r="696" spans="3:12">
      <c r="C696" s="140"/>
      <c r="D696" s="140"/>
      <c r="E696" s="140"/>
      <c r="F696" s="140"/>
      <c r="G696" s="140"/>
      <c r="H696" s="140"/>
      <c r="I696" s="140"/>
      <c r="J696" s="140"/>
      <c r="K696" s="140"/>
      <c r="L696" s="140"/>
    </row>
    <row r="697" spans="3:12">
      <c r="C697" s="140"/>
      <c r="D697" s="140"/>
      <c r="E697" s="140"/>
      <c r="F697" s="140"/>
      <c r="G697" s="140"/>
      <c r="H697" s="140"/>
      <c r="I697" s="140"/>
      <c r="J697" s="140"/>
      <c r="K697" s="140"/>
      <c r="L697" s="140"/>
    </row>
    <row r="698" spans="3:12">
      <c r="C698" s="140"/>
      <c r="D698" s="140"/>
      <c r="E698" s="140"/>
      <c r="F698" s="140"/>
      <c r="G698" s="140"/>
      <c r="H698" s="140"/>
      <c r="I698" s="140"/>
      <c r="J698" s="140"/>
      <c r="K698" s="140"/>
      <c r="L698" s="140"/>
    </row>
    <row r="699" spans="3:12">
      <c r="C699" s="140"/>
      <c r="D699" s="140"/>
      <c r="E699" s="140"/>
      <c r="F699" s="140"/>
      <c r="G699" s="140"/>
      <c r="H699" s="140"/>
      <c r="I699" s="140"/>
      <c r="J699" s="140"/>
      <c r="K699" s="140"/>
      <c r="L699" s="140"/>
    </row>
    <row r="700" spans="3:12">
      <c r="C700" s="140"/>
      <c r="D700" s="140"/>
      <c r="E700" s="140"/>
      <c r="F700" s="140"/>
      <c r="G700" s="140"/>
      <c r="H700" s="140"/>
      <c r="I700" s="140"/>
      <c r="J700" s="140"/>
      <c r="K700" s="140"/>
      <c r="L700" s="140"/>
    </row>
    <row r="701" spans="3:12">
      <c r="C701" s="140"/>
      <c r="D701" s="140"/>
      <c r="E701" s="140"/>
      <c r="F701" s="140"/>
      <c r="G701" s="140"/>
      <c r="H701" s="140"/>
      <c r="I701" s="140"/>
      <c r="J701" s="140"/>
      <c r="K701" s="140"/>
      <c r="L701" s="140"/>
    </row>
    <row r="702" spans="3:12">
      <c r="C702" s="140"/>
      <c r="D702" s="140"/>
      <c r="E702" s="140"/>
      <c r="F702" s="140"/>
      <c r="G702" s="140"/>
      <c r="H702" s="140"/>
      <c r="I702" s="140"/>
      <c r="J702" s="140"/>
      <c r="K702" s="140"/>
      <c r="L702" s="140"/>
    </row>
    <row r="703" spans="3:12">
      <c r="C703" s="140"/>
      <c r="D703" s="140"/>
      <c r="E703" s="140"/>
      <c r="F703" s="140"/>
      <c r="G703" s="140"/>
      <c r="H703" s="140"/>
      <c r="I703" s="140"/>
      <c r="J703" s="140"/>
      <c r="K703" s="140"/>
      <c r="L703" s="140"/>
    </row>
    <row r="704" spans="3:12">
      <c r="C704" s="140"/>
      <c r="D704" s="140"/>
      <c r="E704" s="140"/>
      <c r="F704" s="140"/>
      <c r="G704" s="140"/>
      <c r="H704" s="140"/>
      <c r="I704" s="140"/>
      <c r="J704" s="140"/>
      <c r="K704" s="140"/>
      <c r="L704" s="140"/>
    </row>
    <row r="705" spans="3:12">
      <c r="C705" s="140"/>
      <c r="D705" s="140"/>
      <c r="E705" s="140"/>
      <c r="F705" s="140"/>
      <c r="G705" s="140"/>
      <c r="H705" s="140"/>
      <c r="I705" s="140"/>
      <c r="J705" s="140"/>
      <c r="K705" s="140"/>
      <c r="L705" s="140"/>
    </row>
    <row r="706" spans="3:12">
      <c r="C706" s="140"/>
      <c r="D706" s="140"/>
      <c r="E706" s="140"/>
      <c r="F706" s="140"/>
      <c r="G706" s="140"/>
      <c r="H706" s="140"/>
      <c r="I706" s="140"/>
      <c r="J706" s="140"/>
      <c r="K706" s="140"/>
      <c r="L706" s="140"/>
    </row>
    <row r="707" spans="3:12">
      <c r="C707" s="140"/>
      <c r="D707" s="140"/>
      <c r="E707" s="140"/>
      <c r="F707" s="140"/>
      <c r="G707" s="140"/>
      <c r="H707" s="140"/>
      <c r="I707" s="140"/>
      <c r="J707" s="140"/>
      <c r="K707" s="140"/>
      <c r="L707" s="140"/>
    </row>
    <row r="708" spans="3:12">
      <c r="C708" s="140"/>
      <c r="D708" s="140"/>
      <c r="E708" s="140"/>
      <c r="F708" s="140"/>
      <c r="G708" s="140"/>
      <c r="H708" s="140"/>
      <c r="I708" s="140"/>
      <c r="J708" s="140"/>
      <c r="K708" s="140"/>
      <c r="L708" s="140"/>
    </row>
    <row r="709" spans="3:12">
      <c r="C709" s="140"/>
      <c r="D709" s="140"/>
      <c r="E709" s="140"/>
      <c r="F709" s="140"/>
      <c r="G709" s="140"/>
      <c r="H709" s="140"/>
      <c r="I709" s="140"/>
      <c r="J709" s="140"/>
      <c r="K709" s="140"/>
      <c r="L709" s="140"/>
    </row>
    <row r="710" spans="3:12">
      <c r="C710" s="140"/>
      <c r="D710" s="140"/>
      <c r="E710" s="140"/>
      <c r="F710" s="140"/>
      <c r="G710" s="140"/>
      <c r="H710" s="140"/>
      <c r="I710" s="140"/>
      <c r="J710" s="140"/>
      <c r="K710" s="140"/>
      <c r="L710" s="140"/>
    </row>
    <row r="711" spans="3:12">
      <c r="C711" s="140"/>
      <c r="D711" s="140"/>
      <c r="E711" s="140"/>
      <c r="F711" s="140"/>
      <c r="G711" s="140"/>
      <c r="H711" s="140"/>
      <c r="I711" s="140"/>
      <c r="J711" s="140"/>
      <c r="K711" s="140"/>
      <c r="L711" s="140"/>
    </row>
    <row r="712" spans="3:12">
      <c r="C712" s="140"/>
      <c r="D712" s="140"/>
      <c r="E712" s="140"/>
      <c r="F712" s="140"/>
      <c r="G712" s="140"/>
      <c r="H712" s="140"/>
      <c r="I712" s="140"/>
      <c r="J712" s="140"/>
      <c r="K712" s="140"/>
      <c r="L712" s="140"/>
    </row>
    <row r="713" spans="3:12">
      <c r="C713" s="140"/>
      <c r="D713" s="140"/>
      <c r="E713" s="140"/>
      <c r="F713" s="140"/>
      <c r="G713" s="140"/>
      <c r="H713" s="140"/>
      <c r="I713" s="140"/>
      <c r="J713" s="140"/>
      <c r="K713" s="140"/>
      <c r="L713" s="140"/>
    </row>
    <row r="714" spans="3:12">
      <c r="C714" s="140"/>
      <c r="D714" s="140"/>
      <c r="E714" s="140"/>
      <c r="F714" s="140"/>
      <c r="G714" s="140"/>
      <c r="H714" s="140"/>
      <c r="I714" s="140"/>
      <c r="J714" s="140"/>
      <c r="K714" s="140"/>
      <c r="L714" s="140"/>
    </row>
    <row r="715" spans="3:12">
      <c r="C715" s="140"/>
      <c r="D715" s="140"/>
      <c r="E715" s="140"/>
      <c r="F715" s="140"/>
      <c r="G715" s="140"/>
      <c r="H715" s="140"/>
      <c r="I715" s="140"/>
      <c r="J715" s="140"/>
      <c r="K715" s="140"/>
      <c r="L715" s="140"/>
    </row>
    <row r="716" spans="3:12">
      <c r="C716" s="140"/>
      <c r="D716" s="140"/>
      <c r="E716" s="140"/>
      <c r="F716" s="140"/>
      <c r="G716" s="140"/>
      <c r="H716" s="140"/>
      <c r="I716" s="140"/>
      <c r="J716" s="140"/>
      <c r="K716" s="140"/>
      <c r="L716" s="140"/>
    </row>
    <row r="717" spans="3:12">
      <c r="C717" s="140"/>
      <c r="D717" s="140"/>
      <c r="E717" s="140"/>
      <c r="F717" s="140"/>
      <c r="G717" s="140"/>
      <c r="H717" s="140"/>
      <c r="I717" s="140"/>
      <c r="J717" s="140"/>
      <c r="K717" s="140"/>
      <c r="L717" s="140"/>
    </row>
    <row r="718" spans="3:12">
      <c r="C718" s="140"/>
      <c r="D718" s="140"/>
      <c r="E718" s="140"/>
      <c r="F718" s="140"/>
      <c r="G718" s="140"/>
      <c r="H718" s="140"/>
      <c r="I718" s="140"/>
      <c r="J718" s="140"/>
      <c r="K718" s="140"/>
      <c r="L718" s="140"/>
    </row>
    <row r="719" spans="3:12">
      <c r="C719" s="140"/>
      <c r="D719" s="140"/>
      <c r="E719" s="140"/>
      <c r="F719" s="140"/>
      <c r="G719" s="140"/>
      <c r="H719" s="140"/>
      <c r="I719" s="140"/>
      <c r="J719" s="140"/>
      <c r="K719" s="140"/>
      <c r="L719" s="140"/>
    </row>
    <row r="720" spans="3:12">
      <c r="C720" s="140"/>
      <c r="D720" s="140"/>
      <c r="E720" s="140"/>
      <c r="F720" s="140"/>
      <c r="G720" s="140"/>
      <c r="H720" s="140"/>
      <c r="I720" s="140"/>
      <c r="J720" s="140"/>
      <c r="K720" s="140"/>
      <c r="L720" s="140"/>
    </row>
    <row r="721" spans="3:12">
      <c r="C721" s="140"/>
      <c r="D721" s="140"/>
      <c r="E721" s="140"/>
      <c r="F721" s="140"/>
      <c r="G721" s="140"/>
      <c r="H721" s="140"/>
      <c r="I721" s="140"/>
      <c r="J721" s="140"/>
      <c r="K721" s="140"/>
      <c r="L721" s="140"/>
    </row>
    <row r="722" spans="3:12">
      <c r="C722" s="140"/>
      <c r="D722" s="140"/>
      <c r="E722" s="140"/>
      <c r="F722" s="140"/>
      <c r="G722" s="140"/>
      <c r="H722" s="140"/>
      <c r="I722" s="140"/>
      <c r="J722" s="140"/>
      <c r="K722" s="140"/>
      <c r="L722" s="140"/>
    </row>
    <row r="723" spans="3:12">
      <c r="C723" s="140"/>
      <c r="D723" s="140"/>
      <c r="E723" s="140"/>
      <c r="F723" s="140"/>
      <c r="G723" s="140"/>
      <c r="H723" s="140"/>
      <c r="I723" s="140"/>
      <c r="J723" s="140"/>
      <c r="K723" s="140"/>
      <c r="L723" s="140"/>
    </row>
    <row r="724" spans="3:12">
      <c r="C724" s="140"/>
      <c r="D724" s="140"/>
      <c r="E724" s="140"/>
      <c r="F724" s="140"/>
      <c r="G724" s="140"/>
      <c r="H724" s="140"/>
      <c r="I724" s="140"/>
      <c r="J724" s="140"/>
      <c r="K724" s="140"/>
      <c r="L724" s="140"/>
    </row>
    <row r="725" spans="3:12">
      <c r="C725" s="140"/>
      <c r="D725" s="140"/>
      <c r="E725" s="140"/>
      <c r="F725" s="140"/>
      <c r="G725" s="140"/>
      <c r="H725" s="140"/>
      <c r="I725" s="140"/>
      <c r="J725" s="140"/>
      <c r="K725" s="140"/>
      <c r="L725" s="140"/>
    </row>
    <row r="726" spans="3:12">
      <c r="C726" s="140"/>
      <c r="D726" s="140"/>
      <c r="E726" s="140"/>
      <c r="F726" s="140"/>
      <c r="G726" s="140"/>
      <c r="H726" s="140"/>
      <c r="I726" s="140"/>
      <c r="J726" s="140"/>
      <c r="K726" s="140"/>
      <c r="L726" s="140"/>
    </row>
    <row r="727" spans="3:12">
      <c r="C727" s="140"/>
      <c r="D727" s="140"/>
      <c r="E727" s="140"/>
      <c r="F727" s="140"/>
      <c r="G727" s="140"/>
      <c r="H727" s="140"/>
      <c r="I727" s="140"/>
      <c r="J727" s="140"/>
      <c r="K727" s="140"/>
      <c r="L727" s="140"/>
    </row>
    <row r="728" spans="3:12">
      <c r="C728" s="140"/>
      <c r="D728" s="140"/>
      <c r="E728" s="140"/>
      <c r="F728" s="140"/>
      <c r="G728" s="140"/>
      <c r="H728" s="140"/>
      <c r="I728" s="140"/>
      <c r="J728" s="140"/>
      <c r="K728" s="140"/>
      <c r="L728" s="140"/>
    </row>
    <row r="729" spans="3:12">
      <c r="C729" s="140"/>
      <c r="D729" s="140"/>
      <c r="E729" s="140"/>
      <c r="F729" s="140"/>
      <c r="G729" s="140"/>
      <c r="H729" s="140"/>
      <c r="I729" s="140"/>
      <c r="J729" s="140"/>
      <c r="K729" s="140"/>
      <c r="L729" s="140"/>
    </row>
    <row r="730" spans="3:12">
      <c r="C730" s="140"/>
      <c r="D730" s="140"/>
      <c r="E730" s="140"/>
      <c r="F730" s="140"/>
      <c r="G730" s="140"/>
      <c r="H730" s="140"/>
      <c r="I730" s="140"/>
      <c r="J730" s="140"/>
      <c r="K730" s="140"/>
      <c r="L730" s="140"/>
    </row>
    <row r="731" spans="3:12">
      <c r="C731" s="140"/>
      <c r="D731" s="140"/>
      <c r="E731" s="140"/>
      <c r="F731" s="140"/>
      <c r="G731" s="140"/>
      <c r="H731" s="140"/>
      <c r="I731" s="140"/>
      <c r="J731" s="140"/>
      <c r="K731" s="140"/>
      <c r="L731" s="140"/>
    </row>
    <row r="732" spans="3:12">
      <c r="C732" s="140"/>
      <c r="D732" s="140"/>
      <c r="E732" s="140"/>
      <c r="F732" s="140"/>
      <c r="G732" s="140"/>
      <c r="H732" s="140"/>
      <c r="I732" s="140"/>
      <c r="J732" s="140"/>
      <c r="K732" s="140"/>
      <c r="L732" s="140"/>
    </row>
    <row r="733" spans="3:12">
      <c r="C733" s="140"/>
      <c r="D733" s="140"/>
      <c r="E733" s="140"/>
      <c r="F733" s="140"/>
      <c r="G733" s="140"/>
      <c r="H733" s="140"/>
      <c r="I733" s="140"/>
      <c r="J733" s="140"/>
      <c r="K733" s="140"/>
      <c r="L733" s="140"/>
    </row>
    <row r="734" spans="3:12">
      <c r="C734" s="140"/>
      <c r="D734" s="140"/>
      <c r="E734" s="140"/>
      <c r="F734" s="140"/>
      <c r="G734" s="140"/>
      <c r="H734" s="140"/>
      <c r="I734" s="140"/>
      <c r="J734" s="140"/>
      <c r="K734" s="140"/>
      <c r="L734" s="140"/>
    </row>
    <row r="735" spans="3:12">
      <c r="C735" s="140"/>
      <c r="D735" s="140"/>
      <c r="E735" s="140"/>
      <c r="F735" s="140"/>
      <c r="G735" s="140"/>
      <c r="H735" s="140"/>
      <c r="I735" s="140"/>
      <c r="J735" s="140"/>
      <c r="K735" s="140"/>
      <c r="L735" s="140"/>
    </row>
    <row r="736" spans="3:12">
      <c r="C736" s="140"/>
      <c r="D736" s="140"/>
      <c r="E736" s="140"/>
      <c r="F736" s="140"/>
      <c r="G736" s="140"/>
      <c r="H736" s="140"/>
      <c r="I736" s="140"/>
      <c r="J736" s="140"/>
      <c r="K736" s="140"/>
      <c r="L736" s="140"/>
    </row>
    <row r="737" spans="3:12">
      <c r="C737" s="140"/>
      <c r="D737" s="140"/>
      <c r="E737" s="140"/>
      <c r="F737" s="140"/>
      <c r="G737" s="140"/>
      <c r="H737" s="140"/>
      <c r="I737" s="140"/>
      <c r="J737" s="140"/>
      <c r="K737" s="140"/>
      <c r="L737" s="140"/>
    </row>
    <row r="738" spans="3:12">
      <c r="C738" s="140"/>
      <c r="D738" s="140"/>
      <c r="E738" s="140"/>
      <c r="F738" s="140"/>
      <c r="G738" s="140"/>
      <c r="H738" s="140"/>
      <c r="I738" s="140"/>
      <c r="J738" s="140"/>
      <c r="K738" s="140"/>
      <c r="L738" s="140"/>
    </row>
    <row r="739" spans="3:12">
      <c r="C739" s="140"/>
      <c r="D739" s="140"/>
      <c r="E739" s="140"/>
      <c r="F739" s="140"/>
      <c r="G739" s="140"/>
      <c r="H739" s="140"/>
      <c r="I739" s="140"/>
      <c r="J739" s="140"/>
      <c r="K739" s="140"/>
      <c r="L739" s="140"/>
    </row>
    <row r="740" spans="3:12">
      <c r="C740" s="140"/>
      <c r="D740" s="140"/>
      <c r="E740" s="140"/>
      <c r="F740" s="140"/>
      <c r="G740" s="140"/>
      <c r="H740" s="140"/>
      <c r="I740" s="140"/>
      <c r="J740" s="140"/>
      <c r="K740" s="140"/>
      <c r="L740" s="140"/>
    </row>
    <row r="741" spans="3:12">
      <c r="C741" s="140"/>
      <c r="D741" s="140"/>
      <c r="E741" s="140"/>
      <c r="F741" s="140"/>
      <c r="G741" s="140"/>
      <c r="H741" s="140"/>
      <c r="I741" s="140"/>
      <c r="J741" s="140"/>
      <c r="K741" s="140"/>
      <c r="L741" s="140"/>
    </row>
    <row r="742" spans="3:12">
      <c r="C742" s="140"/>
      <c r="D742" s="140"/>
      <c r="E742" s="140"/>
      <c r="F742" s="140"/>
      <c r="G742" s="140"/>
      <c r="H742" s="140"/>
      <c r="I742" s="140"/>
      <c r="J742" s="140"/>
      <c r="K742" s="140"/>
      <c r="L742" s="140"/>
    </row>
    <row r="743" spans="3:12">
      <c r="C743" s="140"/>
      <c r="D743" s="140"/>
      <c r="E743" s="140"/>
      <c r="F743" s="140"/>
      <c r="G743" s="140"/>
      <c r="H743" s="140"/>
      <c r="I743" s="140"/>
      <c r="J743" s="140"/>
      <c r="K743" s="140"/>
      <c r="L743" s="140"/>
    </row>
    <row r="744" spans="3:12">
      <c r="C744" s="140"/>
      <c r="D744" s="140"/>
      <c r="E744" s="140"/>
      <c r="F744" s="140"/>
      <c r="G744" s="140"/>
      <c r="H744" s="140"/>
      <c r="I744" s="140"/>
      <c r="J744" s="140"/>
      <c r="K744" s="140"/>
      <c r="L744" s="140"/>
    </row>
    <row r="745" spans="3:12">
      <c r="C745" s="140"/>
      <c r="D745" s="140"/>
      <c r="E745" s="140"/>
      <c r="F745" s="140"/>
      <c r="G745" s="140"/>
      <c r="H745" s="140"/>
      <c r="I745" s="140"/>
      <c r="J745" s="140"/>
      <c r="K745" s="140"/>
      <c r="L745" s="140"/>
    </row>
    <row r="746" spans="3:12">
      <c r="C746" s="140"/>
      <c r="D746" s="140"/>
      <c r="E746" s="140"/>
      <c r="F746" s="140"/>
      <c r="G746" s="140"/>
      <c r="H746" s="140"/>
      <c r="I746" s="140"/>
      <c r="J746" s="140"/>
      <c r="K746" s="140"/>
      <c r="L746" s="140"/>
    </row>
    <row r="747" spans="3:12">
      <c r="C747" s="140"/>
      <c r="D747" s="140"/>
      <c r="E747" s="140"/>
      <c r="F747" s="140"/>
      <c r="G747" s="140"/>
      <c r="H747" s="140"/>
      <c r="I747" s="140"/>
      <c r="J747" s="140"/>
      <c r="K747" s="140"/>
      <c r="L747" s="140"/>
    </row>
    <row r="748" spans="3:12">
      <c r="C748" s="140"/>
      <c r="D748" s="140"/>
      <c r="E748" s="140"/>
      <c r="F748" s="140"/>
      <c r="G748" s="140"/>
      <c r="H748" s="140"/>
      <c r="I748" s="140"/>
      <c r="J748" s="140"/>
      <c r="K748" s="140"/>
      <c r="L748" s="140"/>
    </row>
    <row r="749" spans="3:12">
      <c r="C749" s="140"/>
      <c r="D749" s="140"/>
      <c r="E749" s="140"/>
      <c r="F749" s="140"/>
      <c r="G749" s="140"/>
      <c r="H749" s="140"/>
      <c r="I749" s="140"/>
      <c r="J749" s="140"/>
      <c r="K749" s="140"/>
      <c r="L749" s="140"/>
    </row>
    <row r="750" spans="3:12">
      <c r="C750" s="140"/>
      <c r="D750" s="140"/>
      <c r="E750" s="140"/>
      <c r="F750" s="140"/>
      <c r="G750" s="140"/>
      <c r="H750" s="140"/>
      <c r="I750" s="140"/>
      <c r="J750" s="140"/>
      <c r="K750" s="140"/>
      <c r="L750" s="140"/>
    </row>
    <row r="751" spans="3:12">
      <c r="C751" s="140"/>
      <c r="D751" s="140"/>
      <c r="E751" s="140"/>
      <c r="F751" s="140"/>
      <c r="G751" s="140"/>
      <c r="H751" s="140"/>
      <c r="I751" s="140"/>
      <c r="J751" s="140"/>
      <c r="K751" s="140"/>
      <c r="L751" s="140"/>
    </row>
    <row r="752" spans="3:12">
      <c r="C752" s="140"/>
      <c r="D752" s="140"/>
      <c r="E752" s="140"/>
      <c r="F752" s="140"/>
      <c r="G752" s="140"/>
      <c r="H752" s="140"/>
      <c r="I752" s="140"/>
      <c r="J752" s="140"/>
      <c r="K752" s="140"/>
      <c r="L752" s="140"/>
    </row>
    <row r="753" spans="3:12">
      <c r="C753" s="140"/>
      <c r="D753" s="140"/>
      <c r="E753" s="140"/>
      <c r="F753" s="140"/>
      <c r="G753" s="140"/>
      <c r="H753" s="140"/>
      <c r="I753" s="140"/>
      <c r="J753" s="140"/>
      <c r="K753" s="140"/>
      <c r="L753" s="140"/>
    </row>
    <row r="754" spans="3:12">
      <c r="C754" s="140"/>
      <c r="D754" s="140"/>
      <c r="E754" s="140"/>
      <c r="F754" s="140"/>
      <c r="G754" s="140"/>
      <c r="H754" s="140"/>
      <c r="I754" s="140"/>
      <c r="J754" s="140"/>
      <c r="K754" s="140"/>
      <c r="L754" s="140"/>
    </row>
    <row r="755" spans="3:12">
      <c r="C755" s="140"/>
      <c r="D755" s="140"/>
      <c r="E755" s="140"/>
      <c r="F755" s="140"/>
      <c r="G755" s="140"/>
      <c r="H755" s="140"/>
      <c r="I755" s="140"/>
      <c r="J755" s="140"/>
      <c r="K755" s="140"/>
      <c r="L755" s="140"/>
    </row>
    <row r="756" spans="3:12">
      <c r="C756" s="140"/>
      <c r="D756" s="140"/>
      <c r="E756" s="140"/>
      <c r="F756" s="140"/>
      <c r="G756" s="140"/>
      <c r="H756" s="140"/>
      <c r="I756" s="140"/>
      <c r="J756" s="140"/>
      <c r="K756" s="140"/>
      <c r="L756" s="140"/>
    </row>
    <row r="757" spans="3:12">
      <c r="C757" s="140"/>
      <c r="D757" s="140"/>
      <c r="E757" s="140"/>
      <c r="F757" s="140"/>
      <c r="G757" s="140"/>
      <c r="H757" s="140"/>
      <c r="I757" s="140"/>
      <c r="J757" s="140"/>
      <c r="K757" s="140"/>
      <c r="L757" s="140"/>
    </row>
    <row r="758" spans="3:12">
      <c r="C758" s="140"/>
      <c r="D758" s="140"/>
      <c r="E758" s="140"/>
      <c r="F758" s="140"/>
      <c r="G758" s="140"/>
      <c r="H758" s="140"/>
      <c r="I758" s="140"/>
      <c r="J758" s="140"/>
      <c r="K758" s="140"/>
      <c r="L758" s="140"/>
    </row>
    <row r="759" spans="3:12">
      <c r="C759" s="140"/>
      <c r="D759" s="140"/>
      <c r="E759" s="140"/>
      <c r="F759" s="140"/>
      <c r="G759" s="140"/>
      <c r="H759" s="140"/>
      <c r="I759" s="140"/>
      <c r="J759" s="140"/>
      <c r="K759" s="140"/>
      <c r="L759" s="140"/>
    </row>
    <row r="760" spans="3:12">
      <c r="C760" s="140"/>
      <c r="D760" s="140"/>
      <c r="E760" s="140"/>
      <c r="F760" s="140"/>
      <c r="G760" s="140"/>
      <c r="H760" s="140"/>
      <c r="I760" s="140"/>
      <c r="J760" s="140"/>
      <c r="K760" s="140"/>
      <c r="L760" s="140"/>
    </row>
    <row r="761" spans="3:12">
      <c r="C761" s="140"/>
      <c r="D761" s="140"/>
      <c r="E761" s="140"/>
      <c r="F761" s="140"/>
      <c r="G761" s="140"/>
      <c r="H761" s="140"/>
      <c r="I761" s="140"/>
      <c r="J761" s="140"/>
      <c r="K761" s="140"/>
      <c r="L761" s="140"/>
    </row>
    <row r="762" spans="3:12">
      <c r="C762" s="140"/>
      <c r="D762" s="140"/>
      <c r="E762" s="140"/>
      <c r="F762" s="140"/>
      <c r="G762" s="140"/>
      <c r="H762" s="140"/>
      <c r="I762" s="140"/>
      <c r="J762" s="140"/>
      <c r="K762" s="140"/>
      <c r="L762" s="140"/>
    </row>
    <row r="763" spans="3:12">
      <c r="C763" s="140"/>
      <c r="D763" s="140"/>
      <c r="E763" s="140"/>
      <c r="F763" s="140"/>
      <c r="G763" s="140"/>
      <c r="H763" s="140"/>
      <c r="I763" s="140"/>
      <c r="J763" s="140"/>
      <c r="K763" s="140"/>
      <c r="L763" s="140"/>
    </row>
    <row r="764" spans="3:12">
      <c r="C764" s="140"/>
      <c r="D764" s="140"/>
      <c r="E764" s="140"/>
      <c r="F764" s="140"/>
      <c r="G764" s="140"/>
      <c r="H764" s="140"/>
      <c r="I764" s="140"/>
      <c r="J764" s="140"/>
      <c r="K764" s="140"/>
      <c r="L764" s="140"/>
    </row>
    <row r="765" spans="3:12">
      <c r="C765" s="140"/>
      <c r="D765" s="140"/>
      <c r="E765" s="140"/>
      <c r="F765" s="140"/>
      <c r="G765" s="140"/>
      <c r="H765" s="140"/>
      <c r="I765" s="140"/>
      <c r="J765" s="140"/>
      <c r="K765" s="140"/>
      <c r="L765" s="140"/>
    </row>
    <row r="766" spans="3:12">
      <c r="C766" s="140"/>
      <c r="D766" s="140"/>
      <c r="E766" s="140"/>
      <c r="F766" s="140"/>
      <c r="G766" s="140"/>
      <c r="H766" s="140"/>
      <c r="I766" s="140"/>
      <c r="J766" s="140"/>
      <c r="K766" s="140"/>
      <c r="L766" s="140"/>
    </row>
    <row r="767" spans="3:12">
      <c r="C767" s="140"/>
      <c r="D767" s="140"/>
      <c r="E767" s="140"/>
      <c r="F767" s="140"/>
      <c r="G767" s="140"/>
      <c r="H767" s="140"/>
      <c r="I767" s="140"/>
      <c r="J767" s="140"/>
      <c r="K767" s="140"/>
      <c r="L767" s="140"/>
    </row>
    <row r="768" spans="3:12">
      <c r="C768" s="140"/>
      <c r="D768" s="140"/>
      <c r="E768" s="140"/>
      <c r="F768" s="140"/>
      <c r="G768" s="140"/>
      <c r="H768" s="140"/>
      <c r="I768" s="140"/>
      <c r="J768" s="140"/>
      <c r="K768" s="140"/>
      <c r="L768" s="140"/>
    </row>
    <row r="769" spans="3:12">
      <c r="C769" s="140"/>
      <c r="D769" s="140"/>
      <c r="E769" s="140"/>
      <c r="F769" s="140"/>
      <c r="G769" s="140"/>
      <c r="H769" s="140"/>
      <c r="I769" s="140"/>
      <c r="J769" s="140"/>
      <c r="K769" s="140"/>
      <c r="L769" s="140"/>
    </row>
    <row r="770" spans="3:12">
      <c r="C770" s="140"/>
      <c r="D770" s="140"/>
      <c r="E770" s="140"/>
      <c r="F770" s="140"/>
      <c r="G770" s="140"/>
      <c r="H770" s="140"/>
      <c r="I770" s="140"/>
      <c r="J770" s="140"/>
      <c r="K770" s="140"/>
      <c r="L770" s="140"/>
    </row>
    <row r="771" spans="3:12">
      <c r="C771" s="140"/>
      <c r="D771" s="140"/>
      <c r="E771" s="140"/>
      <c r="F771" s="140"/>
      <c r="G771" s="140"/>
      <c r="H771" s="140"/>
      <c r="I771" s="140"/>
      <c r="J771" s="140"/>
      <c r="K771" s="140"/>
      <c r="L771" s="140"/>
    </row>
    <row r="772" spans="3:12">
      <c r="C772" s="140"/>
      <c r="D772" s="140"/>
      <c r="E772" s="140"/>
      <c r="F772" s="140"/>
      <c r="G772" s="140"/>
      <c r="H772" s="140"/>
      <c r="I772" s="140"/>
      <c r="J772" s="140"/>
      <c r="K772" s="140"/>
      <c r="L772" s="140"/>
    </row>
    <row r="773" spans="3:12">
      <c r="C773" s="140"/>
      <c r="D773" s="140"/>
      <c r="E773" s="140"/>
      <c r="F773" s="140"/>
      <c r="G773" s="140"/>
      <c r="H773" s="140"/>
      <c r="I773" s="140"/>
      <c r="J773" s="140"/>
      <c r="K773" s="140"/>
      <c r="L773" s="140"/>
    </row>
    <row r="774" spans="3:12">
      <c r="C774" s="140"/>
      <c r="D774" s="140"/>
      <c r="E774" s="140"/>
      <c r="F774" s="140"/>
      <c r="G774" s="140"/>
      <c r="H774" s="140"/>
      <c r="I774" s="140"/>
      <c r="J774" s="140"/>
      <c r="K774" s="140"/>
      <c r="L774" s="140"/>
    </row>
    <row r="775" spans="3:12">
      <c r="C775" s="140"/>
      <c r="D775" s="140"/>
      <c r="E775" s="140"/>
      <c r="F775" s="140"/>
      <c r="G775" s="140"/>
      <c r="H775" s="140"/>
      <c r="I775" s="140"/>
      <c r="J775" s="140"/>
      <c r="K775" s="140"/>
      <c r="L775" s="140"/>
    </row>
    <row r="776" spans="3:12">
      <c r="C776" s="140"/>
      <c r="D776" s="140"/>
      <c r="E776" s="140"/>
      <c r="F776" s="140"/>
      <c r="G776" s="140"/>
      <c r="H776" s="140"/>
      <c r="I776" s="140"/>
      <c r="J776" s="140"/>
      <c r="K776" s="140"/>
      <c r="L776" s="140"/>
    </row>
    <row r="777" spans="3:12">
      <c r="C777" s="140"/>
      <c r="D777" s="140"/>
      <c r="E777" s="140"/>
      <c r="F777" s="140"/>
      <c r="G777" s="140"/>
      <c r="H777" s="140"/>
      <c r="I777" s="140"/>
      <c r="J777" s="140"/>
      <c r="K777" s="140"/>
      <c r="L777" s="140"/>
    </row>
    <row r="778" spans="3:12">
      <c r="C778" s="140"/>
      <c r="D778" s="140"/>
      <c r="E778" s="140"/>
      <c r="F778" s="140"/>
      <c r="G778" s="140"/>
      <c r="H778" s="140"/>
      <c r="I778" s="140"/>
      <c r="J778" s="140"/>
      <c r="K778" s="140"/>
      <c r="L778" s="140"/>
    </row>
    <row r="779" spans="3:12">
      <c r="C779" s="140"/>
      <c r="D779" s="140"/>
      <c r="E779" s="140"/>
      <c r="F779" s="140"/>
      <c r="G779" s="140"/>
      <c r="H779" s="140"/>
      <c r="I779" s="140"/>
      <c r="J779" s="140"/>
      <c r="K779" s="140"/>
      <c r="L779" s="140"/>
    </row>
    <row r="780" spans="3:12">
      <c r="C780" s="140"/>
      <c r="D780" s="140"/>
      <c r="E780" s="140"/>
      <c r="F780" s="140"/>
      <c r="G780" s="140"/>
      <c r="H780" s="140"/>
      <c r="I780" s="140"/>
      <c r="J780" s="140"/>
      <c r="K780" s="140"/>
      <c r="L780" s="140"/>
    </row>
    <row r="781" spans="3:12">
      <c r="C781" s="140"/>
      <c r="D781" s="140"/>
      <c r="E781" s="140"/>
      <c r="F781" s="140"/>
      <c r="G781" s="140"/>
      <c r="H781" s="140"/>
      <c r="I781" s="140"/>
      <c r="J781" s="140"/>
      <c r="K781" s="140"/>
      <c r="L781" s="140"/>
    </row>
    <row r="782" spans="3:12">
      <c r="C782" s="140"/>
      <c r="D782" s="140"/>
      <c r="E782" s="140"/>
      <c r="F782" s="140"/>
      <c r="G782" s="140"/>
      <c r="H782" s="140"/>
      <c r="I782" s="140"/>
      <c r="J782" s="140"/>
      <c r="K782" s="140"/>
      <c r="L782" s="140"/>
    </row>
    <row r="783" spans="3:12">
      <c r="C783" s="140"/>
      <c r="D783" s="140"/>
      <c r="E783" s="140"/>
      <c r="F783" s="140"/>
      <c r="G783" s="140"/>
      <c r="H783" s="140"/>
      <c r="I783" s="140"/>
      <c r="J783" s="140"/>
      <c r="K783" s="140"/>
      <c r="L783" s="140"/>
    </row>
    <row r="784" spans="3:12">
      <c r="C784" s="140"/>
      <c r="D784" s="140"/>
      <c r="E784" s="140"/>
      <c r="F784" s="140"/>
      <c r="G784" s="140"/>
      <c r="H784" s="140"/>
      <c r="I784" s="140"/>
      <c r="J784" s="140"/>
      <c r="K784" s="140"/>
      <c r="L784" s="140"/>
    </row>
    <row r="785" spans="3:12">
      <c r="C785" s="140"/>
      <c r="D785" s="140"/>
      <c r="E785" s="140"/>
      <c r="F785" s="140"/>
      <c r="G785" s="140"/>
      <c r="H785" s="140"/>
      <c r="I785" s="140"/>
      <c r="J785" s="140"/>
      <c r="K785" s="140"/>
      <c r="L785" s="140"/>
    </row>
    <row r="786" spans="3:12">
      <c r="C786" s="140"/>
      <c r="D786" s="140"/>
      <c r="E786" s="140"/>
      <c r="F786" s="140"/>
      <c r="G786" s="140"/>
      <c r="H786" s="140"/>
      <c r="I786" s="140"/>
      <c r="J786" s="140"/>
      <c r="K786" s="140"/>
      <c r="L786" s="140"/>
    </row>
    <row r="787" spans="3:12">
      <c r="C787" s="140"/>
      <c r="D787" s="140"/>
      <c r="E787" s="140"/>
      <c r="F787" s="140"/>
      <c r="G787" s="140"/>
      <c r="H787" s="140"/>
      <c r="I787" s="140"/>
      <c r="J787" s="140"/>
      <c r="K787" s="140"/>
      <c r="L787" s="140"/>
    </row>
    <row r="788" spans="3:12">
      <c r="C788" s="140"/>
      <c r="D788" s="140"/>
      <c r="E788" s="140"/>
      <c r="F788" s="140"/>
      <c r="G788" s="140"/>
      <c r="H788" s="140"/>
      <c r="I788" s="140"/>
      <c r="J788" s="140"/>
      <c r="K788" s="140"/>
      <c r="L788" s="140"/>
    </row>
    <row r="789" spans="3:12">
      <c r="C789" s="140"/>
      <c r="D789" s="140"/>
      <c r="E789" s="140"/>
      <c r="F789" s="140"/>
      <c r="G789" s="140"/>
      <c r="H789" s="140"/>
      <c r="I789" s="140"/>
      <c r="J789" s="140"/>
      <c r="K789" s="140"/>
      <c r="L789" s="140"/>
    </row>
    <row r="790" spans="3:12">
      <c r="C790" s="140"/>
      <c r="D790" s="140"/>
      <c r="E790" s="140"/>
      <c r="F790" s="140"/>
      <c r="G790" s="140"/>
      <c r="H790" s="140"/>
      <c r="I790" s="140"/>
      <c r="J790" s="140"/>
      <c r="K790" s="140"/>
      <c r="L790" s="140"/>
    </row>
    <row r="791" spans="3:12">
      <c r="C791" s="140"/>
      <c r="D791" s="140"/>
      <c r="E791" s="140"/>
      <c r="F791" s="140"/>
      <c r="G791" s="140"/>
      <c r="H791" s="140"/>
      <c r="I791" s="140"/>
      <c r="J791" s="140"/>
      <c r="K791" s="140"/>
      <c r="L791" s="140"/>
    </row>
    <row r="792" spans="3:12">
      <c r="C792" s="140"/>
      <c r="D792" s="140"/>
      <c r="E792" s="140"/>
      <c r="F792" s="140"/>
      <c r="G792" s="140"/>
      <c r="H792" s="140"/>
      <c r="I792" s="140"/>
      <c r="J792" s="140"/>
      <c r="K792" s="140"/>
      <c r="L792" s="140"/>
    </row>
    <row r="793" spans="3:12">
      <c r="C793" s="140"/>
      <c r="D793" s="140"/>
      <c r="E793" s="140"/>
      <c r="F793" s="140"/>
      <c r="G793" s="140"/>
      <c r="H793" s="140"/>
      <c r="I793" s="140"/>
      <c r="J793" s="140"/>
      <c r="K793" s="140"/>
      <c r="L793" s="140"/>
    </row>
    <row r="794" spans="3:12">
      <c r="C794" s="140"/>
      <c r="D794" s="140"/>
      <c r="E794" s="140"/>
      <c r="F794" s="140"/>
      <c r="G794" s="140"/>
      <c r="H794" s="140"/>
      <c r="I794" s="140"/>
      <c r="J794" s="140"/>
      <c r="K794" s="140"/>
      <c r="L794" s="140"/>
    </row>
    <row r="795" spans="3:12">
      <c r="C795" s="140"/>
      <c r="D795" s="140"/>
      <c r="E795" s="140"/>
      <c r="F795" s="140"/>
      <c r="G795" s="140"/>
      <c r="H795" s="140"/>
      <c r="I795" s="140"/>
      <c r="J795" s="140"/>
      <c r="K795" s="140"/>
      <c r="L795" s="140"/>
    </row>
    <row r="796" spans="3:12">
      <c r="C796" s="140"/>
      <c r="D796" s="140"/>
      <c r="E796" s="140"/>
      <c r="F796" s="140"/>
      <c r="G796" s="140"/>
      <c r="H796" s="140"/>
      <c r="I796" s="140"/>
      <c r="J796" s="140"/>
      <c r="K796" s="140"/>
      <c r="L796" s="140"/>
    </row>
    <row r="797" spans="3:12">
      <c r="C797" s="140"/>
      <c r="D797" s="140"/>
      <c r="E797" s="140"/>
      <c r="F797" s="140"/>
      <c r="G797" s="140"/>
      <c r="H797" s="140"/>
      <c r="I797" s="140"/>
      <c r="J797" s="140"/>
      <c r="K797" s="140"/>
      <c r="L797" s="140"/>
    </row>
    <row r="798" spans="3:12">
      <c r="C798" s="140"/>
      <c r="D798" s="140"/>
      <c r="E798" s="140"/>
      <c r="F798" s="140"/>
      <c r="G798" s="140"/>
      <c r="H798" s="140"/>
      <c r="I798" s="140"/>
      <c r="J798" s="140"/>
      <c r="K798" s="140"/>
      <c r="L798" s="140"/>
    </row>
    <row r="799" spans="3:12">
      <c r="C799" s="140"/>
      <c r="D799" s="140"/>
      <c r="E799" s="140"/>
      <c r="F799" s="140"/>
      <c r="G799" s="140"/>
      <c r="H799" s="140"/>
      <c r="I799" s="140"/>
      <c r="J799" s="140"/>
      <c r="K799" s="140"/>
      <c r="L799" s="140"/>
    </row>
    <row r="800" spans="3:12">
      <c r="C800" s="140"/>
      <c r="D800" s="140"/>
      <c r="E800" s="140"/>
      <c r="F800" s="140"/>
      <c r="G800" s="140"/>
      <c r="H800" s="140"/>
      <c r="I800" s="140"/>
      <c r="J800" s="140"/>
      <c r="K800" s="140"/>
      <c r="L800" s="140"/>
    </row>
    <row r="801" spans="3:12">
      <c r="C801" s="140"/>
      <c r="D801" s="140"/>
      <c r="E801" s="140"/>
      <c r="F801" s="140"/>
      <c r="G801" s="140"/>
      <c r="H801" s="140"/>
      <c r="I801" s="140"/>
      <c r="J801" s="140"/>
      <c r="K801" s="140"/>
      <c r="L801" s="140"/>
    </row>
    <row r="802" spans="3:12">
      <c r="C802" s="140"/>
      <c r="D802" s="140"/>
      <c r="E802" s="140"/>
      <c r="F802" s="140"/>
      <c r="G802" s="140"/>
      <c r="H802" s="140"/>
      <c r="I802" s="140"/>
      <c r="J802" s="140"/>
      <c r="K802" s="140"/>
      <c r="L802" s="140"/>
    </row>
    <row r="803" spans="3:12">
      <c r="C803" s="140"/>
      <c r="D803" s="140"/>
      <c r="E803" s="140"/>
      <c r="F803" s="140"/>
      <c r="G803" s="140"/>
      <c r="H803" s="140"/>
      <c r="I803" s="140"/>
      <c r="J803" s="140"/>
      <c r="K803" s="140"/>
      <c r="L803" s="140"/>
    </row>
    <row r="804" spans="3:12">
      <c r="C804" s="140"/>
      <c r="D804" s="140"/>
      <c r="E804" s="140"/>
      <c r="F804" s="140"/>
      <c r="G804" s="140"/>
      <c r="H804" s="140"/>
      <c r="I804" s="140"/>
      <c r="J804" s="140"/>
      <c r="K804" s="140"/>
      <c r="L804" s="140"/>
    </row>
    <row r="805" spans="3:12">
      <c r="C805" s="140"/>
      <c r="D805" s="140"/>
      <c r="E805" s="140"/>
      <c r="F805" s="140"/>
      <c r="G805" s="140"/>
      <c r="H805" s="140"/>
      <c r="I805" s="140"/>
      <c r="J805" s="140"/>
      <c r="K805" s="140"/>
      <c r="L805" s="140"/>
    </row>
    <row r="806" spans="3:12">
      <c r="C806" s="140"/>
      <c r="D806" s="140"/>
      <c r="E806" s="140"/>
      <c r="F806" s="140"/>
      <c r="G806" s="140"/>
      <c r="H806" s="140"/>
      <c r="I806" s="140"/>
      <c r="J806" s="140"/>
      <c r="K806" s="140"/>
      <c r="L806" s="140"/>
    </row>
    <row r="807" spans="3:12">
      <c r="C807" s="140"/>
      <c r="D807" s="140"/>
      <c r="E807" s="140"/>
      <c r="F807" s="140"/>
      <c r="G807" s="140"/>
      <c r="H807" s="140"/>
      <c r="I807" s="140"/>
      <c r="J807" s="140"/>
      <c r="K807" s="140"/>
      <c r="L807" s="140"/>
    </row>
    <row r="808" spans="3:12">
      <c r="C808" s="140"/>
      <c r="D808" s="140"/>
      <c r="E808" s="140"/>
      <c r="F808" s="140"/>
      <c r="G808" s="140"/>
      <c r="H808" s="140"/>
      <c r="I808" s="140"/>
      <c r="J808" s="140"/>
      <c r="K808" s="140"/>
      <c r="L808" s="140"/>
    </row>
    <row r="809" spans="3:12">
      <c r="C809" s="140"/>
      <c r="D809" s="140"/>
      <c r="E809" s="140"/>
      <c r="F809" s="140"/>
      <c r="G809" s="140"/>
      <c r="H809" s="140"/>
      <c r="I809" s="140"/>
      <c r="J809" s="140"/>
      <c r="K809" s="140"/>
      <c r="L809" s="140"/>
    </row>
    <row r="810" spans="3:12">
      <c r="C810" s="140"/>
      <c r="D810" s="140"/>
      <c r="E810" s="140"/>
      <c r="F810" s="140"/>
      <c r="G810" s="140"/>
      <c r="H810" s="140"/>
      <c r="I810" s="140"/>
      <c r="J810" s="140"/>
      <c r="K810" s="140"/>
      <c r="L810" s="140"/>
    </row>
    <row r="811" spans="3:12">
      <c r="C811" s="140"/>
      <c r="D811" s="140"/>
      <c r="E811" s="140"/>
      <c r="F811" s="140"/>
      <c r="G811" s="140"/>
      <c r="H811" s="140"/>
      <c r="I811" s="140"/>
      <c r="J811" s="140"/>
      <c r="K811" s="140"/>
      <c r="L811" s="140"/>
    </row>
    <row r="812" spans="3:12">
      <c r="C812" s="140"/>
      <c r="D812" s="140"/>
      <c r="E812" s="140"/>
      <c r="F812" s="140"/>
      <c r="G812" s="140"/>
      <c r="H812" s="140"/>
      <c r="I812" s="140"/>
      <c r="J812" s="140"/>
      <c r="K812" s="140"/>
      <c r="L812" s="140"/>
    </row>
    <row r="813" spans="3:12">
      <c r="C813" s="140"/>
      <c r="D813" s="140"/>
      <c r="E813" s="140"/>
      <c r="F813" s="140"/>
      <c r="G813" s="140"/>
      <c r="H813" s="140"/>
      <c r="I813" s="140"/>
      <c r="J813" s="140"/>
      <c r="K813" s="140"/>
      <c r="L813" s="140"/>
    </row>
    <row r="814" spans="3:12">
      <c r="C814" s="140"/>
      <c r="D814" s="140"/>
      <c r="E814" s="140"/>
      <c r="F814" s="140"/>
      <c r="G814" s="140"/>
      <c r="H814" s="140"/>
      <c r="I814" s="140"/>
      <c r="J814" s="140"/>
      <c r="K814" s="140"/>
      <c r="L814" s="140"/>
    </row>
    <row r="815" spans="3:12">
      <c r="C815" s="140"/>
      <c r="D815" s="140"/>
      <c r="E815" s="140"/>
      <c r="F815" s="140"/>
      <c r="G815" s="140"/>
      <c r="H815" s="140"/>
      <c r="I815" s="140"/>
      <c r="J815" s="140"/>
      <c r="K815" s="140"/>
      <c r="L815" s="140"/>
    </row>
    <row r="816" spans="3:12">
      <c r="C816" s="140"/>
      <c r="D816" s="140"/>
      <c r="E816" s="140"/>
      <c r="F816" s="140"/>
      <c r="G816" s="140"/>
      <c r="H816" s="140"/>
      <c r="I816" s="140"/>
      <c r="J816" s="140"/>
      <c r="K816" s="140"/>
      <c r="L816" s="140"/>
    </row>
    <row r="817" spans="3:12">
      <c r="C817" s="140"/>
      <c r="D817" s="140"/>
      <c r="E817" s="140"/>
      <c r="F817" s="140"/>
      <c r="G817" s="140"/>
      <c r="H817" s="140"/>
      <c r="I817" s="140"/>
      <c r="J817" s="140"/>
      <c r="K817" s="140"/>
      <c r="L817" s="140"/>
    </row>
    <row r="818" spans="3:12">
      <c r="C818" s="140"/>
      <c r="D818" s="140"/>
      <c r="E818" s="140"/>
      <c r="F818" s="140"/>
      <c r="G818" s="140"/>
      <c r="H818" s="140"/>
      <c r="I818" s="140"/>
      <c r="J818" s="140"/>
      <c r="K818" s="140"/>
      <c r="L818" s="140"/>
    </row>
  </sheetData>
  <phoneticPr fontId="18" type="noConversion"/>
  <pageMargins left="0.78740157480314965" right="0.78740157480314965" top="1.3779527559055118" bottom="0.41" header="0.78740157480314965" footer="0.19"/>
  <pageSetup paperSize="9" orientation="landscape" r:id="rId1"/>
  <headerFooter alignWithMargins="0">
    <oddHeader xml:space="preserve">&amp;C&amp;"Arial,Fett"&amp;12Entwicklung des Steuerertrages 2013 - 2016
&amp;"Arial,Standard"&amp;9nach Steuerarten in Mio. Fr.
</oddHeader>
  </headerFooter>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50"/>
  <sheetViews>
    <sheetView zoomScaleNormal="100" workbookViewId="0"/>
  </sheetViews>
  <sheetFormatPr baseColWidth="10" defaultRowHeight="11.25"/>
  <cols>
    <col min="1" max="1" width="4.42578125" style="396" customWidth="1"/>
    <col min="2" max="2" width="7.42578125" style="396" bestFit="1" customWidth="1"/>
    <col min="3" max="3" width="32" style="396" bestFit="1" customWidth="1"/>
    <col min="4" max="4" width="3.7109375" style="396" bestFit="1" customWidth="1"/>
    <col min="5" max="5" width="9.85546875" style="525" bestFit="1" customWidth="1"/>
    <col min="6" max="6" width="10" style="525" bestFit="1" customWidth="1"/>
    <col min="7" max="7" width="11" style="525" bestFit="1" customWidth="1"/>
    <col min="8" max="8" width="10.28515625" style="525" bestFit="1" customWidth="1"/>
    <col min="9" max="9" width="9.85546875" style="525" bestFit="1" customWidth="1"/>
    <col min="10" max="10" width="9" style="525" bestFit="1" customWidth="1"/>
    <col min="11" max="13" width="9.7109375" style="525" bestFit="1" customWidth="1"/>
    <col min="14" max="15" width="11.42578125" style="525"/>
    <col min="16" max="16384" width="11.42578125" style="396"/>
  </cols>
  <sheetData>
    <row r="1" spans="1:13" ht="22.5">
      <c r="A1" s="565" t="s">
        <v>1465</v>
      </c>
      <c r="B1" s="565" t="s">
        <v>1466</v>
      </c>
      <c r="C1" s="565" t="s">
        <v>1467</v>
      </c>
      <c r="D1" s="565" t="s">
        <v>1468</v>
      </c>
      <c r="E1" s="566" t="s">
        <v>1469</v>
      </c>
      <c r="F1" s="566" t="s">
        <v>1470</v>
      </c>
      <c r="G1" s="566" t="s">
        <v>1471</v>
      </c>
      <c r="H1" s="566" t="s">
        <v>1472</v>
      </c>
      <c r="I1" s="566" t="s">
        <v>1473</v>
      </c>
      <c r="J1" s="567" t="s">
        <v>1474</v>
      </c>
      <c r="K1" s="568" t="s">
        <v>1475</v>
      </c>
      <c r="L1" s="568" t="s">
        <v>1476</v>
      </c>
      <c r="M1" s="568" t="s">
        <v>1477</v>
      </c>
    </row>
    <row r="2" spans="1:13" ht="12.75" customHeight="1">
      <c r="A2" s="569" t="s">
        <v>1437</v>
      </c>
      <c r="B2" s="569" t="s">
        <v>1478</v>
      </c>
      <c r="C2" s="569" t="s">
        <v>1479</v>
      </c>
      <c r="D2" s="569" t="s">
        <v>1480</v>
      </c>
      <c r="E2" s="420">
        <v>1300000</v>
      </c>
      <c r="F2" s="420">
        <v>850000</v>
      </c>
      <c r="G2" s="420">
        <v>0</v>
      </c>
      <c r="H2" s="420">
        <v>0</v>
      </c>
      <c r="I2" s="420">
        <v>850000</v>
      </c>
      <c r="J2" s="570">
        <v>200000</v>
      </c>
      <c r="K2" s="420">
        <v>200000</v>
      </c>
      <c r="L2" s="420">
        <v>300000</v>
      </c>
      <c r="M2" s="420">
        <v>150000</v>
      </c>
    </row>
    <row r="3" spans="1:13" ht="12.75" customHeight="1">
      <c r="A3" s="569" t="s">
        <v>1437</v>
      </c>
      <c r="B3" s="569" t="s">
        <v>1481</v>
      </c>
      <c r="C3" s="569" t="s">
        <v>1482</v>
      </c>
      <c r="D3" s="569" t="s">
        <v>1480</v>
      </c>
      <c r="E3" s="420">
        <v>440000</v>
      </c>
      <c r="F3" s="420">
        <v>400000</v>
      </c>
      <c r="G3" s="420">
        <v>40000</v>
      </c>
      <c r="H3" s="420">
        <v>0</v>
      </c>
      <c r="I3" s="420">
        <v>440000</v>
      </c>
      <c r="J3" s="570">
        <v>110000</v>
      </c>
      <c r="K3" s="420">
        <v>220000</v>
      </c>
      <c r="L3" s="420">
        <v>110000</v>
      </c>
      <c r="M3" s="420">
        <v>0</v>
      </c>
    </row>
    <row r="4" spans="1:13" ht="12.75" customHeight="1">
      <c r="A4" s="569" t="s">
        <v>1437</v>
      </c>
      <c r="B4" s="569" t="s">
        <v>1483</v>
      </c>
      <c r="C4" s="569" t="s">
        <v>1484</v>
      </c>
      <c r="D4" s="569" t="s">
        <v>1480</v>
      </c>
      <c r="E4" s="420">
        <v>470000</v>
      </c>
      <c r="F4" s="420">
        <v>300000</v>
      </c>
      <c r="G4" s="420">
        <v>60000</v>
      </c>
      <c r="H4" s="420">
        <v>0</v>
      </c>
      <c r="I4" s="420">
        <v>360000</v>
      </c>
      <c r="J4" s="570">
        <v>110000</v>
      </c>
      <c r="K4" s="420">
        <v>140000</v>
      </c>
      <c r="L4" s="420">
        <v>110000</v>
      </c>
      <c r="M4" s="420">
        <v>0</v>
      </c>
    </row>
    <row r="5" spans="1:13" ht="12.75" customHeight="1">
      <c r="A5" s="569" t="s">
        <v>1437</v>
      </c>
      <c r="B5" s="569" t="s">
        <v>1485</v>
      </c>
      <c r="C5" s="569" t="s">
        <v>1486</v>
      </c>
      <c r="D5" s="569" t="s">
        <v>1480</v>
      </c>
      <c r="E5" s="420">
        <v>980000</v>
      </c>
      <c r="F5" s="420">
        <v>100000</v>
      </c>
      <c r="G5" s="420">
        <v>10000</v>
      </c>
      <c r="H5" s="420">
        <v>0</v>
      </c>
      <c r="I5" s="420">
        <v>110000</v>
      </c>
      <c r="J5" s="570">
        <v>110000</v>
      </c>
      <c r="K5" s="420">
        <v>0</v>
      </c>
      <c r="L5" s="420">
        <v>0</v>
      </c>
      <c r="M5" s="420">
        <v>0</v>
      </c>
    </row>
    <row r="6" spans="1:13" ht="12.75" customHeight="1">
      <c r="A6" s="569" t="s">
        <v>1437</v>
      </c>
      <c r="B6" s="569" t="s">
        <v>1487</v>
      </c>
      <c r="C6" s="569" t="s">
        <v>1488</v>
      </c>
      <c r="D6" s="569" t="s">
        <v>1480</v>
      </c>
      <c r="E6" s="420">
        <v>1025000</v>
      </c>
      <c r="F6" s="420">
        <v>1000000</v>
      </c>
      <c r="G6" s="420">
        <v>25000</v>
      </c>
      <c r="H6" s="420">
        <v>0</v>
      </c>
      <c r="I6" s="420">
        <v>1025000</v>
      </c>
      <c r="J6" s="570">
        <v>0</v>
      </c>
      <c r="K6" s="420">
        <v>0</v>
      </c>
      <c r="L6" s="420">
        <v>110000</v>
      </c>
      <c r="M6" s="420">
        <v>305000</v>
      </c>
    </row>
    <row r="7" spans="1:13" ht="12.75" customHeight="1">
      <c r="A7" s="569" t="s">
        <v>1437</v>
      </c>
      <c r="B7" s="569" t="s">
        <v>1489</v>
      </c>
      <c r="C7" s="569" t="s">
        <v>1490</v>
      </c>
      <c r="D7" s="569" t="s">
        <v>1480</v>
      </c>
      <c r="E7" s="420">
        <v>110000</v>
      </c>
      <c r="F7" s="420">
        <v>100000</v>
      </c>
      <c r="G7" s="420">
        <v>10000</v>
      </c>
      <c r="H7" s="420">
        <v>0</v>
      </c>
      <c r="I7" s="420">
        <v>110000</v>
      </c>
      <c r="J7" s="570">
        <v>55000</v>
      </c>
      <c r="K7" s="420">
        <v>55000</v>
      </c>
      <c r="L7" s="420">
        <v>0</v>
      </c>
      <c r="M7" s="420">
        <v>0</v>
      </c>
    </row>
    <row r="8" spans="1:13" ht="12.75" customHeight="1">
      <c r="A8" s="569" t="s">
        <v>1437</v>
      </c>
      <c r="B8" s="569" t="s">
        <v>1491</v>
      </c>
      <c r="C8" s="569" t="s">
        <v>1492</v>
      </c>
      <c r="D8" s="569" t="s">
        <v>1480</v>
      </c>
      <c r="E8" s="420">
        <v>220000</v>
      </c>
      <c r="F8" s="420">
        <v>150000</v>
      </c>
      <c r="G8" s="420">
        <v>15000</v>
      </c>
      <c r="H8" s="420">
        <v>0</v>
      </c>
      <c r="I8" s="420">
        <v>165000</v>
      </c>
      <c r="J8" s="570">
        <v>55000</v>
      </c>
      <c r="K8" s="420">
        <v>110000</v>
      </c>
      <c r="L8" s="420">
        <v>0</v>
      </c>
      <c r="M8" s="420">
        <v>0</v>
      </c>
    </row>
    <row r="9" spans="1:13" ht="12.75" customHeight="1">
      <c r="A9" s="569" t="s">
        <v>1437</v>
      </c>
      <c r="B9" s="569" t="s">
        <v>1493</v>
      </c>
      <c r="C9" s="569" t="s">
        <v>1494</v>
      </c>
      <c r="D9" s="569" t="s">
        <v>1480</v>
      </c>
      <c r="E9" s="420">
        <v>220000</v>
      </c>
      <c r="F9" s="420">
        <v>200000</v>
      </c>
      <c r="G9" s="420">
        <v>20000</v>
      </c>
      <c r="H9" s="420">
        <v>0</v>
      </c>
      <c r="I9" s="420">
        <v>220000</v>
      </c>
      <c r="J9" s="570">
        <v>110000</v>
      </c>
      <c r="K9" s="420">
        <v>110000</v>
      </c>
      <c r="L9" s="420">
        <v>0</v>
      </c>
      <c r="M9" s="420">
        <v>0</v>
      </c>
    </row>
    <row r="10" spans="1:13" ht="12.75" customHeight="1">
      <c r="A10" s="569" t="s">
        <v>1437</v>
      </c>
      <c r="B10" s="569" t="s">
        <v>1495</v>
      </c>
      <c r="C10" s="569" t="s">
        <v>1496</v>
      </c>
      <c r="D10" s="569" t="s">
        <v>1480</v>
      </c>
      <c r="E10" s="420">
        <v>800000</v>
      </c>
      <c r="F10" s="420">
        <v>495000</v>
      </c>
      <c r="G10" s="420">
        <v>55000</v>
      </c>
      <c r="H10" s="420">
        <v>0</v>
      </c>
      <c r="I10" s="420">
        <v>550000</v>
      </c>
      <c r="J10" s="570">
        <v>300000</v>
      </c>
      <c r="K10" s="420">
        <v>200000</v>
      </c>
      <c r="L10" s="420">
        <v>50000</v>
      </c>
      <c r="M10" s="420">
        <v>0</v>
      </c>
    </row>
    <row r="11" spans="1:13" ht="12.75" customHeight="1">
      <c r="A11" s="569" t="s">
        <v>1437</v>
      </c>
      <c r="B11" s="569" t="s">
        <v>1497</v>
      </c>
      <c r="C11" s="569" t="s">
        <v>1498</v>
      </c>
      <c r="D11" s="569" t="s">
        <v>1480</v>
      </c>
      <c r="E11" s="420">
        <v>110000</v>
      </c>
      <c r="F11" s="420">
        <v>100000</v>
      </c>
      <c r="G11" s="420">
        <v>10000</v>
      </c>
      <c r="H11" s="420">
        <v>0</v>
      </c>
      <c r="I11" s="420">
        <v>110000</v>
      </c>
      <c r="J11" s="570">
        <v>0</v>
      </c>
      <c r="K11" s="420">
        <v>110000</v>
      </c>
      <c r="L11" s="420"/>
      <c r="M11" s="420"/>
    </row>
    <row r="12" spans="1:13" ht="12.75" customHeight="1">
      <c r="A12" s="569" t="s">
        <v>1437</v>
      </c>
      <c r="B12" s="569" t="s">
        <v>1499</v>
      </c>
      <c r="C12" s="569" t="s">
        <v>1500</v>
      </c>
      <c r="D12" s="569" t="s">
        <v>1501</v>
      </c>
      <c r="E12" s="420">
        <v>280000</v>
      </c>
      <c r="F12" s="420">
        <v>230000</v>
      </c>
      <c r="G12" s="420">
        <v>0</v>
      </c>
      <c r="H12" s="420">
        <v>0</v>
      </c>
      <c r="I12" s="420">
        <v>230000</v>
      </c>
      <c r="J12" s="570">
        <v>100000</v>
      </c>
      <c r="K12" s="420">
        <v>100000</v>
      </c>
      <c r="L12" s="420">
        <v>30000</v>
      </c>
      <c r="M12" s="420">
        <v>0</v>
      </c>
    </row>
    <row r="13" spans="1:13" ht="12.75" customHeight="1">
      <c r="A13" s="569" t="s">
        <v>1437</v>
      </c>
      <c r="B13" s="569" t="s">
        <v>1502</v>
      </c>
      <c r="C13" s="569" t="s">
        <v>1503</v>
      </c>
      <c r="D13" s="569" t="s">
        <v>1501</v>
      </c>
      <c r="E13" s="420">
        <v>550000</v>
      </c>
      <c r="F13" s="420">
        <v>175000</v>
      </c>
      <c r="G13" s="420">
        <v>0</v>
      </c>
      <c r="H13" s="420">
        <v>0</v>
      </c>
      <c r="I13" s="420">
        <v>175000</v>
      </c>
      <c r="J13" s="570">
        <v>125000</v>
      </c>
      <c r="K13" s="420">
        <v>50000</v>
      </c>
      <c r="L13" s="420">
        <v>0</v>
      </c>
      <c r="M13" s="420">
        <v>0</v>
      </c>
    </row>
    <row r="14" spans="1:13" ht="12.75" customHeight="1">
      <c r="A14" s="569" t="s">
        <v>1437</v>
      </c>
      <c r="B14" s="569" t="s">
        <v>1504</v>
      </c>
      <c r="C14" s="569" t="s">
        <v>1505</v>
      </c>
      <c r="D14" s="569" t="s">
        <v>1480</v>
      </c>
      <c r="E14" s="420">
        <v>770000</v>
      </c>
      <c r="F14" s="420">
        <v>500000</v>
      </c>
      <c r="G14" s="420">
        <v>50000</v>
      </c>
      <c r="H14" s="420">
        <v>0</v>
      </c>
      <c r="I14" s="420">
        <v>550000</v>
      </c>
      <c r="J14" s="570">
        <v>110000</v>
      </c>
      <c r="K14" s="420">
        <v>110000</v>
      </c>
      <c r="L14" s="420">
        <v>110000</v>
      </c>
      <c r="M14" s="420">
        <v>110000</v>
      </c>
    </row>
    <row r="15" spans="1:13" ht="12.75" customHeight="1">
      <c r="A15" s="569" t="s">
        <v>1437</v>
      </c>
      <c r="B15" s="569" t="s">
        <v>1506</v>
      </c>
      <c r="C15" s="569" t="s">
        <v>1507</v>
      </c>
      <c r="D15" s="569" t="s">
        <v>1480</v>
      </c>
      <c r="E15" s="420">
        <v>1155000</v>
      </c>
      <c r="F15" s="420">
        <v>750000</v>
      </c>
      <c r="G15" s="420">
        <v>75000</v>
      </c>
      <c r="H15" s="420">
        <v>0</v>
      </c>
      <c r="I15" s="420">
        <v>825000</v>
      </c>
      <c r="J15" s="570">
        <v>165000</v>
      </c>
      <c r="K15" s="420">
        <v>165000</v>
      </c>
      <c r="L15" s="420">
        <v>165000</v>
      </c>
      <c r="M15" s="420">
        <v>165000</v>
      </c>
    </row>
    <row r="16" spans="1:13" ht="12.75" customHeight="1">
      <c r="A16" s="569" t="s">
        <v>1437</v>
      </c>
      <c r="B16" s="569" t="s">
        <v>1508</v>
      </c>
      <c r="C16" s="569" t="s">
        <v>1509</v>
      </c>
      <c r="D16" s="569" t="s">
        <v>1480</v>
      </c>
      <c r="E16" s="420">
        <v>385000</v>
      </c>
      <c r="F16" s="420">
        <v>250000</v>
      </c>
      <c r="G16" s="420">
        <v>25000</v>
      </c>
      <c r="H16" s="420">
        <v>0</v>
      </c>
      <c r="I16" s="420">
        <v>275000</v>
      </c>
      <c r="J16" s="570">
        <v>55000</v>
      </c>
      <c r="K16" s="420">
        <v>55000</v>
      </c>
      <c r="L16" s="420">
        <v>55000</v>
      </c>
      <c r="M16" s="420">
        <v>55000</v>
      </c>
    </row>
    <row r="17" spans="1:13" ht="12.75" customHeight="1">
      <c r="A17" s="571" t="s">
        <v>1437</v>
      </c>
      <c r="B17" s="571"/>
      <c r="C17" s="571"/>
      <c r="D17" s="571"/>
      <c r="E17" s="290">
        <f t="shared" ref="E17:M17" si="0">SUM(E2:E16)</f>
        <v>8815000</v>
      </c>
      <c r="F17" s="290">
        <f t="shared" si="0"/>
        <v>5600000</v>
      </c>
      <c r="G17" s="290">
        <f t="shared" si="0"/>
        <v>395000</v>
      </c>
      <c r="H17" s="290">
        <f t="shared" si="0"/>
        <v>0</v>
      </c>
      <c r="I17" s="290">
        <f t="shared" si="0"/>
        <v>5995000</v>
      </c>
      <c r="J17" s="572">
        <f t="shared" si="0"/>
        <v>1605000</v>
      </c>
      <c r="K17" s="290">
        <f t="shared" si="0"/>
        <v>1625000</v>
      </c>
      <c r="L17" s="290">
        <f t="shared" si="0"/>
        <v>1040000</v>
      </c>
      <c r="M17" s="290">
        <f t="shared" si="0"/>
        <v>785000</v>
      </c>
    </row>
    <row r="18" spans="1:13" ht="12.75" customHeight="1"/>
    <row r="19" spans="1:13" ht="12.75" customHeight="1">
      <c r="A19" s="569" t="s">
        <v>1438</v>
      </c>
      <c r="B19" s="569" t="s">
        <v>1510</v>
      </c>
      <c r="C19" s="569" t="s">
        <v>1511</v>
      </c>
      <c r="D19" s="569" t="s">
        <v>1512</v>
      </c>
      <c r="E19" s="420">
        <v>4590000</v>
      </c>
      <c r="F19" s="420">
        <v>841403</v>
      </c>
      <c r="G19" s="420">
        <v>96000</v>
      </c>
      <c r="H19" s="420">
        <v>-93740</v>
      </c>
      <c r="I19" s="420">
        <v>843663</v>
      </c>
      <c r="J19" s="570">
        <v>639191</v>
      </c>
      <c r="K19" s="420">
        <v>204472</v>
      </c>
      <c r="L19" s="420">
        <v>0</v>
      </c>
      <c r="M19" s="420">
        <v>0</v>
      </c>
    </row>
    <row r="20" spans="1:13" ht="12.75" customHeight="1">
      <c r="A20" s="569" t="s">
        <v>1438</v>
      </c>
      <c r="B20" s="569" t="s">
        <v>1513</v>
      </c>
      <c r="C20" s="569" t="s">
        <v>1514</v>
      </c>
      <c r="D20" s="569" t="s">
        <v>1480</v>
      </c>
      <c r="E20" s="420">
        <v>4590000</v>
      </c>
      <c r="F20" s="420">
        <v>3552444</v>
      </c>
      <c r="G20" s="420">
        <v>192000</v>
      </c>
      <c r="H20" s="420">
        <v>-374444</v>
      </c>
      <c r="I20" s="420">
        <v>3370000</v>
      </c>
      <c r="J20" s="570">
        <v>1640000</v>
      </c>
      <c r="K20" s="420">
        <v>1300000</v>
      </c>
      <c r="L20" s="420">
        <v>430000</v>
      </c>
      <c r="M20" s="420">
        <v>0</v>
      </c>
    </row>
    <row r="21" spans="1:13" ht="12.75" customHeight="1">
      <c r="A21" s="569" t="s">
        <v>1438</v>
      </c>
      <c r="B21" s="569" t="s">
        <v>1515</v>
      </c>
      <c r="C21" s="569" t="s">
        <v>1516</v>
      </c>
      <c r="D21" s="569" t="s">
        <v>1480</v>
      </c>
      <c r="E21" s="420">
        <v>3120000</v>
      </c>
      <c r="F21" s="420">
        <v>679110</v>
      </c>
      <c r="G21" s="420">
        <v>432000</v>
      </c>
      <c r="H21" s="420">
        <v>-111110</v>
      </c>
      <c r="I21" s="420">
        <v>1000000</v>
      </c>
      <c r="J21" s="570">
        <v>0</v>
      </c>
      <c r="K21" s="420">
        <v>200000</v>
      </c>
      <c r="L21" s="420">
        <v>200000</v>
      </c>
      <c r="M21" s="420">
        <v>200000</v>
      </c>
    </row>
    <row r="22" spans="1:13" ht="12.75" customHeight="1">
      <c r="A22" s="571" t="s">
        <v>1438</v>
      </c>
      <c r="B22" s="571"/>
      <c r="C22" s="571"/>
      <c r="D22" s="571"/>
      <c r="E22" s="290">
        <f t="shared" ref="E22:M22" si="1">SUM(E19:E21)</f>
        <v>12300000</v>
      </c>
      <c r="F22" s="290">
        <f t="shared" si="1"/>
        <v>5072957</v>
      </c>
      <c r="G22" s="290">
        <f t="shared" si="1"/>
        <v>720000</v>
      </c>
      <c r="H22" s="290">
        <f t="shared" si="1"/>
        <v>-579294</v>
      </c>
      <c r="I22" s="290">
        <f t="shared" si="1"/>
        <v>5213663</v>
      </c>
      <c r="J22" s="572">
        <f t="shared" si="1"/>
        <v>2279191</v>
      </c>
      <c r="K22" s="290">
        <f t="shared" si="1"/>
        <v>1704472</v>
      </c>
      <c r="L22" s="290">
        <f t="shared" si="1"/>
        <v>630000</v>
      </c>
      <c r="M22" s="290">
        <f t="shared" si="1"/>
        <v>200000</v>
      </c>
    </row>
    <row r="23" spans="1:13" ht="12.75" customHeight="1"/>
    <row r="24" spans="1:13" ht="12.75" customHeight="1">
      <c r="A24" s="569" t="s">
        <v>1442</v>
      </c>
      <c r="B24" s="569" t="s">
        <v>1517</v>
      </c>
      <c r="C24" s="569" t="s">
        <v>1518</v>
      </c>
      <c r="D24" s="569" t="s">
        <v>1519</v>
      </c>
      <c r="E24" s="420">
        <v>280000</v>
      </c>
      <c r="F24" s="420">
        <v>35000</v>
      </c>
      <c r="G24" s="420">
        <v>5000</v>
      </c>
      <c r="H24" s="420">
        <v>0</v>
      </c>
      <c r="I24" s="420">
        <v>40000</v>
      </c>
      <c r="J24" s="570">
        <v>0</v>
      </c>
      <c r="K24" s="420">
        <v>40000</v>
      </c>
      <c r="L24" s="420">
        <v>0</v>
      </c>
      <c r="M24" s="420">
        <v>0</v>
      </c>
    </row>
    <row r="25" spans="1:13" ht="12.75" customHeight="1">
      <c r="A25" s="569" t="s">
        <v>1442</v>
      </c>
      <c r="B25" s="569" t="s">
        <v>1520</v>
      </c>
      <c r="C25" s="569" t="s">
        <v>1521</v>
      </c>
      <c r="D25" s="569" t="s">
        <v>1501</v>
      </c>
      <c r="E25" s="420">
        <v>3800000</v>
      </c>
      <c r="F25" s="420">
        <v>2600000</v>
      </c>
      <c r="G25" s="420">
        <v>80000</v>
      </c>
      <c r="H25" s="420">
        <v>0</v>
      </c>
      <c r="I25" s="420">
        <v>2680000</v>
      </c>
      <c r="J25" s="570">
        <v>670000</v>
      </c>
      <c r="K25" s="420">
        <v>670000</v>
      </c>
      <c r="L25" s="420">
        <v>670000</v>
      </c>
      <c r="M25" s="420">
        <v>670000</v>
      </c>
    </row>
    <row r="26" spans="1:13" ht="12.75" customHeight="1">
      <c r="A26" s="569" t="s">
        <v>1442</v>
      </c>
      <c r="B26" s="569" t="s">
        <v>1522</v>
      </c>
      <c r="C26" s="569" t="s">
        <v>1523</v>
      </c>
      <c r="D26" s="569" t="s">
        <v>1519</v>
      </c>
      <c r="E26" s="420">
        <v>4100000</v>
      </c>
      <c r="F26" s="420">
        <v>2920000</v>
      </c>
      <c r="G26" s="420">
        <v>80000</v>
      </c>
      <c r="H26" s="420">
        <v>0</v>
      </c>
      <c r="I26" s="420">
        <v>3000000</v>
      </c>
      <c r="J26" s="570">
        <v>500000</v>
      </c>
      <c r="K26" s="420">
        <v>500000</v>
      </c>
      <c r="L26" s="420">
        <v>500000</v>
      </c>
      <c r="M26" s="420">
        <v>500000</v>
      </c>
    </row>
    <row r="27" spans="1:13" ht="12.75" customHeight="1">
      <c r="A27" s="569" t="s">
        <v>1442</v>
      </c>
      <c r="B27" s="569" t="s">
        <v>1524</v>
      </c>
      <c r="C27" s="569" t="s">
        <v>1525</v>
      </c>
      <c r="D27" s="569" t="s">
        <v>1519</v>
      </c>
      <c r="E27" s="420">
        <v>1200000</v>
      </c>
      <c r="F27" s="420">
        <v>760000</v>
      </c>
      <c r="G27" s="420">
        <v>40000</v>
      </c>
      <c r="H27" s="420">
        <v>0</v>
      </c>
      <c r="I27" s="420">
        <v>800000</v>
      </c>
      <c r="J27" s="570">
        <v>200000</v>
      </c>
      <c r="K27" s="420">
        <v>200000</v>
      </c>
      <c r="L27" s="420">
        <v>200000</v>
      </c>
      <c r="M27" s="420">
        <v>200000</v>
      </c>
    </row>
    <row r="28" spans="1:13" ht="12.75" customHeight="1">
      <c r="A28" s="569" t="s">
        <v>1442</v>
      </c>
      <c r="B28" s="569" t="s">
        <v>1526</v>
      </c>
      <c r="C28" s="569" t="s">
        <v>1527</v>
      </c>
      <c r="D28" s="569" t="s">
        <v>1501</v>
      </c>
      <c r="E28" s="420">
        <v>2200000</v>
      </c>
      <c r="F28" s="420">
        <v>1180000</v>
      </c>
      <c r="G28" s="420">
        <v>20000</v>
      </c>
      <c r="H28" s="420">
        <v>0</v>
      </c>
      <c r="I28" s="420">
        <v>1200000</v>
      </c>
      <c r="J28" s="570">
        <v>0</v>
      </c>
      <c r="K28" s="420">
        <v>500000</v>
      </c>
      <c r="L28" s="420">
        <v>700000</v>
      </c>
      <c r="M28" s="420">
        <v>0</v>
      </c>
    </row>
    <row r="29" spans="1:13" ht="12.75" customHeight="1">
      <c r="A29" s="569" t="s">
        <v>1442</v>
      </c>
      <c r="B29" s="569" t="s">
        <v>1528</v>
      </c>
      <c r="C29" s="569" t="s">
        <v>1529</v>
      </c>
      <c r="D29" s="569" t="s">
        <v>1480</v>
      </c>
      <c r="E29" s="420">
        <v>300000</v>
      </c>
      <c r="F29" s="420">
        <v>260000</v>
      </c>
      <c r="G29" s="420">
        <v>15000</v>
      </c>
      <c r="H29" s="420">
        <v>0</v>
      </c>
      <c r="I29" s="420">
        <v>275000</v>
      </c>
      <c r="J29" s="570">
        <v>0</v>
      </c>
      <c r="K29" s="420">
        <v>0</v>
      </c>
      <c r="L29" s="420">
        <v>0</v>
      </c>
      <c r="M29" s="420">
        <v>0</v>
      </c>
    </row>
    <row r="30" spans="1:13" ht="12.75" customHeight="1">
      <c r="A30" s="569" t="s">
        <v>1442</v>
      </c>
      <c r="B30" s="569" t="s">
        <v>1530</v>
      </c>
      <c r="C30" s="569" t="s">
        <v>1531</v>
      </c>
      <c r="D30" s="569" t="s">
        <v>1480</v>
      </c>
      <c r="E30" s="420">
        <v>1700000</v>
      </c>
      <c r="F30" s="420">
        <v>1670000</v>
      </c>
      <c r="G30" s="420">
        <v>30000</v>
      </c>
      <c r="H30" s="420">
        <v>0</v>
      </c>
      <c r="I30" s="420">
        <v>1700000</v>
      </c>
      <c r="J30" s="570">
        <v>0</v>
      </c>
      <c r="K30" s="420">
        <v>0</v>
      </c>
      <c r="L30" s="420">
        <v>0</v>
      </c>
      <c r="M30" s="420">
        <v>0</v>
      </c>
    </row>
    <row r="31" spans="1:13" ht="12.75" customHeight="1">
      <c r="A31" s="569" t="s">
        <v>1442</v>
      </c>
      <c r="B31" s="569" t="s">
        <v>1532</v>
      </c>
      <c r="C31" s="569" t="s">
        <v>1533</v>
      </c>
      <c r="D31" s="569" t="s">
        <v>1480</v>
      </c>
      <c r="E31" s="420">
        <v>1650000</v>
      </c>
      <c r="F31" s="420">
        <v>430000</v>
      </c>
      <c r="G31" s="420">
        <v>20000</v>
      </c>
      <c r="H31" s="420">
        <v>0</v>
      </c>
      <c r="I31" s="420">
        <v>450000</v>
      </c>
      <c r="J31" s="570">
        <v>200000</v>
      </c>
      <c r="K31" s="420">
        <v>250000</v>
      </c>
      <c r="L31" s="420">
        <v>0</v>
      </c>
      <c r="M31" s="420">
        <v>0</v>
      </c>
    </row>
    <row r="32" spans="1:13" ht="12.75" customHeight="1">
      <c r="A32" s="569" t="s">
        <v>1442</v>
      </c>
      <c r="B32" s="569" t="s">
        <v>1534</v>
      </c>
      <c r="C32" s="569" t="s">
        <v>1535</v>
      </c>
      <c r="D32" s="569" t="s">
        <v>1512</v>
      </c>
      <c r="E32" s="420">
        <v>5400000</v>
      </c>
      <c r="F32" s="420">
        <v>2380000</v>
      </c>
      <c r="G32" s="420">
        <v>70000</v>
      </c>
      <c r="H32" s="420">
        <v>-250000</v>
      </c>
      <c r="I32" s="420">
        <v>2200000</v>
      </c>
      <c r="J32" s="570">
        <f>1000000-500000</f>
        <v>500000</v>
      </c>
      <c r="K32" s="420">
        <f>1200000+500000</f>
        <v>1700000</v>
      </c>
      <c r="L32" s="420">
        <v>0</v>
      </c>
      <c r="M32" s="420">
        <v>0</v>
      </c>
    </row>
    <row r="33" spans="1:15" ht="12.75" customHeight="1">
      <c r="A33" s="569" t="s">
        <v>1442</v>
      </c>
      <c r="B33" s="569" t="s">
        <v>1536</v>
      </c>
      <c r="C33" s="569" t="s">
        <v>1537</v>
      </c>
      <c r="D33" s="569" t="s">
        <v>1480</v>
      </c>
      <c r="E33" s="420">
        <v>1000000</v>
      </c>
      <c r="F33" s="420">
        <v>975000</v>
      </c>
      <c r="G33" s="420">
        <v>25000</v>
      </c>
      <c r="H33" s="420">
        <v>0</v>
      </c>
      <c r="I33" s="420">
        <v>1000000</v>
      </c>
      <c r="J33" s="570">
        <v>0</v>
      </c>
      <c r="K33" s="420">
        <v>0</v>
      </c>
      <c r="L33" s="420">
        <v>100000</v>
      </c>
      <c r="M33" s="420">
        <v>900000</v>
      </c>
    </row>
    <row r="34" spans="1:15" ht="12.75" customHeight="1">
      <c r="A34" s="569" t="s">
        <v>1442</v>
      </c>
      <c r="B34" s="569" t="s">
        <v>1538</v>
      </c>
      <c r="C34" s="569" t="s">
        <v>1539</v>
      </c>
      <c r="D34" s="569" t="s">
        <v>1480</v>
      </c>
      <c r="E34" s="420">
        <v>5100000</v>
      </c>
      <c r="F34" s="420">
        <v>3500000</v>
      </c>
      <c r="G34" s="420">
        <v>0</v>
      </c>
      <c r="H34" s="420">
        <v>0</v>
      </c>
      <c r="I34" s="420">
        <v>3500000</v>
      </c>
      <c r="J34" s="570">
        <v>500000</v>
      </c>
      <c r="K34" s="420">
        <v>1500000</v>
      </c>
      <c r="L34" s="420">
        <v>1500000</v>
      </c>
      <c r="M34" s="420">
        <v>0</v>
      </c>
    </row>
    <row r="35" spans="1:15" ht="12.75" customHeight="1">
      <c r="A35" s="569" t="s">
        <v>1442</v>
      </c>
      <c r="B35" s="569" t="s">
        <v>1540</v>
      </c>
      <c r="C35" s="569" t="s">
        <v>1541</v>
      </c>
      <c r="D35" s="569" t="s">
        <v>1480</v>
      </c>
      <c r="E35" s="420">
        <v>1020000</v>
      </c>
      <c r="F35" s="420">
        <v>960000</v>
      </c>
      <c r="G35" s="420">
        <v>40000</v>
      </c>
      <c r="H35" s="420">
        <v>0</v>
      </c>
      <c r="I35" s="420">
        <v>1000000</v>
      </c>
      <c r="J35" s="570">
        <v>200000</v>
      </c>
      <c r="K35" s="420">
        <v>200000</v>
      </c>
      <c r="L35" s="420">
        <v>200000</v>
      </c>
      <c r="M35" s="420">
        <v>200000</v>
      </c>
    </row>
    <row r="36" spans="1:15" ht="12.75" customHeight="1">
      <c r="A36" s="569" t="s">
        <v>1442</v>
      </c>
      <c r="B36" s="569" t="s">
        <v>1542</v>
      </c>
      <c r="C36" s="569" t="s">
        <v>1543</v>
      </c>
      <c r="D36" s="569" t="s">
        <v>1501</v>
      </c>
      <c r="E36" s="420">
        <v>1380000</v>
      </c>
      <c r="F36" s="420">
        <v>1110000</v>
      </c>
      <c r="G36" s="420">
        <v>0</v>
      </c>
      <c r="H36" s="420">
        <v>0</v>
      </c>
      <c r="I36" s="420">
        <v>1110000</v>
      </c>
      <c r="J36" s="570">
        <v>0</v>
      </c>
      <c r="K36" s="420">
        <v>594000</v>
      </c>
      <c r="L36" s="420">
        <v>0</v>
      </c>
      <c r="M36" s="420">
        <v>0</v>
      </c>
    </row>
    <row r="37" spans="1:15" ht="12.75" customHeight="1">
      <c r="A37" s="569" t="s">
        <v>1442</v>
      </c>
      <c r="B37" s="569" t="s">
        <v>1544</v>
      </c>
      <c r="C37" s="569" t="s">
        <v>1545</v>
      </c>
      <c r="D37" s="569" t="s">
        <v>1480</v>
      </c>
      <c r="E37" s="420">
        <v>2820000</v>
      </c>
      <c r="F37" s="420">
        <v>2770000</v>
      </c>
      <c r="G37" s="420">
        <v>50000</v>
      </c>
      <c r="H37" s="420">
        <v>0</v>
      </c>
      <c r="I37" s="420">
        <v>2820000</v>
      </c>
      <c r="J37" s="570">
        <v>0</v>
      </c>
      <c r="K37" s="420">
        <v>0</v>
      </c>
      <c r="L37" s="420">
        <v>0</v>
      </c>
      <c r="M37" s="420">
        <v>0</v>
      </c>
    </row>
    <row r="38" spans="1:15" ht="12.75" customHeight="1">
      <c r="A38" s="569" t="s">
        <v>1442</v>
      </c>
      <c r="B38" s="569" t="s">
        <v>1546</v>
      </c>
      <c r="C38" s="569" t="s">
        <v>1547</v>
      </c>
      <c r="D38" s="569" t="s">
        <v>1480</v>
      </c>
      <c r="E38" s="420">
        <v>11800000</v>
      </c>
      <c r="F38" s="420">
        <v>11600000</v>
      </c>
      <c r="G38" s="420">
        <v>200000</v>
      </c>
      <c r="H38" s="420">
        <v>-6600000</v>
      </c>
      <c r="I38" s="420">
        <v>5200000</v>
      </c>
      <c r="J38" s="570">
        <v>100000</v>
      </c>
      <c r="K38" s="420">
        <v>200000</v>
      </c>
      <c r="L38" s="420">
        <v>2000000</v>
      </c>
      <c r="M38" s="420">
        <v>2000000</v>
      </c>
    </row>
    <row r="39" spans="1:15" ht="12.75" customHeight="1">
      <c r="A39" s="569" t="s">
        <v>1442</v>
      </c>
      <c r="B39" s="569" t="s">
        <v>1548</v>
      </c>
      <c r="C39" s="569" t="s">
        <v>1549</v>
      </c>
      <c r="D39" s="569" t="s">
        <v>1480</v>
      </c>
      <c r="E39" s="420">
        <v>1856000</v>
      </c>
      <c r="F39" s="420">
        <v>840000</v>
      </c>
      <c r="G39" s="420">
        <v>36000</v>
      </c>
      <c r="H39" s="420">
        <v>0</v>
      </c>
      <c r="I39" s="420">
        <v>876000</v>
      </c>
      <c r="J39" s="570">
        <v>292000</v>
      </c>
      <c r="K39" s="420">
        <v>292000</v>
      </c>
      <c r="L39" s="420">
        <v>292000</v>
      </c>
      <c r="M39" s="420">
        <v>0</v>
      </c>
    </row>
    <row r="40" spans="1:15" ht="12.75" customHeight="1">
      <c r="A40" s="569" t="s">
        <v>1442</v>
      </c>
      <c r="B40" s="569" t="s">
        <v>1550</v>
      </c>
      <c r="C40" s="569" t="s">
        <v>1551</v>
      </c>
      <c r="D40" s="569" t="s">
        <v>1512</v>
      </c>
      <c r="E40" s="420">
        <v>2200000</v>
      </c>
      <c r="F40" s="420">
        <v>1170000</v>
      </c>
      <c r="G40" s="420">
        <v>30000</v>
      </c>
      <c r="H40" s="420">
        <v>0</v>
      </c>
      <c r="I40" s="420">
        <v>1200000</v>
      </c>
      <c r="J40" s="570">
        <v>1200000</v>
      </c>
      <c r="K40" s="420">
        <v>0</v>
      </c>
      <c r="L40" s="420">
        <v>0</v>
      </c>
      <c r="M40" s="420">
        <v>0</v>
      </c>
    </row>
    <row r="41" spans="1:15" ht="12.75" customHeight="1">
      <c r="A41" s="569" t="s">
        <v>1442</v>
      </c>
      <c r="B41" s="569" t="s">
        <v>1552</v>
      </c>
      <c r="C41" s="569" t="s">
        <v>1553</v>
      </c>
      <c r="D41" s="569" t="s">
        <v>1480</v>
      </c>
      <c r="E41" s="420">
        <v>5250000</v>
      </c>
      <c r="F41" s="420">
        <v>5100000</v>
      </c>
      <c r="G41" s="420">
        <v>150000</v>
      </c>
      <c r="H41" s="420">
        <v>0</v>
      </c>
      <c r="I41" s="420">
        <v>5250000</v>
      </c>
      <c r="J41" s="570">
        <v>250000</v>
      </c>
      <c r="K41" s="420">
        <v>0</v>
      </c>
      <c r="L41" s="420">
        <v>0</v>
      </c>
      <c r="M41" s="420">
        <v>0</v>
      </c>
    </row>
    <row r="42" spans="1:15" ht="12.75" customHeight="1">
      <c r="A42" s="569" t="s">
        <v>1442</v>
      </c>
      <c r="B42" s="569" t="s">
        <v>1554</v>
      </c>
      <c r="C42" s="569" t="s">
        <v>1555</v>
      </c>
      <c r="D42" s="569" t="s">
        <v>1480</v>
      </c>
      <c r="E42" s="420">
        <v>2500000</v>
      </c>
      <c r="F42" s="420">
        <v>2300000</v>
      </c>
      <c r="G42" s="420">
        <v>40000</v>
      </c>
      <c r="H42" s="420">
        <v>0</v>
      </c>
      <c r="I42" s="420">
        <v>2340000</v>
      </c>
      <c r="J42" s="570">
        <v>340000</v>
      </c>
      <c r="K42" s="420">
        <v>2000000</v>
      </c>
      <c r="L42" s="420">
        <v>0</v>
      </c>
      <c r="M42" s="420">
        <v>0</v>
      </c>
    </row>
    <row r="43" spans="1:15" ht="12.75" customHeight="1">
      <c r="A43" s="569" t="s">
        <v>1442</v>
      </c>
      <c r="B43" s="569" t="s">
        <v>1556</v>
      </c>
      <c r="C43" s="569" t="s">
        <v>1557</v>
      </c>
      <c r="D43" s="569" t="s">
        <v>1558</v>
      </c>
      <c r="E43" s="420">
        <v>1550000</v>
      </c>
      <c r="F43" s="420">
        <v>1345000</v>
      </c>
      <c r="G43" s="420">
        <v>55000</v>
      </c>
      <c r="H43" s="420">
        <v>0</v>
      </c>
      <c r="I43" s="420">
        <v>1400000</v>
      </c>
      <c r="J43" s="570">
        <v>50000</v>
      </c>
      <c r="K43" s="420">
        <v>900000</v>
      </c>
      <c r="L43" s="420">
        <v>450000</v>
      </c>
      <c r="M43" s="420">
        <v>0</v>
      </c>
    </row>
    <row r="44" spans="1:15" ht="12.75" customHeight="1">
      <c r="A44" s="569" t="s">
        <v>1442</v>
      </c>
      <c r="B44" s="569" t="s">
        <v>1559</v>
      </c>
      <c r="C44" s="569" t="s">
        <v>1560</v>
      </c>
      <c r="D44" s="569" t="s">
        <v>1480</v>
      </c>
      <c r="E44" s="420">
        <v>1060000</v>
      </c>
      <c r="F44" s="420">
        <v>1000000</v>
      </c>
      <c r="G44" s="420">
        <v>60000</v>
      </c>
      <c r="H44" s="420">
        <v>0</v>
      </c>
      <c r="I44" s="420">
        <v>1060000</v>
      </c>
      <c r="J44" s="570">
        <v>0</v>
      </c>
      <c r="K44" s="420">
        <v>0</v>
      </c>
      <c r="L44" s="420">
        <v>0</v>
      </c>
      <c r="M44" s="420">
        <v>260000</v>
      </c>
    </row>
    <row r="45" spans="1:15" ht="12.75" customHeight="1">
      <c r="A45" s="569" t="s">
        <v>1442</v>
      </c>
      <c r="B45" s="569" t="s">
        <v>1561</v>
      </c>
      <c r="C45" s="569" t="s">
        <v>1562</v>
      </c>
      <c r="D45" s="569" t="s">
        <v>1480</v>
      </c>
      <c r="E45" s="420">
        <v>1450000</v>
      </c>
      <c r="F45" s="420">
        <v>1270000</v>
      </c>
      <c r="G45" s="420">
        <v>30000</v>
      </c>
      <c r="H45" s="420">
        <v>0</v>
      </c>
      <c r="I45" s="420">
        <v>1300000</v>
      </c>
      <c r="J45" s="570">
        <v>0</v>
      </c>
      <c r="K45" s="420">
        <v>0</v>
      </c>
      <c r="L45" s="420">
        <v>200000</v>
      </c>
      <c r="M45" s="420">
        <v>1100000</v>
      </c>
    </row>
    <row r="46" spans="1:15" s="295" customFormat="1" ht="12.75" customHeight="1">
      <c r="A46" s="569" t="s">
        <v>1442</v>
      </c>
      <c r="B46" s="569" t="s">
        <v>1563</v>
      </c>
      <c r="C46" s="569" t="s">
        <v>1564</v>
      </c>
      <c r="D46" s="569" t="s">
        <v>1480</v>
      </c>
      <c r="E46" s="420">
        <v>1500000</v>
      </c>
      <c r="F46" s="420">
        <v>1480000</v>
      </c>
      <c r="G46" s="420">
        <v>20000</v>
      </c>
      <c r="H46" s="420">
        <v>0</v>
      </c>
      <c r="I46" s="420">
        <v>1500000</v>
      </c>
      <c r="J46" s="570">
        <v>0</v>
      </c>
      <c r="K46" s="420">
        <v>0</v>
      </c>
      <c r="L46" s="420">
        <v>1500000</v>
      </c>
      <c r="M46" s="420">
        <v>0</v>
      </c>
      <c r="N46" s="573"/>
      <c r="O46" s="573"/>
    </row>
    <row r="47" spans="1:15" ht="12.75" customHeight="1">
      <c r="A47" s="569" t="s">
        <v>1442</v>
      </c>
      <c r="B47" s="569" t="s">
        <v>1565</v>
      </c>
      <c r="C47" s="569" t="s">
        <v>1566</v>
      </c>
      <c r="D47" s="569" t="s">
        <v>1480</v>
      </c>
      <c r="E47" s="420">
        <v>3700000</v>
      </c>
      <c r="F47" s="420">
        <v>3670000</v>
      </c>
      <c r="G47" s="420">
        <v>30000</v>
      </c>
      <c r="H47" s="420">
        <v>0</v>
      </c>
      <c r="I47" s="420">
        <v>3700000</v>
      </c>
      <c r="J47" s="570">
        <v>0</v>
      </c>
      <c r="K47" s="420">
        <v>0</v>
      </c>
      <c r="L47" s="420">
        <v>0</v>
      </c>
      <c r="M47" s="420">
        <v>0</v>
      </c>
    </row>
    <row r="48" spans="1:15" s="295" customFormat="1" ht="12.75" customHeight="1">
      <c r="A48" s="569" t="s">
        <v>1442</v>
      </c>
      <c r="B48" s="569" t="s">
        <v>1567</v>
      </c>
      <c r="C48" s="569" t="s">
        <v>1568</v>
      </c>
      <c r="D48" s="569" t="s">
        <v>1480</v>
      </c>
      <c r="E48" s="420">
        <v>1200000</v>
      </c>
      <c r="F48" s="420">
        <v>1170000</v>
      </c>
      <c r="G48" s="420">
        <v>30000</v>
      </c>
      <c r="H48" s="420">
        <v>0</v>
      </c>
      <c r="I48" s="420">
        <v>1200000</v>
      </c>
      <c r="J48" s="570">
        <v>70000</v>
      </c>
      <c r="K48" s="420">
        <v>1130000</v>
      </c>
      <c r="L48" s="420">
        <v>0</v>
      </c>
      <c r="M48" s="420">
        <v>0</v>
      </c>
      <c r="N48" s="573"/>
      <c r="O48" s="573"/>
    </row>
    <row r="49" spans="1:13" ht="12.75" customHeight="1">
      <c r="A49" s="569" t="s">
        <v>1442</v>
      </c>
      <c r="B49" s="569" t="s">
        <v>1569</v>
      </c>
      <c r="C49" s="569" t="s">
        <v>1570</v>
      </c>
      <c r="D49" s="569" t="s">
        <v>1480</v>
      </c>
      <c r="E49" s="420">
        <v>450000</v>
      </c>
      <c r="F49" s="420">
        <v>435000</v>
      </c>
      <c r="G49" s="420">
        <v>15000</v>
      </c>
      <c r="H49" s="420">
        <v>0</v>
      </c>
      <c r="I49" s="420">
        <v>450000</v>
      </c>
      <c r="J49" s="570">
        <v>0</v>
      </c>
      <c r="K49" s="420">
        <v>0</v>
      </c>
      <c r="L49" s="420">
        <v>0</v>
      </c>
      <c r="M49" s="420">
        <v>10000</v>
      </c>
    </row>
    <row r="50" spans="1:13" ht="12.75" customHeight="1">
      <c r="A50" s="569" t="s">
        <v>1442</v>
      </c>
      <c r="B50" s="569" t="s">
        <v>1571</v>
      </c>
      <c r="C50" s="569" t="s">
        <v>1572</v>
      </c>
      <c r="D50" s="569" t="s">
        <v>1480</v>
      </c>
      <c r="E50" s="420">
        <v>820000</v>
      </c>
      <c r="F50" s="420">
        <v>790000</v>
      </c>
      <c r="G50" s="420">
        <v>30000</v>
      </c>
      <c r="H50" s="420">
        <v>0</v>
      </c>
      <c r="I50" s="420">
        <v>820000</v>
      </c>
      <c r="J50" s="570">
        <v>600000</v>
      </c>
      <c r="K50" s="420">
        <v>220000</v>
      </c>
      <c r="L50" s="420">
        <v>0</v>
      </c>
      <c r="M50" s="420">
        <v>0</v>
      </c>
    </row>
    <row r="51" spans="1:13" ht="12.75" customHeight="1">
      <c r="A51" s="569" t="s">
        <v>1442</v>
      </c>
      <c r="B51" s="569" t="s">
        <v>1573</v>
      </c>
      <c r="C51" s="569" t="s">
        <v>1574</v>
      </c>
      <c r="D51" s="569" t="s">
        <v>1480</v>
      </c>
      <c r="E51" s="420">
        <v>600000</v>
      </c>
      <c r="F51" s="420">
        <v>560000</v>
      </c>
      <c r="G51" s="420">
        <v>40000</v>
      </c>
      <c r="H51" s="420">
        <v>0</v>
      </c>
      <c r="I51" s="420">
        <v>600000</v>
      </c>
      <c r="J51" s="570">
        <v>150000</v>
      </c>
      <c r="K51" s="420">
        <v>150000</v>
      </c>
      <c r="L51" s="420">
        <v>150000</v>
      </c>
      <c r="M51" s="420">
        <v>150000</v>
      </c>
    </row>
    <row r="52" spans="1:13" ht="12.75" customHeight="1">
      <c r="A52" s="569" t="s">
        <v>1442</v>
      </c>
      <c r="B52" s="569" t="s">
        <v>1575</v>
      </c>
      <c r="C52" s="569" t="s">
        <v>1576</v>
      </c>
      <c r="D52" s="569" t="s">
        <v>1480</v>
      </c>
      <c r="E52" s="420">
        <v>170000</v>
      </c>
      <c r="F52" s="420">
        <v>165000</v>
      </c>
      <c r="G52" s="420">
        <v>5000</v>
      </c>
      <c r="H52" s="420">
        <v>0</v>
      </c>
      <c r="I52" s="420">
        <v>170000</v>
      </c>
      <c r="J52" s="570">
        <v>0</v>
      </c>
      <c r="K52" s="420">
        <v>0</v>
      </c>
      <c r="L52" s="420">
        <v>170000</v>
      </c>
      <c r="M52" s="420">
        <v>0</v>
      </c>
    </row>
    <row r="53" spans="1:13" ht="12.75" customHeight="1">
      <c r="A53" s="569" t="s">
        <v>1442</v>
      </c>
      <c r="B53" s="569" t="s">
        <v>1577</v>
      </c>
      <c r="C53" s="569" t="s">
        <v>1578</v>
      </c>
      <c r="D53" s="569" t="s">
        <v>1480</v>
      </c>
      <c r="E53" s="420">
        <v>450000</v>
      </c>
      <c r="F53" s="420">
        <v>430000</v>
      </c>
      <c r="G53" s="420">
        <v>20000</v>
      </c>
      <c r="H53" s="420">
        <v>0</v>
      </c>
      <c r="I53" s="420">
        <v>450000</v>
      </c>
      <c r="J53" s="570">
        <v>0</v>
      </c>
      <c r="K53" s="420">
        <v>20000</v>
      </c>
      <c r="L53" s="420">
        <v>430000</v>
      </c>
      <c r="M53" s="420">
        <v>0</v>
      </c>
    </row>
    <row r="54" spans="1:13" ht="12.75" customHeight="1">
      <c r="A54" s="569" t="s">
        <v>1442</v>
      </c>
      <c r="B54" s="569" t="s">
        <v>1579</v>
      </c>
      <c r="C54" s="569" t="s">
        <v>1580</v>
      </c>
      <c r="D54" s="569" t="s">
        <v>1480</v>
      </c>
      <c r="E54" s="420">
        <v>300000</v>
      </c>
      <c r="F54" s="420">
        <v>270000</v>
      </c>
      <c r="G54" s="420">
        <v>30000</v>
      </c>
      <c r="H54" s="420">
        <v>0</v>
      </c>
      <c r="I54" s="420">
        <v>300000</v>
      </c>
      <c r="J54" s="570">
        <v>0</v>
      </c>
      <c r="K54" s="420">
        <v>0</v>
      </c>
      <c r="L54" s="420">
        <v>300000</v>
      </c>
      <c r="M54" s="420">
        <v>0</v>
      </c>
    </row>
    <row r="55" spans="1:13" ht="12.75" customHeight="1">
      <c r="A55" s="569" t="s">
        <v>1442</v>
      </c>
      <c r="B55" s="569" t="s">
        <v>1581</v>
      </c>
      <c r="C55" s="569" t="s">
        <v>1582</v>
      </c>
      <c r="D55" s="569" t="s">
        <v>1480</v>
      </c>
      <c r="E55" s="420">
        <v>280000</v>
      </c>
      <c r="F55" s="420">
        <v>260000</v>
      </c>
      <c r="G55" s="420">
        <v>20000</v>
      </c>
      <c r="H55" s="420">
        <v>0</v>
      </c>
      <c r="I55" s="420">
        <v>280000</v>
      </c>
      <c r="J55" s="570">
        <v>10000</v>
      </c>
      <c r="K55" s="420">
        <v>270000</v>
      </c>
      <c r="L55" s="420">
        <v>0</v>
      </c>
      <c r="M55" s="420">
        <v>0</v>
      </c>
    </row>
    <row r="56" spans="1:13" ht="12.75" customHeight="1">
      <c r="A56" s="569" t="s">
        <v>1442</v>
      </c>
      <c r="B56" s="569" t="s">
        <v>1583</v>
      </c>
      <c r="C56" s="569" t="s">
        <v>1584</v>
      </c>
      <c r="D56" s="569" t="s">
        <v>1480</v>
      </c>
      <c r="E56" s="420">
        <v>1790000</v>
      </c>
      <c r="F56" s="420">
        <v>1360000</v>
      </c>
      <c r="G56" s="420">
        <v>30000</v>
      </c>
      <c r="H56" s="420">
        <v>0</v>
      </c>
      <c r="I56" s="420">
        <v>1390000</v>
      </c>
      <c r="J56" s="570">
        <f>1390000-500000</f>
        <v>890000</v>
      </c>
      <c r="K56" s="420">
        <v>500000</v>
      </c>
      <c r="L56" s="420">
        <v>0</v>
      </c>
      <c r="M56" s="420">
        <v>0</v>
      </c>
    </row>
    <row r="57" spans="1:13" ht="12.75" customHeight="1">
      <c r="A57" s="569" t="s">
        <v>1442</v>
      </c>
      <c r="B57" s="569" t="s">
        <v>1585</v>
      </c>
      <c r="C57" s="569" t="s">
        <v>1586</v>
      </c>
      <c r="D57" s="569" t="s">
        <v>1480</v>
      </c>
      <c r="E57" s="420">
        <v>800000</v>
      </c>
      <c r="F57" s="420">
        <v>780000</v>
      </c>
      <c r="G57" s="420">
        <v>20000</v>
      </c>
      <c r="H57" s="420">
        <v>0</v>
      </c>
      <c r="I57" s="420">
        <v>800000</v>
      </c>
      <c r="J57" s="570">
        <v>0</v>
      </c>
      <c r="K57" s="420">
        <v>0</v>
      </c>
      <c r="L57" s="420">
        <v>0</v>
      </c>
      <c r="M57" s="420">
        <v>35000</v>
      </c>
    </row>
    <row r="58" spans="1:13" ht="12.75" customHeight="1">
      <c r="A58" s="569" t="s">
        <v>1442</v>
      </c>
      <c r="B58" s="569" t="s">
        <v>1587</v>
      </c>
      <c r="C58" s="569" t="s">
        <v>1588</v>
      </c>
      <c r="D58" s="569" t="s">
        <v>1480</v>
      </c>
      <c r="E58" s="420">
        <v>2220000</v>
      </c>
      <c r="F58" s="420">
        <v>1680000</v>
      </c>
      <c r="G58" s="420">
        <v>40000</v>
      </c>
      <c r="H58" s="420">
        <v>0</v>
      </c>
      <c r="I58" s="420">
        <v>1720000</v>
      </c>
      <c r="J58" s="570">
        <f>1720000-500000</f>
        <v>1220000</v>
      </c>
      <c r="K58" s="420">
        <v>500000</v>
      </c>
      <c r="L58" s="420">
        <v>0</v>
      </c>
      <c r="M58" s="420">
        <v>0</v>
      </c>
    </row>
    <row r="59" spans="1:13" ht="12.75" customHeight="1">
      <c r="A59" s="569" t="s">
        <v>1442</v>
      </c>
      <c r="B59" s="569" t="s">
        <v>1589</v>
      </c>
      <c r="C59" s="569" t="s">
        <v>1590</v>
      </c>
      <c r="D59" s="569" t="s">
        <v>1480</v>
      </c>
      <c r="E59" s="420">
        <v>230000</v>
      </c>
      <c r="F59" s="420">
        <v>220000</v>
      </c>
      <c r="G59" s="420">
        <v>10000</v>
      </c>
      <c r="H59" s="420">
        <v>0</v>
      </c>
      <c r="I59" s="420">
        <v>230000</v>
      </c>
      <c r="J59" s="570">
        <v>230000</v>
      </c>
      <c r="K59" s="420">
        <v>0</v>
      </c>
      <c r="L59" s="420">
        <v>0</v>
      </c>
      <c r="M59" s="420">
        <v>0</v>
      </c>
    </row>
    <row r="60" spans="1:13" ht="12.75" customHeight="1">
      <c r="A60" s="569" t="s">
        <v>1442</v>
      </c>
      <c r="B60" s="569" t="s">
        <v>1591</v>
      </c>
      <c r="C60" s="569" t="s">
        <v>1592</v>
      </c>
      <c r="D60" s="569" t="s">
        <v>1480</v>
      </c>
      <c r="E60" s="420">
        <v>2005000</v>
      </c>
      <c r="F60" s="420">
        <v>1475000</v>
      </c>
      <c r="G60" s="420">
        <v>30000</v>
      </c>
      <c r="H60" s="420">
        <v>0</v>
      </c>
      <c r="I60" s="420">
        <v>1505000</v>
      </c>
      <c r="J60" s="570">
        <v>505000</v>
      </c>
      <c r="K60" s="420">
        <v>1000000</v>
      </c>
      <c r="L60" s="420">
        <v>0</v>
      </c>
      <c r="M60" s="420">
        <v>0</v>
      </c>
    </row>
    <row r="61" spans="1:13" ht="12.75" customHeight="1">
      <c r="A61" s="569" t="s">
        <v>1442</v>
      </c>
      <c r="B61" s="569" t="s">
        <v>1593</v>
      </c>
      <c r="C61" s="569" t="s">
        <v>1594</v>
      </c>
      <c r="D61" s="569" t="s">
        <v>1480</v>
      </c>
      <c r="E61" s="420">
        <v>600000</v>
      </c>
      <c r="F61" s="420">
        <v>580000</v>
      </c>
      <c r="G61" s="420">
        <v>20000</v>
      </c>
      <c r="H61" s="420">
        <v>0</v>
      </c>
      <c r="I61" s="420">
        <v>600000</v>
      </c>
      <c r="J61" s="570">
        <v>20000</v>
      </c>
      <c r="K61" s="420">
        <v>580000</v>
      </c>
      <c r="L61" s="420">
        <v>0</v>
      </c>
      <c r="M61" s="420">
        <v>0</v>
      </c>
    </row>
    <row r="62" spans="1:13" ht="12.75" customHeight="1">
      <c r="A62" s="569" t="s">
        <v>1442</v>
      </c>
      <c r="B62" s="569" t="s">
        <v>1595</v>
      </c>
      <c r="C62" s="569" t="s">
        <v>1596</v>
      </c>
      <c r="D62" s="569" t="s">
        <v>1480</v>
      </c>
      <c r="E62" s="420">
        <v>350000</v>
      </c>
      <c r="F62" s="420">
        <v>330000</v>
      </c>
      <c r="G62" s="420">
        <v>20000</v>
      </c>
      <c r="H62" s="420">
        <v>0</v>
      </c>
      <c r="I62" s="420">
        <v>350000</v>
      </c>
      <c r="J62" s="570">
        <v>0</v>
      </c>
      <c r="K62" s="420">
        <v>20000</v>
      </c>
      <c r="L62" s="420">
        <v>330000</v>
      </c>
      <c r="M62" s="420">
        <v>0</v>
      </c>
    </row>
    <row r="63" spans="1:13" ht="12.75" customHeight="1">
      <c r="A63" s="569" t="s">
        <v>1442</v>
      </c>
      <c r="B63" s="569" t="s">
        <v>1597</v>
      </c>
      <c r="C63" s="569" t="s">
        <v>1598</v>
      </c>
      <c r="D63" s="569" t="s">
        <v>1480</v>
      </c>
      <c r="E63" s="420">
        <v>1000000</v>
      </c>
      <c r="F63" s="420">
        <v>975000</v>
      </c>
      <c r="G63" s="420">
        <v>25000</v>
      </c>
      <c r="H63" s="420">
        <v>0</v>
      </c>
      <c r="I63" s="420">
        <v>1000000</v>
      </c>
      <c r="J63" s="570">
        <v>0</v>
      </c>
      <c r="K63" s="420">
        <v>0</v>
      </c>
      <c r="L63" s="420">
        <v>0</v>
      </c>
      <c r="M63" s="420">
        <v>40000</v>
      </c>
    </row>
    <row r="64" spans="1:13" ht="12.75" customHeight="1">
      <c r="A64" s="569" t="s">
        <v>1442</v>
      </c>
      <c r="B64" s="569" t="s">
        <v>1599</v>
      </c>
      <c r="C64" s="569" t="s">
        <v>1600</v>
      </c>
      <c r="D64" s="569" t="s">
        <v>1480</v>
      </c>
      <c r="E64" s="420">
        <v>730000</v>
      </c>
      <c r="F64" s="420">
        <v>710000</v>
      </c>
      <c r="G64" s="420">
        <v>20000</v>
      </c>
      <c r="H64" s="420">
        <v>0</v>
      </c>
      <c r="I64" s="420">
        <v>730000</v>
      </c>
      <c r="J64" s="570">
        <v>30000</v>
      </c>
      <c r="K64" s="420">
        <v>700000</v>
      </c>
      <c r="L64" s="420">
        <v>0</v>
      </c>
      <c r="M64" s="420">
        <v>0</v>
      </c>
    </row>
    <row r="65" spans="1:13" ht="12.75" customHeight="1">
      <c r="A65" s="569" t="s">
        <v>1442</v>
      </c>
      <c r="B65" s="569" t="s">
        <v>1601</v>
      </c>
      <c r="C65" s="569" t="s">
        <v>1602</v>
      </c>
      <c r="D65" s="569" t="s">
        <v>1480</v>
      </c>
      <c r="E65" s="420">
        <v>650000</v>
      </c>
      <c r="F65" s="420">
        <v>620000</v>
      </c>
      <c r="G65" s="420">
        <v>30000</v>
      </c>
      <c r="H65" s="420">
        <v>0</v>
      </c>
      <c r="I65" s="420">
        <v>650000</v>
      </c>
      <c r="J65" s="570">
        <v>40000</v>
      </c>
      <c r="K65" s="420">
        <v>610000</v>
      </c>
      <c r="L65" s="420">
        <v>0</v>
      </c>
      <c r="M65" s="420">
        <v>0</v>
      </c>
    </row>
    <row r="66" spans="1:13" ht="12.75" customHeight="1">
      <c r="A66" s="569" t="s">
        <v>1442</v>
      </c>
      <c r="B66" s="569" t="s">
        <v>1603</v>
      </c>
      <c r="C66" s="569" t="s">
        <v>1604</v>
      </c>
      <c r="D66" s="569" t="s">
        <v>1512</v>
      </c>
      <c r="E66" s="420">
        <v>6350000</v>
      </c>
      <c r="F66" s="420">
        <v>5790000</v>
      </c>
      <c r="G66" s="420">
        <v>160000</v>
      </c>
      <c r="H66" s="420">
        <v>0</v>
      </c>
      <c r="I66" s="420">
        <v>5950000</v>
      </c>
      <c r="J66" s="570">
        <v>200000</v>
      </c>
      <c r="K66" s="420">
        <v>1700000</v>
      </c>
      <c r="L66" s="420">
        <v>2350000</v>
      </c>
      <c r="M66" s="420">
        <v>1700000</v>
      </c>
    </row>
    <row r="67" spans="1:13" ht="12.75" customHeight="1">
      <c r="A67" s="569" t="s">
        <v>1442</v>
      </c>
      <c r="B67" s="569" t="s">
        <v>1605</v>
      </c>
      <c r="C67" s="569" t="s">
        <v>1606</v>
      </c>
      <c r="D67" s="569" t="s">
        <v>1480</v>
      </c>
      <c r="E67" s="420">
        <v>450000</v>
      </c>
      <c r="F67" s="420">
        <v>430000</v>
      </c>
      <c r="G67" s="420">
        <v>20000</v>
      </c>
      <c r="H67" s="420">
        <v>0</v>
      </c>
      <c r="I67" s="420">
        <v>450000</v>
      </c>
      <c r="J67" s="570">
        <v>450000</v>
      </c>
      <c r="K67" s="420">
        <v>0</v>
      </c>
      <c r="L67" s="420">
        <v>0</v>
      </c>
      <c r="M67" s="420">
        <v>0</v>
      </c>
    </row>
    <row r="68" spans="1:13" ht="12.75" customHeight="1">
      <c r="A68" s="569" t="s">
        <v>1442</v>
      </c>
      <c r="B68" s="569" t="s">
        <v>1607</v>
      </c>
      <c r="C68" s="569" t="s">
        <v>1608</v>
      </c>
      <c r="D68" s="569" t="s">
        <v>1480</v>
      </c>
      <c r="E68" s="420">
        <v>440000</v>
      </c>
      <c r="F68" s="420">
        <v>420000</v>
      </c>
      <c r="G68" s="420">
        <v>20000</v>
      </c>
      <c r="H68" s="420">
        <v>0</v>
      </c>
      <c r="I68" s="420">
        <v>440000</v>
      </c>
      <c r="J68" s="570">
        <v>40000</v>
      </c>
      <c r="K68" s="420">
        <v>400000</v>
      </c>
      <c r="L68" s="420">
        <v>0</v>
      </c>
      <c r="M68" s="420">
        <v>0</v>
      </c>
    </row>
    <row r="69" spans="1:13" ht="12.75" customHeight="1">
      <c r="A69" s="569" t="s">
        <v>1442</v>
      </c>
      <c r="B69" s="569" t="s">
        <v>1609</v>
      </c>
      <c r="C69" s="569" t="s">
        <v>1610</v>
      </c>
      <c r="D69" s="569" t="s">
        <v>1480</v>
      </c>
      <c r="E69" s="420">
        <v>500000</v>
      </c>
      <c r="F69" s="420">
        <v>480000</v>
      </c>
      <c r="G69" s="420">
        <v>20000</v>
      </c>
      <c r="H69" s="420">
        <v>0</v>
      </c>
      <c r="I69" s="420">
        <v>500000</v>
      </c>
      <c r="J69" s="570">
        <v>0</v>
      </c>
      <c r="K69" s="420">
        <v>30000</v>
      </c>
      <c r="L69" s="420">
        <v>470000</v>
      </c>
      <c r="M69" s="420">
        <v>0</v>
      </c>
    </row>
    <row r="70" spans="1:13" ht="12.75" customHeight="1">
      <c r="A70" s="569" t="s">
        <v>1442</v>
      </c>
      <c r="B70" s="569" t="s">
        <v>1611</v>
      </c>
      <c r="C70" s="569" t="s">
        <v>1612</v>
      </c>
      <c r="D70" s="569" t="s">
        <v>1480</v>
      </c>
      <c r="E70" s="420">
        <v>100000</v>
      </c>
      <c r="F70" s="420">
        <v>90000</v>
      </c>
      <c r="G70" s="420">
        <v>10000</v>
      </c>
      <c r="H70" s="420">
        <v>0</v>
      </c>
      <c r="I70" s="420">
        <v>100000</v>
      </c>
      <c r="J70" s="570">
        <v>0</v>
      </c>
      <c r="K70" s="420">
        <v>0</v>
      </c>
      <c r="L70" s="420">
        <v>100000</v>
      </c>
      <c r="M70" s="420">
        <v>0</v>
      </c>
    </row>
    <row r="71" spans="1:13" ht="12.75" customHeight="1">
      <c r="A71" s="569" t="s">
        <v>1442</v>
      </c>
      <c r="B71" s="569" t="s">
        <v>1613</v>
      </c>
      <c r="C71" s="569" t="s">
        <v>1614</v>
      </c>
      <c r="D71" s="569" t="s">
        <v>1480</v>
      </c>
      <c r="E71" s="420">
        <v>350000</v>
      </c>
      <c r="F71" s="420">
        <v>330000</v>
      </c>
      <c r="G71" s="420">
        <v>20000</v>
      </c>
      <c r="H71" s="420">
        <v>0</v>
      </c>
      <c r="I71" s="420">
        <v>350000</v>
      </c>
      <c r="J71" s="570">
        <v>0</v>
      </c>
      <c r="K71" s="420">
        <v>0</v>
      </c>
      <c r="L71" s="420">
        <v>10000</v>
      </c>
      <c r="M71" s="420">
        <v>340000</v>
      </c>
    </row>
    <row r="72" spans="1:13" ht="12.75" customHeight="1">
      <c r="A72" s="569" t="s">
        <v>1442</v>
      </c>
      <c r="B72" s="569" t="s">
        <v>1615</v>
      </c>
      <c r="C72" s="569" t="s">
        <v>1616</v>
      </c>
      <c r="D72" s="569" t="s">
        <v>1501</v>
      </c>
      <c r="E72" s="420">
        <v>23612000</v>
      </c>
      <c r="F72" s="420">
        <v>5890000</v>
      </c>
      <c r="G72" s="420">
        <v>110000</v>
      </c>
      <c r="H72" s="420">
        <v>0</v>
      </c>
      <c r="I72" s="420">
        <v>6000000</v>
      </c>
      <c r="J72" s="570">
        <v>200000</v>
      </c>
      <c r="K72" s="420">
        <v>5800000</v>
      </c>
      <c r="L72" s="420">
        <v>0</v>
      </c>
      <c r="M72" s="420">
        <v>0</v>
      </c>
    </row>
    <row r="73" spans="1:13" ht="12.75" customHeight="1">
      <c r="A73" s="569" t="s">
        <v>1442</v>
      </c>
      <c r="B73" s="569" t="s">
        <v>1617</v>
      </c>
      <c r="C73" s="569" t="s">
        <v>1618</v>
      </c>
      <c r="D73" s="569" t="s">
        <v>1501</v>
      </c>
      <c r="E73" s="420">
        <v>81300000</v>
      </c>
      <c r="F73" s="420">
        <v>55820000</v>
      </c>
      <c r="G73" s="420">
        <v>730000</v>
      </c>
      <c r="H73" s="420">
        <v>-24410000</v>
      </c>
      <c r="I73" s="420">
        <v>32140000</v>
      </c>
      <c r="J73" s="570">
        <v>500000</v>
      </c>
      <c r="K73" s="420">
        <v>2000000</v>
      </c>
      <c r="L73" s="420">
        <v>5820000</v>
      </c>
      <c r="M73" s="420">
        <v>7320000</v>
      </c>
    </row>
    <row r="74" spans="1:13" ht="12.75" customHeight="1">
      <c r="A74" s="569" t="s">
        <v>1442</v>
      </c>
      <c r="B74" s="569" t="s">
        <v>1619</v>
      </c>
      <c r="C74" s="569" t="s">
        <v>1620</v>
      </c>
      <c r="D74" s="569" t="s">
        <v>1512</v>
      </c>
      <c r="E74" s="420">
        <v>1360000</v>
      </c>
      <c r="F74" s="420">
        <v>945000</v>
      </c>
      <c r="G74" s="420">
        <v>45000</v>
      </c>
      <c r="H74" s="420">
        <v>0</v>
      </c>
      <c r="I74" s="420">
        <v>990000</v>
      </c>
      <c r="J74" s="570">
        <v>0</v>
      </c>
      <c r="K74" s="420">
        <v>490000</v>
      </c>
      <c r="L74" s="420">
        <v>500000</v>
      </c>
      <c r="M74" s="420">
        <v>0</v>
      </c>
    </row>
    <row r="75" spans="1:13" ht="12.75" customHeight="1">
      <c r="A75" s="569" t="s">
        <v>1442</v>
      </c>
      <c r="B75" s="569" t="s">
        <v>1621</v>
      </c>
      <c r="C75" s="569" t="s">
        <v>1622</v>
      </c>
      <c r="D75" s="569" t="s">
        <v>1519</v>
      </c>
      <c r="E75" s="420">
        <v>5330000</v>
      </c>
      <c r="F75" s="420">
        <v>9300000</v>
      </c>
      <c r="G75" s="420">
        <v>200000</v>
      </c>
      <c r="H75" s="420">
        <v>-4100000</v>
      </c>
      <c r="I75" s="420">
        <v>5400000</v>
      </c>
      <c r="J75" s="570">
        <f>3000000-1000000</f>
        <v>2000000</v>
      </c>
      <c r="K75" s="420">
        <f>2400000+1000000</f>
        <v>3400000</v>
      </c>
      <c r="L75" s="420">
        <v>0</v>
      </c>
      <c r="M75" s="420">
        <v>0</v>
      </c>
    </row>
    <row r="76" spans="1:13" ht="12.75" customHeight="1">
      <c r="A76" s="569" t="s">
        <v>1442</v>
      </c>
      <c r="B76" s="569" t="s">
        <v>1623</v>
      </c>
      <c r="C76" s="569" t="s">
        <v>1624</v>
      </c>
      <c r="D76" s="569" t="s">
        <v>1519</v>
      </c>
      <c r="E76" s="420">
        <v>4000000</v>
      </c>
      <c r="F76" s="420">
        <v>2860000</v>
      </c>
      <c r="G76" s="420">
        <v>140000</v>
      </c>
      <c r="H76" s="420">
        <v>0</v>
      </c>
      <c r="I76" s="420">
        <v>3000000</v>
      </c>
      <c r="J76" s="570">
        <v>200000</v>
      </c>
      <c r="K76" s="420">
        <v>1800000</v>
      </c>
      <c r="L76" s="420">
        <v>1000000</v>
      </c>
      <c r="M76" s="420">
        <v>0</v>
      </c>
    </row>
    <row r="77" spans="1:13" ht="12.75" customHeight="1">
      <c r="A77" s="569" t="s">
        <v>1442</v>
      </c>
      <c r="B77" s="569" t="s">
        <v>1625</v>
      </c>
      <c r="C77" s="569" t="s">
        <v>1626</v>
      </c>
      <c r="D77" s="569" t="s">
        <v>1512</v>
      </c>
      <c r="E77" s="420">
        <v>4467000</v>
      </c>
      <c r="F77" s="420">
        <v>3000000</v>
      </c>
      <c r="G77" s="420">
        <v>350000</v>
      </c>
      <c r="H77" s="420">
        <v>0</v>
      </c>
      <c r="I77" s="420">
        <v>3350000</v>
      </c>
      <c r="J77" s="570">
        <f>1800000-1000000</f>
        <v>800000</v>
      </c>
      <c r="K77" s="420">
        <v>1550000</v>
      </c>
      <c r="L77" s="420">
        <v>1000000</v>
      </c>
      <c r="M77" s="420">
        <v>0</v>
      </c>
    </row>
    <row r="78" spans="1:13" ht="12.75" customHeight="1">
      <c r="A78" s="569" t="s">
        <v>1442</v>
      </c>
      <c r="B78" s="569" t="s">
        <v>1627</v>
      </c>
      <c r="C78" s="569" t="s">
        <v>1628</v>
      </c>
      <c r="D78" s="569" t="s">
        <v>1519</v>
      </c>
      <c r="E78" s="420">
        <v>225000</v>
      </c>
      <c r="F78" s="420">
        <v>205000</v>
      </c>
      <c r="G78" s="420">
        <v>20000</v>
      </c>
      <c r="H78" s="420">
        <v>0</v>
      </c>
      <c r="I78" s="420">
        <v>225000</v>
      </c>
      <c r="J78" s="570">
        <v>0</v>
      </c>
      <c r="K78" s="420">
        <v>25000</v>
      </c>
      <c r="L78" s="420">
        <v>150000</v>
      </c>
      <c r="M78" s="420">
        <v>50000</v>
      </c>
    </row>
    <row r="79" spans="1:13" ht="12.75" customHeight="1">
      <c r="A79" s="569" t="s">
        <v>1442</v>
      </c>
      <c r="B79" s="569" t="s">
        <v>1629</v>
      </c>
      <c r="C79" s="569" t="s">
        <v>1630</v>
      </c>
      <c r="D79" s="569" t="s">
        <v>1512</v>
      </c>
      <c r="E79" s="420">
        <v>1350000</v>
      </c>
      <c r="F79" s="420">
        <v>210000</v>
      </c>
      <c r="G79" s="420">
        <v>0</v>
      </c>
      <c r="H79" s="420">
        <v>0</v>
      </c>
      <c r="I79" s="420">
        <v>210000</v>
      </c>
      <c r="J79" s="570">
        <v>150000</v>
      </c>
      <c r="K79" s="420">
        <v>60000</v>
      </c>
      <c r="L79" s="420">
        <v>0</v>
      </c>
      <c r="M79" s="420">
        <v>0</v>
      </c>
    </row>
    <row r="80" spans="1:13" ht="12.75" customHeight="1">
      <c r="A80" s="569" t="s">
        <v>1442</v>
      </c>
      <c r="B80" s="569" t="s">
        <v>1631</v>
      </c>
      <c r="C80" s="569" t="s">
        <v>1632</v>
      </c>
      <c r="D80" s="569" t="s">
        <v>1519</v>
      </c>
      <c r="E80" s="420">
        <v>2700000</v>
      </c>
      <c r="F80" s="420">
        <v>2390000</v>
      </c>
      <c r="G80" s="420">
        <v>110000</v>
      </c>
      <c r="H80" s="420">
        <v>-2300000</v>
      </c>
      <c r="I80" s="420">
        <v>200000</v>
      </c>
      <c r="J80" s="570">
        <v>200000</v>
      </c>
      <c r="K80" s="420">
        <v>0</v>
      </c>
      <c r="L80" s="420">
        <v>0</v>
      </c>
      <c r="M80" s="420">
        <v>0</v>
      </c>
    </row>
    <row r="81" spans="1:13" ht="12.75" customHeight="1">
      <c r="A81" s="569" t="s">
        <v>1442</v>
      </c>
      <c r="B81" s="569" t="s">
        <v>1633</v>
      </c>
      <c r="C81" s="569" t="s">
        <v>1634</v>
      </c>
      <c r="D81" s="569" t="s">
        <v>1519</v>
      </c>
      <c r="E81" s="420">
        <v>1667000</v>
      </c>
      <c r="F81" s="420">
        <v>1140000</v>
      </c>
      <c r="G81" s="420">
        <v>60000</v>
      </c>
      <c r="H81" s="420">
        <v>0</v>
      </c>
      <c r="I81" s="420">
        <v>1200000</v>
      </c>
      <c r="J81" s="570">
        <v>0</v>
      </c>
      <c r="K81" s="420">
        <v>0</v>
      </c>
      <c r="L81" s="420">
        <v>0</v>
      </c>
      <c r="M81" s="420">
        <v>500000</v>
      </c>
    </row>
    <row r="82" spans="1:13" ht="12.75" customHeight="1">
      <c r="A82" s="569" t="s">
        <v>1442</v>
      </c>
      <c r="B82" s="569" t="s">
        <v>1635</v>
      </c>
      <c r="C82" s="569" t="s">
        <v>1636</v>
      </c>
      <c r="D82" s="569" t="s">
        <v>1519</v>
      </c>
      <c r="E82" s="420">
        <v>4800000</v>
      </c>
      <c r="F82" s="420">
        <v>4690000</v>
      </c>
      <c r="G82" s="420">
        <v>110000</v>
      </c>
      <c r="H82" s="420">
        <v>0</v>
      </c>
      <c r="I82" s="420">
        <v>4800000</v>
      </c>
      <c r="J82" s="570">
        <v>300000</v>
      </c>
      <c r="K82" s="420">
        <v>2000000</v>
      </c>
      <c r="L82" s="420">
        <v>2500000</v>
      </c>
      <c r="M82" s="420">
        <v>0</v>
      </c>
    </row>
    <row r="83" spans="1:13" ht="12.75" customHeight="1">
      <c r="A83" s="569" t="s">
        <v>1442</v>
      </c>
      <c r="B83" s="569" t="s">
        <v>1637</v>
      </c>
      <c r="C83" s="569" t="s">
        <v>1638</v>
      </c>
      <c r="D83" s="569" t="s">
        <v>1519</v>
      </c>
      <c r="E83" s="420">
        <v>900000</v>
      </c>
      <c r="F83" s="420">
        <v>860000</v>
      </c>
      <c r="G83" s="420">
        <v>40000</v>
      </c>
      <c r="H83" s="420">
        <v>0</v>
      </c>
      <c r="I83" s="420">
        <v>900000</v>
      </c>
      <c r="J83" s="570">
        <v>0</v>
      </c>
      <c r="K83" s="420">
        <v>500000</v>
      </c>
      <c r="L83" s="420">
        <v>400000</v>
      </c>
      <c r="M83" s="420">
        <v>0</v>
      </c>
    </row>
    <row r="84" spans="1:13" ht="12.75" customHeight="1">
      <c r="A84" s="569" t="s">
        <v>1442</v>
      </c>
      <c r="B84" s="569" t="s">
        <v>1639</v>
      </c>
      <c r="C84" s="569" t="s">
        <v>1640</v>
      </c>
      <c r="D84" s="569" t="s">
        <v>1519</v>
      </c>
      <c r="E84" s="420">
        <v>1500000</v>
      </c>
      <c r="F84" s="420">
        <v>3220000</v>
      </c>
      <c r="G84" s="420">
        <v>30000</v>
      </c>
      <c r="H84" s="420">
        <v>-2250000</v>
      </c>
      <c r="I84" s="420">
        <v>1000000</v>
      </c>
      <c r="J84" s="570">
        <v>250000</v>
      </c>
      <c r="K84" s="420">
        <v>250000</v>
      </c>
      <c r="L84" s="420">
        <v>250000</v>
      </c>
      <c r="M84" s="420">
        <v>250000</v>
      </c>
    </row>
    <row r="85" spans="1:13" ht="12.75" customHeight="1">
      <c r="A85" s="569" t="s">
        <v>1442</v>
      </c>
      <c r="B85" s="569" t="s">
        <v>1641</v>
      </c>
      <c r="C85" s="569" t="s">
        <v>1642</v>
      </c>
      <c r="D85" s="569" t="s">
        <v>1519</v>
      </c>
      <c r="E85" s="420">
        <v>3000000</v>
      </c>
      <c r="F85" s="420">
        <v>2900000</v>
      </c>
      <c r="G85" s="420">
        <v>100000</v>
      </c>
      <c r="H85" s="420">
        <v>0</v>
      </c>
      <c r="I85" s="420">
        <v>3000000</v>
      </c>
      <c r="J85" s="570">
        <v>200000</v>
      </c>
      <c r="K85" s="420">
        <v>2300000</v>
      </c>
      <c r="L85" s="420">
        <v>500000</v>
      </c>
      <c r="M85" s="420">
        <v>0</v>
      </c>
    </row>
    <row r="86" spans="1:13" ht="12.75" customHeight="1">
      <c r="A86" s="569" t="s">
        <v>1442</v>
      </c>
      <c r="B86" s="569" t="s">
        <v>1643</v>
      </c>
      <c r="C86" s="569" t="s">
        <v>1644</v>
      </c>
      <c r="D86" s="569" t="s">
        <v>1501</v>
      </c>
      <c r="E86" s="420">
        <v>2000000</v>
      </c>
      <c r="F86" s="420">
        <v>1950000</v>
      </c>
      <c r="G86" s="420">
        <v>50000</v>
      </c>
      <c r="H86" s="420">
        <v>0</v>
      </c>
      <c r="I86" s="420">
        <v>2000000</v>
      </c>
      <c r="J86" s="570">
        <v>0</v>
      </c>
      <c r="K86" s="420">
        <v>150000</v>
      </c>
      <c r="L86" s="420">
        <v>950000</v>
      </c>
      <c r="M86" s="420">
        <v>900000</v>
      </c>
    </row>
    <row r="87" spans="1:13" ht="12.75" customHeight="1">
      <c r="A87" s="569" t="s">
        <v>1442</v>
      </c>
      <c r="B87" s="569" t="s">
        <v>1645</v>
      </c>
      <c r="C87" s="569" t="s">
        <v>1646</v>
      </c>
      <c r="D87" s="569" t="s">
        <v>1519</v>
      </c>
      <c r="E87" s="420">
        <v>1000000</v>
      </c>
      <c r="F87" s="420">
        <v>920000</v>
      </c>
      <c r="G87" s="420">
        <v>30000</v>
      </c>
      <c r="H87" s="420">
        <v>0</v>
      </c>
      <c r="I87" s="420">
        <v>950000</v>
      </c>
      <c r="J87" s="570">
        <v>50000</v>
      </c>
      <c r="K87" s="420">
        <v>500000</v>
      </c>
      <c r="L87" s="420">
        <v>400000</v>
      </c>
      <c r="M87" s="420">
        <v>0</v>
      </c>
    </row>
    <row r="88" spans="1:13" ht="12.75" customHeight="1">
      <c r="A88" s="569" t="s">
        <v>1442</v>
      </c>
      <c r="B88" s="569" t="s">
        <v>1647</v>
      </c>
      <c r="C88" s="569" t="s">
        <v>1648</v>
      </c>
      <c r="D88" s="569" t="s">
        <v>1649</v>
      </c>
      <c r="E88" s="420">
        <v>500000</v>
      </c>
      <c r="F88" s="420">
        <v>485000</v>
      </c>
      <c r="G88" s="420">
        <v>15000</v>
      </c>
      <c r="H88" s="420">
        <v>0</v>
      </c>
      <c r="I88" s="420">
        <v>500000</v>
      </c>
      <c r="J88" s="570">
        <v>0</v>
      </c>
      <c r="K88" s="420">
        <v>50000</v>
      </c>
      <c r="L88" s="420">
        <v>450000</v>
      </c>
      <c r="M88" s="420">
        <v>0</v>
      </c>
    </row>
    <row r="89" spans="1:13" ht="12.75" customHeight="1">
      <c r="A89" s="569" t="s">
        <v>1442</v>
      </c>
      <c r="B89" s="569" t="s">
        <v>1650</v>
      </c>
      <c r="C89" s="569" t="s">
        <v>1651</v>
      </c>
      <c r="D89" s="569" t="s">
        <v>1519</v>
      </c>
      <c r="E89" s="420">
        <v>400000</v>
      </c>
      <c r="F89" s="420">
        <v>385000</v>
      </c>
      <c r="G89" s="420">
        <v>15000</v>
      </c>
      <c r="H89" s="420">
        <v>0</v>
      </c>
      <c r="I89" s="420">
        <v>400000</v>
      </c>
      <c r="J89" s="570">
        <v>175000</v>
      </c>
      <c r="K89" s="420">
        <v>225000</v>
      </c>
      <c r="L89" s="420">
        <v>0</v>
      </c>
      <c r="M89" s="420">
        <v>0</v>
      </c>
    </row>
    <row r="90" spans="1:13" ht="12.75" customHeight="1">
      <c r="A90" s="569" t="s">
        <v>1442</v>
      </c>
      <c r="B90" s="569" t="s">
        <v>1652</v>
      </c>
      <c r="C90" s="569" t="s">
        <v>1653</v>
      </c>
      <c r="D90" s="569" t="s">
        <v>1512</v>
      </c>
      <c r="E90" s="420">
        <v>6300000</v>
      </c>
      <c r="F90" s="420">
        <v>95000</v>
      </c>
      <c r="G90" s="420">
        <v>5000</v>
      </c>
      <c r="H90" s="420">
        <v>0</v>
      </c>
      <c r="I90" s="420">
        <v>100000</v>
      </c>
      <c r="J90" s="570">
        <v>100000</v>
      </c>
      <c r="K90" s="420">
        <v>0</v>
      </c>
      <c r="L90" s="420">
        <v>0</v>
      </c>
      <c r="M90" s="420">
        <v>0</v>
      </c>
    </row>
    <row r="91" spans="1:13" ht="12.75" customHeight="1">
      <c r="A91" s="569" t="s">
        <v>1442</v>
      </c>
      <c r="B91" s="569" t="s">
        <v>1654</v>
      </c>
      <c r="C91" s="569" t="s">
        <v>1655</v>
      </c>
      <c r="D91" s="569" t="s">
        <v>1519</v>
      </c>
      <c r="E91" s="420">
        <v>1500000</v>
      </c>
      <c r="F91" s="420">
        <v>750000</v>
      </c>
      <c r="G91" s="420">
        <v>150000</v>
      </c>
      <c r="H91" s="420">
        <v>0</v>
      </c>
      <c r="I91" s="420">
        <v>900000</v>
      </c>
      <c r="J91" s="570">
        <v>300000</v>
      </c>
      <c r="K91" s="420">
        <v>300000</v>
      </c>
      <c r="L91" s="420">
        <v>300000</v>
      </c>
      <c r="M91" s="420">
        <v>0</v>
      </c>
    </row>
    <row r="92" spans="1:13" ht="12.75" customHeight="1">
      <c r="A92" s="569" t="s">
        <v>1442</v>
      </c>
      <c r="B92" s="569" t="s">
        <v>1656</v>
      </c>
      <c r="C92" s="569" t="s">
        <v>1657</v>
      </c>
      <c r="D92" s="569" t="s">
        <v>1519</v>
      </c>
      <c r="E92" s="420">
        <v>500000</v>
      </c>
      <c r="F92" s="420">
        <v>110000</v>
      </c>
      <c r="G92" s="420">
        <v>90000</v>
      </c>
      <c r="H92" s="420">
        <v>0</v>
      </c>
      <c r="I92" s="420">
        <v>200000</v>
      </c>
      <c r="J92" s="570">
        <v>0</v>
      </c>
      <c r="K92" s="420">
        <v>100000</v>
      </c>
      <c r="L92" s="420">
        <v>100000</v>
      </c>
      <c r="M92" s="420">
        <v>0</v>
      </c>
    </row>
    <row r="93" spans="1:13" ht="12.75" customHeight="1">
      <c r="A93" s="569" t="s">
        <v>1442</v>
      </c>
      <c r="B93" s="569" t="s">
        <v>1658</v>
      </c>
      <c r="C93" s="569" t="s">
        <v>1659</v>
      </c>
      <c r="D93" s="569" t="s">
        <v>1512</v>
      </c>
      <c r="E93" s="420">
        <v>1861000</v>
      </c>
      <c r="F93" s="420">
        <v>960000</v>
      </c>
      <c r="G93" s="420">
        <v>40000</v>
      </c>
      <c r="H93" s="420">
        <v>-500000</v>
      </c>
      <c r="I93" s="420">
        <v>500000</v>
      </c>
      <c r="J93" s="570">
        <v>0</v>
      </c>
      <c r="K93" s="420">
        <v>500000</v>
      </c>
      <c r="L93" s="420">
        <v>0</v>
      </c>
      <c r="M93" s="420">
        <v>0</v>
      </c>
    </row>
    <row r="94" spans="1:13" ht="12.75" customHeight="1">
      <c r="A94" s="569" t="s">
        <v>1442</v>
      </c>
      <c r="B94" s="569" t="s">
        <v>1660</v>
      </c>
      <c r="C94" s="569" t="s">
        <v>1661</v>
      </c>
      <c r="D94" s="569" t="s">
        <v>1519</v>
      </c>
      <c r="E94" s="420">
        <v>300000</v>
      </c>
      <c r="F94" s="420">
        <v>260000</v>
      </c>
      <c r="G94" s="420">
        <v>10000</v>
      </c>
      <c r="H94" s="420">
        <v>0</v>
      </c>
      <c r="I94" s="420">
        <v>270000</v>
      </c>
      <c r="J94" s="570">
        <v>135000</v>
      </c>
      <c r="K94" s="420">
        <v>135000</v>
      </c>
      <c r="L94" s="420">
        <v>0</v>
      </c>
      <c r="M94" s="420">
        <v>0</v>
      </c>
    </row>
    <row r="95" spans="1:13" ht="12.75" customHeight="1">
      <c r="A95" s="569" t="s">
        <v>1442</v>
      </c>
      <c r="B95" s="569" t="s">
        <v>1662</v>
      </c>
      <c r="C95" s="569" t="s">
        <v>1663</v>
      </c>
      <c r="D95" s="569" t="s">
        <v>1501</v>
      </c>
      <c r="E95" s="420">
        <v>7575000</v>
      </c>
      <c r="F95" s="420">
        <v>7480000</v>
      </c>
      <c r="G95" s="420">
        <v>90000</v>
      </c>
      <c r="H95" s="420">
        <v>0</v>
      </c>
      <c r="I95" s="420">
        <v>7570000</v>
      </c>
      <c r="J95" s="570">
        <v>500000</v>
      </c>
      <c r="K95" s="420">
        <v>1010000</v>
      </c>
      <c r="L95" s="420">
        <v>1010000</v>
      </c>
      <c r="M95" s="420">
        <v>1010000</v>
      </c>
    </row>
    <row r="96" spans="1:13" ht="12.75" customHeight="1">
      <c r="A96" s="569" t="s">
        <v>1442</v>
      </c>
      <c r="B96" s="569" t="s">
        <v>1664</v>
      </c>
      <c r="C96" s="569" t="s">
        <v>1665</v>
      </c>
      <c r="D96" s="569" t="s">
        <v>1501</v>
      </c>
      <c r="E96" s="420">
        <v>8640000</v>
      </c>
      <c r="F96" s="420">
        <v>9000000</v>
      </c>
      <c r="G96" s="420">
        <v>336000</v>
      </c>
      <c r="H96" s="420">
        <v>-120000</v>
      </c>
      <c r="I96" s="420">
        <v>9216000</v>
      </c>
      <c r="J96" s="570">
        <v>1152000</v>
      </c>
      <c r="K96" s="420">
        <v>1152000</v>
      </c>
      <c r="L96" s="420">
        <v>1152000</v>
      </c>
      <c r="M96" s="420">
        <v>1152000</v>
      </c>
    </row>
    <row r="97" spans="1:13" ht="12.75" customHeight="1">
      <c r="A97" s="569" t="s">
        <v>1442</v>
      </c>
      <c r="B97" s="569" t="s">
        <v>1666</v>
      </c>
      <c r="C97" s="569" t="s">
        <v>1667</v>
      </c>
      <c r="D97" s="569" t="s">
        <v>1501</v>
      </c>
      <c r="E97" s="420">
        <v>900000</v>
      </c>
      <c r="F97" s="420">
        <v>1070000</v>
      </c>
      <c r="G97" s="420">
        <v>30000</v>
      </c>
      <c r="H97" s="420">
        <v>0</v>
      </c>
      <c r="I97" s="420">
        <v>1100000</v>
      </c>
      <c r="J97" s="570">
        <v>50000</v>
      </c>
      <c r="K97" s="420">
        <v>150000</v>
      </c>
      <c r="L97" s="420">
        <v>150000</v>
      </c>
      <c r="M97" s="420">
        <v>150000</v>
      </c>
    </row>
    <row r="98" spans="1:13" ht="12.75" customHeight="1">
      <c r="A98" s="569" t="s">
        <v>1442</v>
      </c>
      <c r="B98" s="569" t="s">
        <v>1668</v>
      </c>
      <c r="C98" s="569" t="s">
        <v>1669</v>
      </c>
      <c r="D98" s="569" t="s">
        <v>1480</v>
      </c>
      <c r="E98" s="420">
        <v>895000</v>
      </c>
      <c r="F98" s="420">
        <v>570000</v>
      </c>
      <c r="G98" s="420">
        <v>25000</v>
      </c>
      <c r="H98" s="420">
        <v>-225000</v>
      </c>
      <c r="I98" s="420">
        <v>370000</v>
      </c>
      <c r="J98" s="570">
        <v>120000</v>
      </c>
      <c r="K98" s="420">
        <v>150000</v>
      </c>
      <c r="L98" s="420">
        <v>100000</v>
      </c>
      <c r="M98" s="420">
        <v>0</v>
      </c>
    </row>
    <row r="99" spans="1:13" ht="12.75" customHeight="1">
      <c r="A99" s="569" t="s">
        <v>1442</v>
      </c>
      <c r="B99" s="569" t="s">
        <v>1670</v>
      </c>
      <c r="C99" s="569" t="s">
        <v>1671</v>
      </c>
      <c r="D99" s="569" t="s">
        <v>1480</v>
      </c>
      <c r="E99" s="420">
        <v>120000</v>
      </c>
      <c r="F99" s="420">
        <v>100000</v>
      </c>
      <c r="G99" s="420">
        <v>20000</v>
      </c>
      <c r="H99" s="420">
        <v>0</v>
      </c>
      <c r="I99" s="420">
        <v>120000</v>
      </c>
      <c r="J99" s="570">
        <v>0</v>
      </c>
      <c r="K99" s="420">
        <v>0</v>
      </c>
      <c r="L99" s="420">
        <v>0</v>
      </c>
      <c r="M99" s="420">
        <v>120000</v>
      </c>
    </row>
    <row r="100" spans="1:13" ht="12.75" customHeight="1">
      <c r="A100" s="569" t="s">
        <v>1442</v>
      </c>
      <c r="B100" s="569" t="s">
        <v>1672</v>
      </c>
      <c r="C100" s="569" t="s">
        <v>1673</v>
      </c>
      <c r="D100" s="569" t="s">
        <v>1480</v>
      </c>
      <c r="E100" s="420">
        <v>450000</v>
      </c>
      <c r="F100" s="420">
        <v>300000</v>
      </c>
      <c r="G100" s="420">
        <v>300000</v>
      </c>
      <c r="H100" s="420">
        <v>-150000</v>
      </c>
      <c r="I100" s="420">
        <v>450000</v>
      </c>
      <c r="J100" s="570">
        <v>75000</v>
      </c>
      <c r="K100" s="420">
        <v>112500</v>
      </c>
      <c r="L100" s="420">
        <v>150000</v>
      </c>
      <c r="M100" s="420">
        <v>112500</v>
      </c>
    </row>
    <row r="101" spans="1:13" ht="12.75" customHeight="1">
      <c r="A101" s="569" t="s">
        <v>1442</v>
      </c>
      <c r="B101" s="569" t="s">
        <v>1674</v>
      </c>
      <c r="C101" s="569" t="s">
        <v>1675</v>
      </c>
      <c r="D101" s="569" t="s">
        <v>1519</v>
      </c>
      <c r="E101" s="420">
        <v>600000</v>
      </c>
      <c r="F101" s="420">
        <v>720000</v>
      </c>
      <c r="G101" s="420">
        <v>80000</v>
      </c>
      <c r="H101" s="420">
        <v>0</v>
      </c>
      <c r="I101" s="420">
        <v>800000</v>
      </c>
      <c r="J101" s="570">
        <v>100000</v>
      </c>
      <c r="K101" s="420">
        <v>100000</v>
      </c>
      <c r="L101" s="420">
        <v>100000</v>
      </c>
      <c r="M101" s="420">
        <v>100000</v>
      </c>
    </row>
    <row r="102" spans="1:13" ht="12.75" customHeight="1">
      <c r="A102" s="569" t="s">
        <v>1442</v>
      </c>
      <c r="B102" s="569" t="s">
        <v>1676</v>
      </c>
      <c r="C102" s="569" t="s">
        <v>1677</v>
      </c>
      <c r="D102" s="569" t="s">
        <v>1480</v>
      </c>
      <c r="E102" s="420">
        <v>500000</v>
      </c>
      <c r="F102" s="420">
        <v>470000</v>
      </c>
      <c r="G102" s="420">
        <v>30000</v>
      </c>
      <c r="H102" s="420">
        <v>0</v>
      </c>
      <c r="I102" s="420">
        <v>500000</v>
      </c>
      <c r="J102" s="570">
        <v>170000</v>
      </c>
      <c r="K102" s="420">
        <v>170000</v>
      </c>
      <c r="L102" s="420">
        <v>160000</v>
      </c>
      <c r="M102" s="420">
        <v>0</v>
      </c>
    </row>
    <row r="103" spans="1:13" ht="12.75" customHeight="1">
      <c r="A103" s="569" t="s">
        <v>1442</v>
      </c>
      <c r="B103" s="569" t="s">
        <v>1678</v>
      </c>
      <c r="C103" s="569" t="s">
        <v>1679</v>
      </c>
      <c r="D103" s="569" t="s">
        <v>1480</v>
      </c>
      <c r="E103" s="420">
        <v>18685000</v>
      </c>
      <c r="F103" s="420">
        <v>250000</v>
      </c>
      <c r="G103" s="420">
        <v>0</v>
      </c>
      <c r="H103" s="420">
        <v>0</v>
      </c>
      <c r="I103" s="420">
        <v>250000</v>
      </c>
      <c r="J103" s="570">
        <v>0</v>
      </c>
      <c r="K103" s="420">
        <v>0</v>
      </c>
      <c r="L103" s="420">
        <v>0</v>
      </c>
      <c r="M103" s="420">
        <v>250000</v>
      </c>
    </row>
    <row r="104" spans="1:13" ht="12.75" customHeight="1">
      <c r="A104" s="569" t="s">
        <v>1442</v>
      </c>
      <c r="B104" s="569" t="s">
        <v>1680</v>
      </c>
      <c r="C104" s="569" t="s">
        <v>1681</v>
      </c>
      <c r="D104" s="569" t="s">
        <v>1480</v>
      </c>
      <c r="E104" s="420">
        <v>500000</v>
      </c>
      <c r="F104" s="420">
        <v>160000</v>
      </c>
      <c r="G104" s="420">
        <v>0</v>
      </c>
      <c r="H104" s="420">
        <v>-159999</v>
      </c>
      <c r="I104" s="420">
        <v>1</v>
      </c>
      <c r="J104" s="570">
        <v>1</v>
      </c>
      <c r="K104" s="420">
        <v>0</v>
      </c>
      <c r="L104" s="420">
        <v>0</v>
      </c>
      <c r="M104" s="420">
        <v>0</v>
      </c>
    </row>
    <row r="105" spans="1:13" ht="12.75" customHeight="1">
      <c r="A105" s="569" t="s">
        <v>1442</v>
      </c>
      <c r="B105" s="569" t="s">
        <v>1682</v>
      </c>
      <c r="C105" s="569" t="s">
        <v>1683</v>
      </c>
      <c r="D105" s="569" t="s">
        <v>1480</v>
      </c>
      <c r="E105" s="420">
        <v>1000000</v>
      </c>
      <c r="F105" s="420">
        <v>1000000</v>
      </c>
      <c r="G105" s="420">
        <v>0</v>
      </c>
      <c r="H105" s="420">
        <v>-999998</v>
      </c>
      <c r="I105" s="420">
        <v>2</v>
      </c>
      <c r="J105" s="570">
        <v>0</v>
      </c>
      <c r="K105" s="420">
        <v>0</v>
      </c>
      <c r="L105" s="420">
        <v>1</v>
      </c>
      <c r="M105" s="420">
        <v>1</v>
      </c>
    </row>
    <row r="106" spans="1:13" ht="12.75" customHeight="1">
      <c r="A106" s="569" t="s">
        <v>1442</v>
      </c>
      <c r="B106" s="569" t="s">
        <v>1684</v>
      </c>
      <c r="C106" s="569" t="s">
        <v>1685</v>
      </c>
      <c r="D106" s="569" t="s">
        <v>1480</v>
      </c>
      <c r="E106" s="420">
        <v>6000000</v>
      </c>
      <c r="F106" s="420">
        <v>6000000</v>
      </c>
      <c r="G106" s="420">
        <v>0</v>
      </c>
      <c r="H106" s="420">
        <v>-4000000</v>
      </c>
      <c r="I106" s="420">
        <v>2000000</v>
      </c>
      <c r="J106" s="570">
        <v>0</v>
      </c>
      <c r="K106" s="420">
        <v>500000</v>
      </c>
      <c r="L106" s="420">
        <v>1000000</v>
      </c>
      <c r="M106" s="420">
        <v>500000</v>
      </c>
    </row>
    <row r="107" spans="1:13" ht="12.75" customHeight="1">
      <c r="A107" s="569" t="s">
        <v>1442</v>
      </c>
      <c r="B107" s="569" t="s">
        <v>1686</v>
      </c>
      <c r="C107" s="569" t="s">
        <v>1687</v>
      </c>
      <c r="D107" s="569" t="s">
        <v>1480</v>
      </c>
      <c r="E107" s="420">
        <v>10250000</v>
      </c>
      <c r="F107" s="420">
        <v>5050000</v>
      </c>
      <c r="G107" s="420">
        <v>0</v>
      </c>
      <c r="H107" s="420">
        <v>0</v>
      </c>
      <c r="I107" s="420">
        <v>5050000</v>
      </c>
      <c r="J107" s="570">
        <v>150000</v>
      </c>
      <c r="K107" s="420">
        <v>400000</v>
      </c>
      <c r="L107" s="420">
        <v>2500000</v>
      </c>
      <c r="M107" s="420">
        <v>2000000</v>
      </c>
    </row>
    <row r="108" spans="1:13" ht="12.75" customHeight="1">
      <c r="A108" s="569" t="s">
        <v>1442</v>
      </c>
      <c r="B108" s="569" t="s">
        <v>1688</v>
      </c>
      <c r="C108" s="569" t="s">
        <v>1689</v>
      </c>
      <c r="D108" s="569" t="s">
        <v>1480</v>
      </c>
      <c r="E108" s="420">
        <v>1060000</v>
      </c>
      <c r="F108" s="420">
        <v>840000</v>
      </c>
      <c r="G108" s="420">
        <v>60000</v>
      </c>
      <c r="H108" s="420">
        <v>0</v>
      </c>
      <c r="I108" s="420">
        <v>900000</v>
      </c>
      <c r="J108" s="570">
        <v>100000</v>
      </c>
      <c r="K108" s="420">
        <v>200000</v>
      </c>
      <c r="L108" s="420">
        <v>200000</v>
      </c>
      <c r="M108" s="420">
        <v>200000</v>
      </c>
    </row>
    <row r="109" spans="1:13" ht="12.75" customHeight="1">
      <c r="A109" s="569" t="s">
        <v>1442</v>
      </c>
      <c r="B109" s="569" t="s">
        <v>1690</v>
      </c>
      <c r="C109" s="569" t="s">
        <v>1691</v>
      </c>
      <c r="D109" s="569" t="s">
        <v>1480</v>
      </c>
      <c r="E109" s="420">
        <v>9800000</v>
      </c>
      <c r="F109" s="420">
        <v>12270000</v>
      </c>
      <c r="G109" s="420">
        <v>330000</v>
      </c>
      <c r="H109" s="420">
        <v>-2600000</v>
      </c>
      <c r="I109" s="420">
        <v>10000000</v>
      </c>
      <c r="J109" s="570">
        <v>350000</v>
      </c>
      <c r="K109" s="420">
        <v>550000</v>
      </c>
      <c r="L109" s="420">
        <v>4550000</v>
      </c>
      <c r="M109" s="420">
        <v>4550000</v>
      </c>
    </row>
    <row r="110" spans="1:13" ht="12.75" customHeight="1">
      <c r="A110" s="569" t="s">
        <v>1442</v>
      </c>
      <c r="B110" s="569" t="s">
        <v>1692</v>
      </c>
      <c r="C110" s="569" t="s">
        <v>1693</v>
      </c>
      <c r="D110" s="569" t="s">
        <v>1480</v>
      </c>
      <c r="E110" s="420">
        <v>1320000</v>
      </c>
      <c r="F110" s="420">
        <v>960000</v>
      </c>
      <c r="G110" s="420">
        <v>40000</v>
      </c>
      <c r="H110" s="420">
        <v>0</v>
      </c>
      <c r="I110" s="420">
        <v>1000000</v>
      </c>
      <c r="J110" s="570">
        <v>0</v>
      </c>
      <c r="K110" s="420">
        <v>500000</v>
      </c>
      <c r="L110" s="420">
        <v>500000</v>
      </c>
      <c r="M110" s="420">
        <v>0</v>
      </c>
    </row>
    <row r="111" spans="1:13" ht="12.75" customHeight="1">
      <c r="A111" s="569" t="s">
        <v>1442</v>
      </c>
      <c r="B111" s="569" t="s">
        <v>1694</v>
      </c>
      <c r="C111" s="569" t="s">
        <v>1695</v>
      </c>
      <c r="D111" s="569" t="s">
        <v>1480</v>
      </c>
      <c r="E111" s="420">
        <v>1000000</v>
      </c>
      <c r="F111" s="420">
        <v>500000</v>
      </c>
      <c r="G111" s="420">
        <v>100000</v>
      </c>
      <c r="H111" s="420">
        <v>0</v>
      </c>
      <c r="I111" s="420">
        <v>600000</v>
      </c>
      <c r="J111" s="570">
        <v>250000</v>
      </c>
      <c r="K111" s="420">
        <v>200000</v>
      </c>
      <c r="L111" s="420">
        <v>150000</v>
      </c>
      <c r="M111" s="420">
        <v>0</v>
      </c>
    </row>
    <row r="112" spans="1:13" ht="12.75" customHeight="1">
      <c r="A112" s="569" t="s">
        <v>1442</v>
      </c>
      <c r="B112" s="569" t="s">
        <v>1696</v>
      </c>
      <c r="C112" s="569" t="s">
        <v>1697</v>
      </c>
      <c r="D112" s="569" t="s">
        <v>1480</v>
      </c>
      <c r="E112" s="420">
        <v>2550000</v>
      </c>
      <c r="F112" s="420">
        <v>2550000</v>
      </c>
      <c r="G112" s="420">
        <v>0</v>
      </c>
      <c r="H112" s="420">
        <v>0</v>
      </c>
      <c r="I112" s="420">
        <v>2550000</v>
      </c>
      <c r="J112" s="570">
        <v>50000</v>
      </c>
      <c r="K112" s="420">
        <v>1000000</v>
      </c>
      <c r="L112" s="420">
        <v>1500000</v>
      </c>
      <c r="M112" s="420">
        <v>0</v>
      </c>
    </row>
    <row r="113" spans="1:13" ht="12.75" customHeight="1">
      <c r="A113" s="569" t="s">
        <v>1442</v>
      </c>
      <c r="B113" s="569" t="s">
        <v>1698</v>
      </c>
      <c r="C113" s="569" t="s">
        <v>1699</v>
      </c>
      <c r="D113" s="569" t="s">
        <v>1480</v>
      </c>
      <c r="E113" s="420">
        <v>9100000</v>
      </c>
      <c r="F113" s="420">
        <v>9100000</v>
      </c>
      <c r="G113" s="420">
        <v>0</v>
      </c>
      <c r="H113" s="420">
        <v>0</v>
      </c>
      <c r="I113" s="420">
        <v>9100000</v>
      </c>
      <c r="J113" s="570">
        <v>50000</v>
      </c>
      <c r="K113" s="420">
        <v>50000</v>
      </c>
      <c r="L113" s="420">
        <v>4000000</v>
      </c>
      <c r="M113" s="420">
        <v>5000000</v>
      </c>
    </row>
    <row r="114" spans="1:13" ht="12.75" customHeight="1">
      <c r="A114" s="569" t="s">
        <v>1442</v>
      </c>
      <c r="B114" s="569" t="s">
        <v>1700</v>
      </c>
      <c r="C114" s="569" t="s">
        <v>1701</v>
      </c>
      <c r="D114" s="569" t="s">
        <v>1501</v>
      </c>
      <c r="E114" s="420">
        <v>1500000</v>
      </c>
      <c r="F114" s="420">
        <v>500000</v>
      </c>
      <c r="G114" s="420">
        <v>0</v>
      </c>
      <c r="H114" s="420">
        <v>0</v>
      </c>
      <c r="I114" s="420">
        <v>500000</v>
      </c>
      <c r="J114" s="570">
        <v>500000</v>
      </c>
      <c r="K114" s="420">
        <v>0</v>
      </c>
      <c r="L114" s="420">
        <v>0</v>
      </c>
      <c r="M114" s="420">
        <v>0</v>
      </c>
    </row>
    <row r="115" spans="1:13" ht="12.75" customHeight="1">
      <c r="A115" s="569" t="s">
        <v>1442</v>
      </c>
      <c r="B115" s="569" t="s">
        <v>1702</v>
      </c>
      <c r="C115" s="569" t="s">
        <v>1703</v>
      </c>
      <c r="D115" s="569" t="s">
        <v>1480</v>
      </c>
      <c r="E115" s="420">
        <v>400000</v>
      </c>
      <c r="F115" s="420">
        <v>380000</v>
      </c>
      <c r="G115" s="420">
        <v>10000</v>
      </c>
      <c r="H115" s="420">
        <v>0</v>
      </c>
      <c r="I115" s="420">
        <v>390000</v>
      </c>
      <c r="J115" s="570">
        <v>190000</v>
      </c>
      <c r="K115" s="420">
        <v>200000</v>
      </c>
      <c r="L115" s="420">
        <v>0</v>
      </c>
      <c r="M115" s="420">
        <v>0</v>
      </c>
    </row>
    <row r="116" spans="1:13" ht="12.75" customHeight="1">
      <c r="A116" s="569" t="s">
        <v>1442</v>
      </c>
      <c r="B116" s="569" t="s">
        <v>1704</v>
      </c>
      <c r="C116" s="569" t="s">
        <v>1705</v>
      </c>
      <c r="D116" s="569" t="s">
        <v>1480</v>
      </c>
      <c r="E116" s="420">
        <v>500000</v>
      </c>
      <c r="F116" s="420">
        <v>400000</v>
      </c>
      <c r="G116" s="420">
        <v>100000</v>
      </c>
      <c r="H116" s="420">
        <v>0</v>
      </c>
      <c r="I116" s="420">
        <v>500000</v>
      </c>
      <c r="J116" s="570">
        <v>0</v>
      </c>
      <c r="K116" s="420">
        <v>250000</v>
      </c>
      <c r="L116" s="420">
        <v>250000</v>
      </c>
      <c r="M116" s="420">
        <v>0</v>
      </c>
    </row>
    <row r="117" spans="1:13" ht="12.75" customHeight="1">
      <c r="A117" s="569" t="s">
        <v>1442</v>
      </c>
      <c r="B117" s="569" t="s">
        <v>1706</v>
      </c>
      <c r="C117" s="569" t="s">
        <v>1707</v>
      </c>
      <c r="D117" s="569" t="s">
        <v>1480</v>
      </c>
      <c r="E117" s="420">
        <v>5350000</v>
      </c>
      <c r="F117" s="420">
        <v>4640000</v>
      </c>
      <c r="G117" s="420">
        <v>310000</v>
      </c>
      <c r="H117" s="420">
        <v>0</v>
      </c>
      <c r="I117" s="420">
        <v>4950000</v>
      </c>
      <c r="J117" s="570">
        <v>200000</v>
      </c>
      <c r="K117" s="420">
        <v>1750000</v>
      </c>
      <c r="L117" s="420">
        <v>3000000</v>
      </c>
      <c r="M117" s="420">
        <v>0</v>
      </c>
    </row>
    <row r="118" spans="1:13" ht="12.75" customHeight="1">
      <c r="A118" s="569" t="s">
        <v>1442</v>
      </c>
      <c r="B118" s="569" t="s">
        <v>1708</v>
      </c>
      <c r="C118" s="569" t="s">
        <v>1709</v>
      </c>
      <c r="D118" s="569" t="s">
        <v>1480</v>
      </c>
      <c r="E118" s="420">
        <v>13350000</v>
      </c>
      <c r="F118" s="420">
        <v>27320000</v>
      </c>
      <c r="G118" s="420">
        <v>180000</v>
      </c>
      <c r="H118" s="420">
        <v>-13500000</v>
      </c>
      <c r="I118" s="420">
        <v>14000000</v>
      </c>
      <c r="J118" s="570">
        <v>200000</v>
      </c>
      <c r="K118" s="420">
        <v>500000</v>
      </c>
      <c r="L118" s="420">
        <v>4400000</v>
      </c>
      <c r="M118" s="420">
        <v>4500000</v>
      </c>
    </row>
    <row r="119" spans="1:13" ht="12.75" customHeight="1">
      <c r="A119" s="569" t="s">
        <v>1442</v>
      </c>
      <c r="B119" s="569" t="s">
        <v>1710</v>
      </c>
      <c r="C119" s="569" t="s">
        <v>1711</v>
      </c>
      <c r="D119" s="569" t="s">
        <v>1480</v>
      </c>
      <c r="E119" s="420">
        <v>2000000</v>
      </c>
      <c r="F119" s="420">
        <v>2000000</v>
      </c>
      <c r="G119" s="420">
        <v>0</v>
      </c>
      <c r="H119" s="420">
        <v>-1000000</v>
      </c>
      <c r="I119" s="420">
        <v>1000000</v>
      </c>
      <c r="J119" s="570">
        <v>0</v>
      </c>
      <c r="K119" s="420">
        <v>500000</v>
      </c>
      <c r="L119" s="420">
        <v>500000</v>
      </c>
      <c r="M119" s="420">
        <v>0</v>
      </c>
    </row>
    <row r="120" spans="1:13" ht="12.75" customHeight="1">
      <c r="A120" s="569" t="s">
        <v>1442</v>
      </c>
      <c r="B120" s="569" t="s">
        <v>1712</v>
      </c>
      <c r="C120" s="569" t="s">
        <v>1713</v>
      </c>
      <c r="D120" s="569" t="s">
        <v>1480</v>
      </c>
      <c r="E120" s="420">
        <v>200000</v>
      </c>
      <c r="F120" s="420">
        <v>200000</v>
      </c>
      <c r="G120" s="420">
        <v>0</v>
      </c>
      <c r="H120" s="420">
        <v>0</v>
      </c>
      <c r="I120" s="420">
        <v>200000</v>
      </c>
      <c r="J120" s="570">
        <v>0</v>
      </c>
      <c r="K120" s="420">
        <v>200000</v>
      </c>
      <c r="L120" s="420">
        <v>0</v>
      </c>
      <c r="M120" s="420">
        <v>0</v>
      </c>
    </row>
    <row r="121" spans="1:13" ht="12.75" customHeight="1">
      <c r="A121" s="569" t="s">
        <v>1442</v>
      </c>
      <c r="B121" s="569" t="s">
        <v>1714</v>
      </c>
      <c r="C121" s="569" t="s">
        <v>1715</v>
      </c>
      <c r="D121" s="569" t="s">
        <v>1480</v>
      </c>
      <c r="E121" s="420">
        <v>500000</v>
      </c>
      <c r="F121" s="420">
        <v>290000</v>
      </c>
      <c r="G121" s="420">
        <v>30000</v>
      </c>
      <c r="H121" s="420">
        <v>0</v>
      </c>
      <c r="I121" s="420">
        <v>320000</v>
      </c>
      <c r="J121" s="570">
        <v>100000</v>
      </c>
      <c r="K121" s="420">
        <v>220000</v>
      </c>
      <c r="L121" s="420">
        <v>0</v>
      </c>
      <c r="M121" s="420">
        <v>0</v>
      </c>
    </row>
    <row r="122" spans="1:13" ht="12.75" customHeight="1">
      <c r="A122" s="569" t="s">
        <v>1442</v>
      </c>
      <c r="B122" s="569" t="s">
        <v>1716</v>
      </c>
      <c r="C122" s="569" t="s">
        <v>1717</v>
      </c>
      <c r="D122" s="569" t="s">
        <v>1480</v>
      </c>
      <c r="E122" s="420">
        <v>15450000</v>
      </c>
      <c r="F122" s="420">
        <v>12000000</v>
      </c>
      <c r="G122" s="420">
        <v>235000</v>
      </c>
      <c r="H122" s="420">
        <v>0</v>
      </c>
      <c r="I122" s="420">
        <v>12235000</v>
      </c>
      <c r="J122" s="570">
        <v>500000</v>
      </c>
      <c r="K122" s="420">
        <v>500000</v>
      </c>
      <c r="L122" s="420">
        <v>3235000</v>
      </c>
      <c r="M122" s="420">
        <v>4000000</v>
      </c>
    </row>
    <row r="123" spans="1:13" ht="12.75" customHeight="1">
      <c r="A123" s="569" t="s">
        <v>1442</v>
      </c>
      <c r="B123" s="569" t="s">
        <v>1718</v>
      </c>
      <c r="C123" s="569" t="s">
        <v>1719</v>
      </c>
      <c r="D123" s="569" t="s">
        <v>1480</v>
      </c>
      <c r="E123" s="420">
        <v>3000000</v>
      </c>
      <c r="F123" s="420">
        <v>1060000</v>
      </c>
      <c r="G123" s="420">
        <v>40000</v>
      </c>
      <c r="H123" s="420">
        <v>0</v>
      </c>
      <c r="I123" s="420">
        <v>1100000</v>
      </c>
      <c r="J123" s="570">
        <v>300000</v>
      </c>
      <c r="K123" s="420">
        <v>800000</v>
      </c>
      <c r="L123" s="420">
        <v>0</v>
      </c>
      <c r="M123" s="420">
        <v>0</v>
      </c>
    </row>
    <row r="124" spans="1:13" ht="12.75" customHeight="1">
      <c r="A124" s="569" t="s">
        <v>1442</v>
      </c>
      <c r="B124" s="569" t="s">
        <v>1720</v>
      </c>
      <c r="C124" s="569" t="s">
        <v>1721</v>
      </c>
      <c r="D124" s="569" t="s">
        <v>1480</v>
      </c>
      <c r="E124" s="420">
        <v>2300000</v>
      </c>
      <c r="F124" s="420">
        <v>2305000</v>
      </c>
      <c r="G124" s="420">
        <v>55000</v>
      </c>
      <c r="H124" s="420">
        <v>0</v>
      </c>
      <c r="I124" s="420">
        <v>2360000</v>
      </c>
      <c r="J124" s="570">
        <v>60000</v>
      </c>
      <c r="K124" s="420">
        <v>2300000</v>
      </c>
      <c r="L124" s="420">
        <v>0</v>
      </c>
      <c r="M124" s="420">
        <v>0</v>
      </c>
    </row>
    <row r="125" spans="1:13" ht="12.75" customHeight="1">
      <c r="A125" s="569" t="s">
        <v>1442</v>
      </c>
      <c r="B125" s="569" t="s">
        <v>1722</v>
      </c>
      <c r="C125" s="569" t="s">
        <v>1723</v>
      </c>
      <c r="D125" s="569" t="s">
        <v>1512</v>
      </c>
      <c r="E125" s="420">
        <v>14000000</v>
      </c>
      <c r="F125" s="420">
        <v>13200000</v>
      </c>
      <c r="G125" s="420">
        <v>100000</v>
      </c>
      <c r="H125" s="420">
        <v>0</v>
      </c>
      <c r="I125" s="420">
        <v>13300000</v>
      </c>
      <c r="J125" s="570">
        <v>300000</v>
      </c>
      <c r="K125" s="420">
        <v>360000</v>
      </c>
      <c r="L125" s="420">
        <v>3160000</v>
      </c>
      <c r="M125" s="420">
        <v>3160000</v>
      </c>
    </row>
    <row r="126" spans="1:13" ht="12.75" customHeight="1">
      <c r="A126" s="569" t="s">
        <v>1442</v>
      </c>
      <c r="B126" s="569" t="s">
        <v>1724</v>
      </c>
      <c r="C126" s="569" t="s">
        <v>1725</v>
      </c>
      <c r="D126" s="569" t="s">
        <v>1480</v>
      </c>
      <c r="E126" s="420">
        <v>3605000</v>
      </c>
      <c r="F126" s="420">
        <v>2790000</v>
      </c>
      <c r="G126" s="420">
        <v>50000</v>
      </c>
      <c r="H126" s="420">
        <v>0</v>
      </c>
      <c r="I126" s="420">
        <v>2840000</v>
      </c>
      <c r="J126" s="570">
        <v>500000</v>
      </c>
      <c r="K126" s="420">
        <v>500000</v>
      </c>
      <c r="L126" s="420">
        <v>840000</v>
      </c>
      <c r="M126" s="420">
        <v>1000000</v>
      </c>
    </row>
    <row r="127" spans="1:13" ht="12.75" customHeight="1">
      <c r="A127" s="569" t="s">
        <v>1442</v>
      </c>
      <c r="B127" s="569" t="s">
        <v>1726</v>
      </c>
      <c r="C127" s="569" t="s">
        <v>1727</v>
      </c>
      <c r="D127" s="569" t="s">
        <v>1480</v>
      </c>
      <c r="E127" s="420">
        <v>350000</v>
      </c>
      <c r="F127" s="420">
        <v>325000</v>
      </c>
      <c r="G127" s="420">
        <v>25000</v>
      </c>
      <c r="H127" s="420">
        <v>0</v>
      </c>
      <c r="I127" s="420">
        <v>350000</v>
      </c>
      <c r="J127" s="570">
        <v>0</v>
      </c>
      <c r="K127" s="420">
        <v>50000</v>
      </c>
      <c r="L127" s="420">
        <v>150000</v>
      </c>
      <c r="M127" s="420">
        <v>150000</v>
      </c>
    </row>
    <row r="128" spans="1:13" ht="12.75" customHeight="1">
      <c r="A128" s="569" t="s">
        <v>1442</v>
      </c>
      <c r="B128" s="569" t="s">
        <v>1728</v>
      </c>
      <c r="C128" s="569" t="s">
        <v>1729</v>
      </c>
      <c r="D128" s="569" t="s">
        <v>1480</v>
      </c>
      <c r="E128" s="420">
        <v>4000000</v>
      </c>
      <c r="F128" s="420">
        <v>2720000</v>
      </c>
      <c r="G128" s="420">
        <v>80000</v>
      </c>
      <c r="H128" s="420">
        <v>0</v>
      </c>
      <c r="I128" s="420">
        <v>2800000</v>
      </c>
      <c r="J128" s="570">
        <v>500000</v>
      </c>
      <c r="K128" s="420">
        <v>800000</v>
      </c>
      <c r="L128" s="420">
        <v>1000000</v>
      </c>
      <c r="M128" s="420">
        <v>500000</v>
      </c>
    </row>
    <row r="129" spans="1:13" ht="12.75" customHeight="1">
      <c r="A129" s="569" t="s">
        <v>1442</v>
      </c>
      <c r="B129" s="569" t="s">
        <v>1730</v>
      </c>
      <c r="C129" s="569" t="s">
        <v>1731</v>
      </c>
      <c r="D129" s="569" t="s">
        <v>1480</v>
      </c>
      <c r="E129" s="420">
        <v>9600000</v>
      </c>
      <c r="F129" s="420">
        <v>8675000</v>
      </c>
      <c r="G129" s="420">
        <v>925000</v>
      </c>
      <c r="H129" s="420">
        <v>-6100000</v>
      </c>
      <c r="I129" s="420">
        <v>3500000</v>
      </c>
      <c r="J129" s="570">
        <v>65000</v>
      </c>
      <c r="K129" s="420">
        <v>110000</v>
      </c>
      <c r="L129" s="420">
        <v>125000</v>
      </c>
      <c r="M129" s="420">
        <v>1600000</v>
      </c>
    </row>
    <row r="130" spans="1:13" ht="12.75" customHeight="1">
      <c r="A130" s="569" t="s">
        <v>1442</v>
      </c>
      <c r="B130" s="569" t="s">
        <v>1732</v>
      </c>
      <c r="C130" s="569" t="s">
        <v>1733</v>
      </c>
      <c r="D130" s="569" t="s">
        <v>1501</v>
      </c>
      <c r="E130" s="420">
        <v>1250000</v>
      </c>
      <c r="F130" s="420">
        <v>1100000</v>
      </c>
      <c r="G130" s="420">
        <v>0</v>
      </c>
      <c r="H130" s="420">
        <v>0</v>
      </c>
      <c r="I130" s="420">
        <v>1100000</v>
      </c>
      <c r="J130" s="570">
        <v>100000</v>
      </c>
      <c r="K130" s="420">
        <v>1000000</v>
      </c>
      <c r="L130" s="420">
        <v>0</v>
      </c>
      <c r="M130" s="420">
        <v>0</v>
      </c>
    </row>
    <row r="131" spans="1:13" ht="12.75" customHeight="1">
      <c r="A131" s="569" t="s">
        <v>1442</v>
      </c>
      <c r="B131" s="569" t="s">
        <v>1734</v>
      </c>
      <c r="C131" s="569" t="s">
        <v>1735</v>
      </c>
      <c r="D131" s="569" t="s">
        <v>1480</v>
      </c>
      <c r="E131" s="420">
        <v>1600000</v>
      </c>
      <c r="F131" s="420">
        <v>1880000</v>
      </c>
      <c r="G131" s="420">
        <v>70000</v>
      </c>
      <c r="H131" s="420">
        <v>0</v>
      </c>
      <c r="I131" s="420">
        <v>1950000</v>
      </c>
      <c r="J131" s="570">
        <f>1150000-250000</f>
        <v>900000</v>
      </c>
      <c r="K131" s="420">
        <f>800000+250000</f>
        <v>1050000</v>
      </c>
      <c r="L131" s="420">
        <v>0</v>
      </c>
      <c r="M131" s="420">
        <v>0</v>
      </c>
    </row>
    <row r="132" spans="1:13" ht="12.75" customHeight="1">
      <c r="A132" s="569" t="s">
        <v>1442</v>
      </c>
      <c r="B132" s="569" t="s">
        <v>1736</v>
      </c>
      <c r="C132" s="569" t="s">
        <v>1737</v>
      </c>
      <c r="D132" s="569" t="s">
        <v>1480</v>
      </c>
      <c r="E132" s="420">
        <v>300000</v>
      </c>
      <c r="F132" s="420">
        <v>180000</v>
      </c>
      <c r="G132" s="420">
        <v>20000</v>
      </c>
      <c r="H132" s="420">
        <v>0</v>
      </c>
      <c r="I132" s="420">
        <v>200000</v>
      </c>
      <c r="J132" s="570">
        <v>100000</v>
      </c>
      <c r="K132" s="420">
        <v>100000</v>
      </c>
      <c r="L132" s="420">
        <v>0</v>
      </c>
      <c r="M132" s="420">
        <v>0</v>
      </c>
    </row>
    <row r="133" spans="1:13" ht="12.75" customHeight="1">
      <c r="A133" s="569" t="s">
        <v>1442</v>
      </c>
      <c r="B133" s="569" t="s">
        <v>1738</v>
      </c>
      <c r="C133" s="569" t="s">
        <v>1739</v>
      </c>
      <c r="D133" s="569" t="s">
        <v>1480</v>
      </c>
      <c r="E133" s="420">
        <v>4000000</v>
      </c>
      <c r="F133" s="420">
        <v>3770000</v>
      </c>
      <c r="G133" s="420">
        <v>230000</v>
      </c>
      <c r="H133" s="420">
        <v>0</v>
      </c>
      <c r="I133" s="420">
        <v>4000000</v>
      </c>
      <c r="J133" s="570">
        <v>0</v>
      </c>
      <c r="K133" s="420">
        <v>0</v>
      </c>
      <c r="L133" s="420">
        <v>0</v>
      </c>
      <c r="M133" s="420">
        <v>100000</v>
      </c>
    </row>
    <row r="134" spans="1:13" ht="12.75" customHeight="1">
      <c r="A134" s="569" t="s">
        <v>1442</v>
      </c>
      <c r="B134" s="569" t="s">
        <v>1740</v>
      </c>
      <c r="C134" s="569" t="s">
        <v>1741</v>
      </c>
      <c r="D134" s="569" t="s">
        <v>1480</v>
      </c>
      <c r="E134" s="420">
        <v>590000</v>
      </c>
      <c r="F134" s="420">
        <v>525000</v>
      </c>
      <c r="G134" s="420">
        <v>65000</v>
      </c>
      <c r="H134" s="420">
        <v>0</v>
      </c>
      <c r="I134" s="420">
        <v>590000</v>
      </c>
      <c r="J134" s="570">
        <v>0</v>
      </c>
      <c r="K134" s="420">
        <v>30000</v>
      </c>
      <c r="L134" s="420">
        <v>60000</v>
      </c>
      <c r="M134" s="420">
        <v>250000</v>
      </c>
    </row>
    <row r="135" spans="1:13" ht="12.75" customHeight="1">
      <c r="A135" s="569" t="s">
        <v>1442</v>
      </c>
      <c r="B135" s="569" t="s">
        <v>1742</v>
      </c>
      <c r="C135" s="569" t="s">
        <v>1743</v>
      </c>
      <c r="D135" s="569" t="s">
        <v>1480</v>
      </c>
      <c r="E135" s="420">
        <v>180000</v>
      </c>
      <c r="F135" s="420">
        <v>170000</v>
      </c>
      <c r="G135" s="420">
        <v>10000</v>
      </c>
      <c r="H135" s="420">
        <v>0</v>
      </c>
      <c r="I135" s="420">
        <v>180000</v>
      </c>
      <c r="J135" s="570">
        <v>30000</v>
      </c>
      <c r="K135" s="420">
        <v>150000</v>
      </c>
      <c r="L135" s="420">
        <v>0</v>
      </c>
      <c r="M135" s="420">
        <v>0</v>
      </c>
    </row>
    <row r="136" spans="1:13" ht="12.75" customHeight="1">
      <c r="A136" s="569" t="s">
        <v>1442</v>
      </c>
      <c r="B136" s="569" t="s">
        <v>1744</v>
      </c>
      <c r="C136" s="569" t="s">
        <v>1745</v>
      </c>
      <c r="D136" s="569" t="s">
        <v>1480</v>
      </c>
      <c r="E136" s="420">
        <v>850000</v>
      </c>
      <c r="F136" s="420">
        <v>850000</v>
      </c>
      <c r="G136" s="420">
        <v>0</v>
      </c>
      <c r="H136" s="420">
        <v>0</v>
      </c>
      <c r="I136" s="420">
        <v>850000</v>
      </c>
      <c r="J136" s="570">
        <v>50000</v>
      </c>
      <c r="K136" s="420">
        <v>300000</v>
      </c>
      <c r="L136" s="420">
        <v>500000</v>
      </c>
      <c r="M136" s="420">
        <v>0</v>
      </c>
    </row>
    <row r="137" spans="1:13" ht="12.75" customHeight="1">
      <c r="A137" s="569" t="s">
        <v>1442</v>
      </c>
      <c r="B137" s="569" t="s">
        <v>1746</v>
      </c>
      <c r="C137" s="569" t="s">
        <v>1747</v>
      </c>
      <c r="D137" s="569" t="s">
        <v>1480</v>
      </c>
      <c r="E137" s="420">
        <v>2600000</v>
      </c>
      <c r="F137" s="420">
        <v>2470000</v>
      </c>
      <c r="G137" s="420">
        <v>130000</v>
      </c>
      <c r="H137" s="420">
        <v>0</v>
      </c>
      <c r="I137" s="420">
        <v>2600000</v>
      </c>
      <c r="J137" s="570">
        <v>100000</v>
      </c>
      <c r="K137" s="420">
        <v>100000</v>
      </c>
      <c r="L137" s="420">
        <v>100000</v>
      </c>
      <c r="M137" s="420">
        <v>1150000</v>
      </c>
    </row>
    <row r="138" spans="1:13" ht="12.75" customHeight="1">
      <c r="A138" s="569" t="s">
        <v>1442</v>
      </c>
      <c r="B138" s="569" t="s">
        <v>1748</v>
      </c>
      <c r="C138" s="569" t="s">
        <v>1749</v>
      </c>
      <c r="D138" s="569" t="s">
        <v>1480</v>
      </c>
      <c r="E138" s="420">
        <v>750000</v>
      </c>
      <c r="F138" s="420">
        <v>750000</v>
      </c>
      <c r="G138" s="420">
        <v>0</v>
      </c>
      <c r="H138" s="420">
        <v>-495000</v>
      </c>
      <c r="I138" s="420">
        <v>255000</v>
      </c>
      <c r="J138" s="570">
        <v>17000</v>
      </c>
      <c r="K138" s="420">
        <v>102000</v>
      </c>
      <c r="L138" s="420">
        <v>136000</v>
      </c>
      <c r="M138" s="420">
        <v>0</v>
      </c>
    </row>
    <row r="139" spans="1:13" ht="12.75" customHeight="1">
      <c r="A139" s="569" t="s">
        <v>1442</v>
      </c>
      <c r="B139" s="569" t="s">
        <v>1750</v>
      </c>
      <c r="C139" s="569" t="s">
        <v>1751</v>
      </c>
      <c r="D139" s="569" t="s">
        <v>1480</v>
      </c>
      <c r="E139" s="420">
        <v>875000</v>
      </c>
      <c r="F139" s="420">
        <v>850000</v>
      </c>
      <c r="G139" s="420">
        <v>25000</v>
      </c>
      <c r="H139" s="420">
        <v>0</v>
      </c>
      <c r="I139" s="420">
        <v>875000</v>
      </c>
      <c r="J139" s="570">
        <v>0</v>
      </c>
      <c r="K139" s="420">
        <v>0</v>
      </c>
      <c r="L139" s="420">
        <v>55000</v>
      </c>
      <c r="M139" s="420">
        <v>820000</v>
      </c>
    </row>
    <row r="140" spans="1:13" ht="12.75" customHeight="1">
      <c r="A140" s="569" t="s">
        <v>1442</v>
      </c>
      <c r="B140" s="569" t="s">
        <v>1752</v>
      </c>
      <c r="C140" s="569" t="s">
        <v>1753</v>
      </c>
      <c r="D140" s="569" t="s">
        <v>1480</v>
      </c>
      <c r="E140" s="420">
        <v>1100000</v>
      </c>
      <c r="F140" s="420">
        <v>1100000</v>
      </c>
      <c r="G140" s="420">
        <v>0</v>
      </c>
      <c r="H140" s="420">
        <v>0</v>
      </c>
      <c r="I140" s="420">
        <v>1100000</v>
      </c>
      <c r="J140" s="570">
        <v>100000</v>
      </c>
      <c r="K140" s="420">
        <v>500000</v>
      </c>
      <c r="L140" s="420">
        <v>500000</v>
      </c>
      <c r="M140" s="420">
        <v>0</v>
      </c>
    </row>
    <row r="141" spans="1:13" ht="12.75" customHeight="1">
      <c r="A141" s="569" t="s">
        <v>1442</v>
      </c>
      <c r="B141" s="569" t="s">
        <v>1754</v>
      </c>
      <c r="C141" s="569" t="s">
        <v>1755</v>
      </c>
      <c r="D141" s="569" t="s">
        <v>1480</v>
      </c>
      <c r="E141" s="420">
        <v>300000</v>
      </c>
      <c r="F141" s="420">
        <v>300000</v>
      </c>
      <c r="G141" s="420">
        <v>0</v>
      </c>
      <c r="H141" s="420">
        <v>0</v>
      </c>
      <c r="I141" s="420">
        <v>300000</v>
      </c>
      <c r="J141" s="570">
        <v>50000</v>
      </c>
      <c r="K141" s="420">
        <v>250000</v>
      </c>
      <c r="L141" s="420">
        <v>0</v>
      </c>
      <c r="M141" s="420">
        <v>0</v>
      </c>
    </row>
    <row r="142" spans="1:13" ht="12.75" customHeight="1">
      <c r="A142" s="569" t="s">
        <v>1442</v>
      </c>
      <c r="B142" s="569" t="s">
        <v>1756</v>
      </c>
      <c r="C142" s="569" t="s">
        <v>1757</v>
      </c>
      <c r="D142" s="569" t="s">
        <v>1480</v>
      </c>
      <c r="E142" s="420">
        <v>2200000</v>
      </c>
      <c r="F142" s="420">
        <v>2090000</v>
      </c>
      <c r="G142" s="420">
        <v>110000</v>
      </c>
      <c r="H142" s="420">
        <v>0</v>
      </c>
      <c r="I142" s="420">
        <v>2200000</v>
      </c>
      <c r="J142" s="570">
        <v>200000</v>
      </c>
      <c r="K142" s="420">
        <v>1000000</v>
      </c>
      <c r="L142" s="420">
        <v>1000000</v>
      </c>
      <c r="M142" s="420">
        <v>0</v>
      </c>
    </row>
    <row r="143" spans="1:13" ht="12.75" customHeight="1">
      <c r="A143" s="569" t="s">
        <v>1442</v>
      </c>
      <c r="B143" s="569" t="s">
        <v>1758</v>
      </c>
      <c r="C143" s="569" t="s">
        <v>1759</v>
      </c>
      <c r="D143" s="569" t="s">
        <v>1480</v>
      </c>
      <c r="E143" s="420">
        <v>500000</v>
      </c>
      <c r="F143" s="420">
        <v>500000</v>
      </c>
      <c r="G143" s="420">
        <v>0</v>
      </c>
      <c r="H143" s="420">
        <v>0</v>
      </c>
      <c r="I143" s="420">
        <v>500000</v>
      </c>
      <c r="J143" s="570">
        <v>0</v>
      </c>
      <c r="K143" s="420">
        <v>100000</v>
      </c>
      <c r="L143" s="420">
        <v>200000</v>
      </c>
      <c r="M143" s="420">
        <v>200000</v>
      </c>
    </row>
    <row r="144" spans="1:13" ht="12.75" customHeight="1">
      <c r="A144" s="569" t="s">
        <v>1442</v>
      </c>
      <c r="B144" s="569" t="s">
        <v>1760</v>
      </c>
      <c r="C144" s="569" t="s">
        <v>1761</v>
      </c>
      <c r="D144" s="569" t="s">
        <v>1649</v>
      </c>
      <c r="E144" s="420">
        <v>1800000</v>
      </c>
      <c r="F144" s="420">
        <v>1195000</v>
      </c>
      <c r="G144" s="420">
        <v>5000</v>
      </c>
      <c r="H144" s="420">
        <v>0</v>
      </c>
      <c r="I144" s="420">
        <v>1200000</v>
      </c>
      <c r="J144" s="570">
        <v>300000</v>
      </c>
      <c r="K144" s="420">
        <v>300000</v>
      </c>
      <c r="L144" s="420">
        <v>300000</v>
      </c>
      <c r="M144" s="420">
        <v>300000</v>
      </c>
    </row>
    <row r="145" spans="1:13" ht="12.75" customHeight="1">
      <c r="A145" s="569" t="s">
        <v>1442</v>
      </c>
      <c r="B145" s="569" t="s">
        <v>1762</v>
      </c>
      <c r="C145" s="569" t="s">
        <v>1763</v>
      </c>
      <c r="D145" s="569" t="s">
        <v>1519</v>
      </c>
      <c r="E145" s="420">
        <v>750000</v>
      </c>
      <c r="F145" s="420">
        <v>145000</v>
      </c>
      <c r="G145" s="420">
        <v>5000</v>
      </c>
      <c r="H145" s="420">
        <v>0</v>
      </c>
      <c r="I145" s="420">
        <v>150000</v>
      </c>
      <c r="J145" s="570">
        <v>150000</v>
      </c>
      <c r="K145" s="420">
        <v>0</v>
      </c>
      <c r="L145" s="420">
        <v>0</v>
      </c>
      <c r="M145" s="420">
        <v>0</v>
      </c>
    </row>
    <row r="146" spans="1:13" ht="12.75" customHeight="1">
      <c r="A146" s="569" t="s">
        <v>1442</v>
      </c>
      <c r="B146" s="569" t="s">
        <v>1764</v>
      </c>
      <c r="C146" s="569" t="s">
        <v>1765</v>
      </c>
      <c r="D146" s="569" t="s">
        <v>1480</v>
      </c>
      <c r="E146" s="420">
        <v>2000000</v>
      </c>
      <c r="F146" s="420">
        <v>1200000</v>
      </c>
      <c r="G146" s="420">
        <v>0</v>
      </c>
      <c r="H146" s="420">
        <v>0</v>
      </c>
      <c r="I146" s="420">
        <v>1200000</v>
      </c>
      <c r="J146" s="570">
        <v>400000</v>
      </c>
      <c r="K146" s="420">
        <v>400000</v>
      </c>
      <c r="L146" s="420">
        <v>400000</v>
      </c>
      <c r="M146" s="420">
        <v>0</v>
      </c>
    </row>
    <row r="147" spans="1:13" ht="12.75" customHeight="1">
      <c r="A147" s="569" t="s">
        <v>1442</v>
      </c>
      <c r="B147" s="569" t="s">
        <v>1766</v>
      </c>
      <c r="C147" s="569" t="s">
        <v>1767</v>
      </c>
      <c r="D147" s="569" t="s">
        <v>1480</v>
      </c>
      <c r="E147" s="420">
        <v>450000</v>
      </c>
      <c r="F147" s="420">
        <v>385000</v>
      </c>
      <c r="G147" s="420">
        <v>15000</v>
      </c>
      <c r="H147" s="420">
        <v>0</v>
      </c>
      <c r="I147" s="420">
        <v>400000</v>
      </c>
      <c r="J147" s="570">
        <v>50000</v>
      </c>
      <c r="K147" s="420">
        <v>50000</v>
      </c>
      <c r="L147" s="420">
        <v>50000</v>
      </c>
      <c r="M147" s="420">
        <v>50000</v>
      </c>
    </row>
    <row r="148" spans="1:13" ht="12.75" customHeight="1">
      <c r="A148" s="401">
        <v>1500</v>
      </c>
      <c r="B148" s="401"/>
      <c r="C148" s="401"/>
      <c r="D148" s="401"/>
      <c r="E148" s="290">
        <f t="shared" ref="E148:M148" si="2">SUM(E24:E147)</f>
        <v>417368000</v>
      </c>
      <c r="F148" s="290">
        <f t="shared" si="2"/>
        <v>327675000</v>
      </c>
      <c r="G148" s="290">
        <f t="shared" si="2"/>
        <v>8527000</v>
      </c>
      <c r="H148" s="290">
        <f t="shared" si="2"/>
        <v>-69759997</v>
      </c>
      <c r="I148" s="290">
        <f t="shared" si="2"/>
        <v>266442003</v>
      </c>
      <c r="J148" s="572">
        <f t="shared" si="2"/>
        <v>24096001</v>
      </c>
      <c r="K148" s="290">
        <f t="shared" si="2"/>
        <v>60227500</v>
      </c>
      <c r="L148" s="290">
        <f t="shared" si="2"/>
        <v>64125001</v>
      </c>
      <c r="M148" s="290">
        <f t="shared" si="2"/>
        <v>50049501</v>
      </c>
    </row>
    <row r="149" spans="1:13" ht="12.75" customHeight="1"/>
    <row r="150" spans="1:13" ht="12.75" customHeight="1">
      <c r="A150" s="401" t="s">
        <v>1768</v>
      </c>
      <c r="B150" s="401"/>
      <c r="C150" s="401"/>
      <c r="D150" s="401"/>
      <c r="E150" s="290">
        <f t="shared" ref="E150:M150" si="3">SUM(E2:E148)/2</f>
        <v>438483000</v>
      </c>
      <c r="F150" s="290">
        <f t="shared" si="3"/>
        <v>338347957</v>
      </c>
      <c r="G150" s="290">
        <f t="shared" si="3"/>
        <v>9642000</v>
      </c>
      <c r="H150" s="290">
        <f t="shared" si="3"/>
        <v>-70339291</v>
      </c>
      <c r="I150" s="290">
        <f t="shared" si="3"/>
        <v>277650666</v>
      </c>
      <c r="J150" s="572">
        <f t="shared" si="3"/>
        <v>27980192</v>
      </c>
      <c r="K150" s="290">
        <f t="shared" si="3"/>
        <v>63556972</v>
      </c>
      <c r="L150" s="290">
        <f t="shared" si="3"/>
        <v>65795001</v>
      </c>
      <c r="M150" s="290">
        <f t="shared" si="3"/>
        <v>51034501</v>
      </c>
    </row>
  </sheetData>
  <pageMargins left="0.39370078740157483" right="0.39370078740157483" top="0.98425196850393704" bottom="0.98425196850393704" header="0.51181102362204722" footer="0.51181102362204722"/>
  <pageSetup paperSize="9" firstPageNumber="4" fitToHeight="0" orientation="landscape" r:id="rId1"/>
  <headerFooter alignWithMargins="0">
    <oddHeader>&amp;L&amp;"Arial,Fett"MIP 2013 - 2016&amp;C&amp;"Arial,Fett"Investitionsplanung&amp;R&amp;"Arial,Fett"Tiefbau / Stadtplanung / Verkehr
&amp;"Arial,Standard"&amp;8Beträge in  Franken</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9"/>
  <sheetViews>
    <sheetView zoomScaleNormal="100" workbookViewId="0"/>
  </sheetViews>
  <sheetFormatPr baseColWidth="10" defaultRowHeight="11.25"/>
  <cols>
    <col min="1" max="1" width="4.42578125" style="396" customWidth="1"/>
    <col min="2" max="2" width="7.42578125" style="396" bestFit="1" customWidth="1"/>
    <col min="3" max="3" width="30.85546875" style="396" bestFit="1" customWidth="1"/>
    <col min="4" max="4" width="3.7109375" style="396" bestFit="1" customWidth="1"/>
    <col min="5" max="6" width="9.7109375" style="525" customWidth="1"/>
    <col min="7" max="7" width="10.7109375" style="525" bestFit="1" customWidth="1"/>
    <col min="8" max="8" width="10.28515625" style="525" bestFit="1" customWidth="1"/>
    <col min="9" max="9" width="9.7109375" style="525" bestFit="1" customWidth="1"/>
    <col min="10" max="13" width="8.5703125" style="525" bestFit="1" customWidth="1"/>
    <col min="14" max="14" width="11.42578125" style="525"/>
    <col min="15" max="16384" width="11.42578125" style="396"/>
  </cols>
  <sheetData>
    <row r="1" spans="1:14" ht="22.5">
      <c r="A1" s="565" t="s">
        <v>1465</v>
      </c>
      <c r="B1" s="565" t="s">
        <v>1466</v>
      </c>
      <c r="C1" s="565" t="s">
        <v>1467</v>
      </c>
      <c r="D1" s="565" t="s">
        <v>1468</v>
      </c>
      <c r="E1" s="566" t="s">
        <v>1469</v>
      </c>
      <c r="F1" s="566" t="s">
        <v>1470</v>
      </c>
      <c r="G1" s="566" t="s">
        <v>1471</v>
      </c>
      <c r="H1" s="566" t="s">
        <v>1472</v>
      </c>
      <c r="I1" s="566" t="s">
        <v>1473</v>
      </c>
      <c r="J1" s="567" t="s">
        <v>1474</v>
      </c>
      <c r="K1" s="568" t="s">
        <v>1475</v>
      </c>
      <c r="L1" s="568" t="s">
        <v>1476</v>
      </c>
      <c r="M1" s="568" t="s">
        <v>1477</v>
      </c>
    </row>
    <row r="2" spans="1:14">
      <c r="A2" s="565" t="s">
        <v>1437</v>
      </c>
      <c r="B2" s="565" t="s">
        <v>1769</v>
      </c>
      <c r="C2" s="565" t="s">
        <v>1770</v>
      </c>
      <c r="D2" s="565" t="s">
        <v>1480</v>
      </c>
      <c r="E2" s="574">
        <v>300000</v>
      </c>
      <c r="F2" s="574">
        <v>120000</v>
      </c>
      <c r="G2" s="574">
        <v>0</v>
      </c>
      <c r="H2" s="574">
        <v>0</v>
      </c>
      <c r="I2" s="574">
        <v>120000</v>
      </c>
      <c r="J2" s="575">
        <v>60000</v>
      </c>
      <c r="K2" s="576">
        <v>60000</v>
      </c>
      <c r="L2" s="576">
        <v>0</v>
      </c>
      <c r="M2" s="576">
        <v>0</v>
      </c>
    </row>
    <row r="3" spans="1:14" customFormat="1" ht="12.75">
      <c r="A3" s="569" t="s">
        <v>1437</v>
      </c>
      <c r="B3" s="569" t="s">
        <v>1771</v>
      </c>
      <c r="C3" s="569" t="s">
        <v>1772</v>
      </c>
      <c r="D3" s="569" t="s">
        <v>1480</v>
      </c>
      <c r="E3" s="576">
        <v>220000</v>
      </c>
      <c r="F3" s="576">
        <v>150000</v>
      </c>
      <c r="G3" s="576">
        <v>15000</v>
      </c>
      <c r="H3" s="576">
        <v>0</v>
      </c>
      <c r="I3" s="576">
        <v>165000</v>
      </c>
      <c r="J3" s="575">
        <v>55000</v>
      </c>
      <c r="K3" s="576">
        <v>110000</v>
      </c>
      <c r="L3" s="576">
        <v>0</v>
      </c>
      <c r="M3" s="576">
        <v>0</v>
      </c>
    </row>
    <row r="4" spans="1:14">
      <c r="A4" s="401">
        <v>1100</v>
      </c>
      <c r="B4" s="401"/>
      <c r="C4" s="401"/>
      <c r="D4" s="401"/>
      <c r="E4" s="290">
        <f t="shared" ref="E4:M4" si="0">SUM(E2:E3)</f>
        <v>520000</v>
      </c>
      <c r="F4" s="290">
        <f t="shared" si="0"/>
        <v>270000</v>
      </c>
      <c r="G4" s="290">
        <f t="shared" si="0"/>
        <v>15000</v>
      </c>
      <c r="H4" s="290">
        <f t="shared" si="0"/>
        <v>0</v>
      </c>
      <c r="I4" s="290">
        <f t="shared" si="0"/>
        <v>285000</v>
      </c>
      <c r="J4" s="572">
        <f t="shared" si="0"/>
        <v>115000</v>
      </c>
      <c r="K4" s="290">
        <f t="shared" si="0"/>
        <v>170000</v>
      </c>
      <c r="L4" s="290">
        <f t="shared" si="0"/>
        <v>0</v>
      </c>
      <c r="M4" s="290">
        <f t="shared" si="0"/>
        <v>0</v>
      </c>
    </row>
    <row r="6" spans="1:14" ht="12.75" customHeight="1">
      <c r="A6" s="569" t="s">
        <v>1442</v>
      </c>
      <c r="B6" s="569" t="s">
        <v>1773</v>
      </c>
      <c r="C6" s="569" t="s">
        <v>1774</v>
      </c>
      <c r="D6" s="569" t="s">
        <v>1480</v>
      </c>
      <c r="E6" s="420">
        <v>612000</v>
      </c>
      <c r="F6" s="420">
        <v>422000</v>
      </c>
      <c r="G6" s="420">
        <v>90000</v>
      </c>
      <c r="H6" s="420">
        <v>0</v>
      </c>
      <c r="I6" s="420">
        <v>512000</v>
      </c>
      <c r="J6" s="570">
        <v>50000</v>
      </c>
      <c r="K6" s="420">
        <v>100000</v>
      </c>
      <c r="L6" s="420">
        <v>100000</v>
      </c>
      <c r="M6" s="420">
        <v>100000</v>
      </c>
      <c r="N6" s="396"/>
    </row>
    <row r="7" spans="1:14" ht="12.75" customHeight="1">
      <c r="A7" s="569" t="s">
        <v>1442</v>
      </c>
      <c r="B7" s="569" t="s">
        <v>1775</v>
      </c>
      <c r="C7" s="569" t="s">
        <v>1776</v>
      </c>
      <c r="D7" s="569" t="s">
        <v>1480</v>
      </c>
      <c r="E7" s="420">
        <v>280000</v>
      </c>
      <c r="F7" s="420">
        <v>280001</v>
      </c>
      <c r="G7" s="420">
        <v>0</v>
      </c>
      <c r="H7" s="420">
        <v>-280000</v>
      </c>
      <c r="I7" s="420">
        <v>1</v>
      </c>
      <c r="J7" s="570">
        <v>0</v>
      </c>
      <c r="K7" s="420">
        <v>0</v>
      </c>
      <c r="L7" s="420">
        <v>0</v>
      </c>
      <c r="M7" s="420">
        <v>0</v>
      </c>
      <c r="N7" s="396"/>
    </row>
    <row r="8" spans="1:14" ht="12.75" customHeight="1">
      <c r="A8" s="569" t="s">
        <v>1442</v>
      </c>
      <c r="B8" s="569" t="s">
        <v>1777</v>
      </c>
      <c r="C8" s="569" t="s">
        <v>1778</v>
      </c>
      <c r="D8" s="569" t="s">
        <v>1519</v>
      </c>
      <c r="E8" s="420">
        <v>1050000</v>
      </c>
      <c r="F8" s="420">
        <v>900000</v>
      </c>
      <c r="G8" s="420">
        <v>100000</v>
      </c>
      <c r="H8" s="420">
        <v>-600000</v>
      </c>
      <c r="I8" s="420">
        <v>400000</v>
      </c>
      <c r="J8" s="570">
        <v>400000</v>
      </c>
      <c r="K8" s="420">
        <v>0</v>
      </c>
      <c r="L8" s="420">
        <v>0</v>
      </c>
      <c r="M8" s="420">
        <v>0</v>
      </c>
      <c r="N8" s="396"/>
    </row>
    <row r="9" spans="1:14" ht="12.75" customHeight="1">
      <c r="A9" s="569" t="s">
        <v>1442</v>
      </c>
      <c r="B9" s="569" t="s">
        <v>1779</v>
      </c>
      <c r="C9" s="569" t="s">
        <v>1780</v>
      </c>
      <c r="D9" s="569" t="s">
        <v>1558</v>
      </c>
      <c r="E9" s="420">
        <v>300000</v>
      </c>
      <c r="F9" s="420">
        <v>300000</v>
      </c>
      <c r="G9" s="420">
        <v>0</v>
      </c>
      <c r="H9" s="420">
        <v>0</v>
      </c>
      <c r="I9" s="420">
        <v>300000</v>
      </c>
      <c r="J9" s="570">
        <v>0</v>
      </c>
      <c r="K9" s="420">
        <v>0</v>
      </c>
      <c r="L9" s="420">
        <v>0</v>
      </c>
      <c r="M9" s="420">
        <v>0</v>
      </c>
      <c r="N9" s="396"/>
    </row>
    <row r="10" spans="1:14" ht="12.75" customHeight="1">
      <c r="A10" s="569" t="s">
        <v>1442</v>
      </c>
      <c r="B10" s="569" t="s">
        <v>1781</v>
      </c>
      <c r="C10" s="569" t="s">
        <v>1782</v>
      </c>
      <c r="D10" s="569" t="s">
        <v>1480</v>
      </c>
      <c r="E10" s="420">
        <v>1500000</v>
      </c>
      <c r="F10" s="420">
        <v>1260000</v>
      </c>
      <c r="G10" s="420">
        <v>140000</v>
      </c>
      <c r="H10" s="420">
        <v>0</v>
      </c>
      <c r="I10" s="420">
        <v>1400000</v>
      </c>
      <c r="J10" s="570">
        <v>50000</v>
      </c>
      <c r="K10" s="420">
        <v>50000</v>
      </c>
      <c r="L10" s="420">
        <v>450000</v>
      </c>
      <c r="M10" s="420">
        <v>450000</v>
      </c>
      <c r="N10" s="396"/>
    </row>
    <row r="11" spans="1:14" ht="12.75" customHeight="1">
      <c r="A11" s="569" t="s">
        <v>1442</v>
      </c>
      <c r="B11" s="569" t="s">
        <v>1783</v>
      </c>
      <c r="C11" s="569" t="s">
        <v>1784</v>
      </c>
      <c r="D11" s="569" t="s">
        <v>1480</v>
      </c>
      <c r="E11" s="420">
        <v>350000</v>
      </c>
      <c r="F11" s="420">
        <v>276000</v>
      </c>
      <c r="G11" s="420">
        <v>24000</v>
      </c>
      <c r="H11" s="420">
        <v>0</v>
      </c>
      <c r="I11" s="420">
        <v>300000</v>
      </c>
      <c r="J11" s="570">
        <v>50000</v>
      </c>
      <c r="K11" s="420">
        <v>50000</v>
      </c>
      <c r="L11" s="420">
        <v>200000</v>
      </c>
      <c r="M11" s="420">
        <v>0</v>
      </c>
      <c r="N11" s="396"/>
    </row>
    <row r="12" spans="1:14" ht="12.75" customHeight="1">
      <c r="A12" s="569" t="s">
        <v>1442</v>
      </c>
      <c r="B12" s="569" t="s">
        <v>1785</v>
      </c>
      <c r="C12" s="569" t="s">
        <v>1786</v>
      </c>
      <c r="D12" s="569" t="s">
        <v>1512</v>
      </c>
      <c r="E12" s="420">
        <v>1000000</v>
      </c>
      <c r="F12" s="420">
        <v>711000</v>
      </c>
      <c r="G12" s="420">
        <v>22000</v>
      </c>
      <c r="H12" s="420">
        <v>0</v>
      </c>
      <c r="I12" s="420">
        <v>733000</v>
      </c>
      <c r="J12" s="570">
        <v>200000</v>
      </c>
      <c r="K12" s="420">
        <v>200000</v>
      </c>
      <c r="L12" s="420">
        <v>333000</v>
      </c>
      <c r="M12" s="420">
        <v>0</v>
      </c>
      <c r="N12" s="396"/>
    </row>
    <row r="13" spans="1:14" ht="12.75" customHeight="1">
      <c r="A13" s="569" t="s">
        <v>1442</v>
      </c>
      <c r="B13" s="569" t="s">
        <v>1787</v>
      </c>
      <c r="C13" s="569" t="s">
        <v>1788</v>
      </c>
      <c r="D13" s="569" t="s">
        <v>1480</v>
      </c>
      <c r="E13" s="420">
        <v>860000</v>
      </c>
      <c r="F13" s="420">
        <v>546000</v>
      </c>
      <c r="G13" s="420">
        <v>84000</v>
      </c>
      <c r="H13" s="420">
        <v>0</v>
      </c>
      <c r="I13" s="420">
        <v>630000</v>
      </c>
      <c r="J13" s="570">
        <v>200000</v>
      </c>
      <c r="K13" s="420">
        <v>230000</v>
      </c>
      <c r="L13" s="420">
        <v>200000</v>
      </c>
      <c r="M13" s="420">
        <v>0</v>
      </c>
      <c r="N13" s="396"/>
    </row>
    <row r="14" spans="1:14" ht="12.75" customHeight="1">
      <c r="A14" s="569" t="s">
        <v>1442</v>
      </c>
      <c r="B14" s="569" t="s">
        <v>1789</v>
      </c>
      <c r="C14" s="569" t="s">
        <v>1790</v>
      </c>
      <c r="D14" s="569" t="s">
        <v>1480</v>
      </c>
      <c r="E14" s="420">
        <v>3500000</v>
      </c>
      <c r="F14" s="420">
        <v>3400000</v>
      </c>
      <c r="G14" s="420">
        <v>100000</v>
      </c>
      <c r="H14" s="420">
        <v>0</v>
      </c>
      <c r="I14" s="420">
        <v>3500000</v>
      </c>
      <c r="J14" s="570">
        <v>0</v>
      </c>
      <c r="K14" s="420">
        <v>0</v>
      </c>
      <c r="L14" s="420">
        <v>0</v>
      </c>
      <c r="M14" s="420">
        <v>0</v>
      </c>
      <c r="N14" s="396"/>
    </row>
    <row r="15" spans="1:14" ht="12.75" customHeight="1">
      <c r="A15" s="569" t="s">
        <v>1442</v>
      </c>
      <c r="B15" s="569" t="s">
        <v>1791</v>
      </c>
      <c r="C15" s="569" t="s">
        <v>1792</v>
      </c>
      <c r="D15" s="569" t="s">
        <v>1480</v>
      </c>
      <c r="E15" s="420">
        <v>500000</v>
      </c>
      <c r="F15" s="420">
        <v>328000</v>
      </c>
      <c r="G15" s="420">
        <v>17000</v>
      </c>
      <c r="H15" s="420">
        <v>0</v>
      </c>
      <c r="I15" s="420">
        <v>345000</v>
      </c>
      <c r="J15" s="570">
        <v>50000</v>
      </c>
      <c r="K15" s="420">
        <v>190000</v>
      </c>
      <c r="L15" s="420">
        <v>105000</v>
      </c>
      <c r="M15" s="420">
        <v>0</v>
      </c>
      <c r="N15" s="396"/>
    </row>
    <row r="16" spans="1:14" ht="12.75" customHeight="1">
      <c r="A16" s="569" t="s">
        <v>1442</v>
      </c>
      <c r="B16" s="569" t="s">
        <v>1793</v>
      </c>
      <c r="C16" s="569" t="s">
        <v>1794</v>
      </c>
      <c r="D16" s="569" t="s">
        <v>1480</v>
      </c>
      <c r="E16" s="420">
        <v>300000</v>
      </c>
      <c r="F16" s="420">
        <v>142500</v>
      </c>
      <c r="G16" s="420">
        <v>7500</v>
      </c>
      <c r="H16" s="420">
        <v>0</v>
      </c>
      <c r="I16" s="420">
        <v>150000</v>
      </c>
      <c r="J16" s="570">
        <v>50000</v>
      </c>
      <c r="K16" s="420">
        <v>100000</v>
      </c>
      <c r="L16" s="420">
        <v>0</v>
      </c>
      <c r="M16" s="420">
        <v>0</v>
      </c>
      <c r="N16" s="396"/>
    </row>
    <row r="17" spans="1:14" ht="12.75" customHeight="1">
      <c r="A17" s="569" t="s">
        <v>1442</v>
      </c>
      <c r="B17" s="569" t="s">
        <v>1795</v>
      </c>
      <c r="C17" s="569" t="s">
        <v>1796</v>
      </c>
      <c r="D17" s="569" t="s">
        <v>1480</v>
      </c>
      <c r="E17" s="420">
        <v>1150000</v>
      </c>
      <c r="F17" s="420">
        <v>1135000</v>
      </c>
      <c r="G17" s="420">
        <v>15000</v>
      </c>
      <c r="H17" s="420">
        <v>-650000</v>
      </c>
      <c r="I17" s="420">
        <v>500000</v>
      </c>
      <c r="J17" s="570">
        <v>0</v>
      </c>
      <c r="K17" s="420">
        <v>50000</v>
      </c>
      <c r="L17" s="420">
        <v>200000</v>
      </c>
      <c r="M17" s="420">
        <v>250000</v>
      </c>
      <c r="N17" s="396"/>
    </row>
    <row r="18" spans="1:14" ht="12.75" customHeight="1">
      <c r="A18" s="569" t="s">
        <v>1442</v>
      </c>
      <c r="B18" s="569" t="s">
        <v>1797</v>
      </c>
      <c r="C18" s="569" t="s">
        <v>1798</v>
      </c>
      <c r="D18" s="569" t="s">
        <v>1501</v>
      </c>
      <c r="E18" s="420">
        <v>400000</v>
      </c>
      <c r="F18" s="420">
        <v>50000</v>
      </c>
      <c r="G18" s="420">
        <v>0</v>
      </c>
      <c r="H18" s="420">
        <v>0</v>
      </c>
      <c r="I18" s="420">
        <v>50000</v>
      </c>
      <c r="J18" s="570">
        <v>50000</v>
      </c>
      <c r="K18" s="420">
        <v>0</v>
      </c>
      <c r="L18" s="420">
        <v>0</v>
      </c>
      <c r="M18" s="420">
        <v>0</v>
      </c>
      <c r="N18" s="396"/>
    </row>
    <row r="19" spans="1:14" ht="12.75" customHeight="1">
      <c r="A19" s="569" t="s">
        <v>1442</v>
      </c>
      <c r="B19" s="569" t="s">
        <v>1799</v>
      </c>
      <c r="C19" s="569" t="s">
        <v>1800</v>
      </c>
      <c r="D19" s="569" t="s">
        <v>1480</v>
      </c>
      <c r="E19" s="420">
        <v>401500</v>
      </c>
      <c r="F19" s="420">
        <v>177400</v>
      </c>
      <c r="G19" s="420">
        <v>24100</v>
      </c>
      <c r="H19" s="420">
        <v>0</v>
      </c>
      <c r="I19" s="420">
        <v>201500</v>
      </c>
      <c r="J19" s="570">
        <v>70000</v>
      </c>
      <c r="K19" s="420">
        <v>70000</v>
      </c>
      <c r="L19" s="420">
        <v>61500</v>
      </c>
      <c r="M19" s="420">
        <v>0</v>
      </c>
      <c r="N19" s="396"/>
    </row>
    <row r="20" spans="1:14" ht="12.75" customHeight="1">
      <c r="A20" s="569" t="s">
        <v>1442</v>
      </c>
      <c r="B20" s="569" t="s">
        <v>1801</v>
      </c>
      <c r="C20" s="569" t="s">
        <v>1802</v>
      </c>
      <c r="D20" s="569" t="s">
        <v>1480</v>
      </c>
      <c r="E20" s="420">
        <v>1500000</v>
      </c>
      <c r="F20" s="420">
        <v>1455001</v>
      </c>
      <c r="G20" s="420">
        <v>45000</v>
      </c>
      <c r="H20" s="420">
        <v>-1500000</v>
      </c>
      <c r="I20" s="420">
        <v>1</v>
      </c>
      <c r="J20" s="570">
        <v>1</v>
      </c>
      <c r="K20" s="420">
        <v>0</v>
      </c>
      <c r="L20" s="420">
        <v>0</v>
      </c>
      <c r="M20" s="420">
        <v>0</v>
      </c>
      <c r="N20" s="396"/>
    </row>
    <row r="21" spans="1:14" ht="12.75" customHeight="1">
      <c r="A21" s="569" t="s">
        <v>1442</v>
      </c>
      <c r="B21" s="569" t="s">
        <v>1803</v>
      </c>
      <c r="C21" s="569" t="s">
        <v>1804</v>
      </c>
      <c r="D21" s="569" t="s">
        <v>1480</v>
      </c>
      <c r="E21" s="420">
        <v>2000000</v>
      </c>
      <c r="F21" s="420">
        <v>1939000</v>
      </c>
      <c r="G21" s="420">
        <v>61000</v>
      </c>
      <c r="H21" s="420">
        <v>-1400000</v>
      </c>
      <c r="I21" s="420">
        <v>600000</v>
      </c>
      <c r="J21" s="570">
        <v>500000</v>
      </c>
      <c r="K21" s="420">
        <v>100000</v>
      </c>
      <c r="L21" s="420">
        <v>0</v>
      </c>
      <c r="M21" s="420">
        <v>0</v>
      </c>
      <c r="N21" s="396"/>
    </row>
    <row r="22" spans="1:14" ht="12.75" customHeight="1">
      <c r="A22" s="569" t="s">
        <v>1442</v>
      </c>
      <c r="B22" s="569" t="s">
        <v>1805</v>
      </c>
      <c r="C22" s="569" t="s">
        <v>1806</v>
      </c>
      <c r="D22" s="569" t="s">
        <v>1480</v>
      </c>
      <c r="E22" s="420">
        <v>4900000</v>
      </c>
      <c r="F22" s="420">
        <v>4753000</v>
      </c>
      <c r="G22" s="420">
        <v>147000</v>
      </c>
      <c r="H22" s="420">
        <v>-200000</v>
      </c>
      <c r="I22" s="420">
        <v>4700000</v>
      </c>
      <c r="J22" s="570">
        <v>220000</v>
      </c>
      <c r="K22" s="420">
        <v>970000</v>
      </c>
      <c r="L22" s="420">
        <v>1170000</v>
      </c>
      <c r="M22" s="420">
        <v>1170000</v>
      </c>
      <c r="N22" s="396"/>
    </row>
    <row r="23" spans="1:14" ht="12.75" customHeight="1">
      <c r="A23" s="569" t="s">
        <v>1442</v>
      </c>
      <c r="B23" s="569" t="s">
        <v>1807</v>
      </c>
      <c r="C23" s="569" t="s">
        <v>1808</v>
      </c>
      <c r="D23" s="569" t="s">
        <v>1519</v>
      </c>
      <c r="E23" s="420">
        <v>21800000</v>
      </c>
      <c r="F23" s="420">
        <v>10056498</v>
      </c>
      <c r="G23" s="420">
        <v>0</v>
      </c>
      <c r="H23" s="420">
        <v>0</v>
      </c>
      <c r="I23" s="420">
        <v>10056498</v>
      </c>
      <c r="J23" s="570">
        <v>844999</v>
      </c>
      <c r="K23" s="420">
        <v>1020000</v>
      </c>
      <c r="L23" s="420">
        <v>680500</v>
      </c>
      <c r="M23" s="420">
        <v>430000</v>
      </c>
      <c r="N23" s="396"/>
    </row>
    <row r="24" spans="1:14" ht="12.75" customHeight="1">
      <c r="A24" s="569" t="s">
        <v>1442</v>
      </c>
      <c r="B24" s="569" t="s">
        <v>1809</v>
      </c>
      <c r="C24" s="569" t="s">
        <v>1810</v>
      </c>
      <c r="D24" s="569" t="s">
        <v>1512</v>
      </c>
      <c r="E24" s="420">
        <v>2400000</v>
      </c>
      <c r="F24" s="420">
        <v>1287000</v>
      </c>
      <c r="G24" s="420">
        <v>0</v>
      </c>
      <c r="H24" s="420">
        <v>0</v>
      </c>
      <c r="I24" s="420">
        <v>1287000</v>
      </c>
      <c r="J24" s="570">
        <v>100000</v>
      </c>
      <c r="K24" s="420">
        <v>200000</v>
      </c>
      <c r="L24" s="420">
        <v>100000</v>
      </c>
      <c r="M24" s="420">
        <v>200000</v>
      </c>
      <c r="N24" s="396"/>
    </row>
    <row r="25" spans="1:14" ht="12.75" customHeight="1">
      <c r="A25" s="569" t="s">
        <v>1442</v>
      </c>
      <c r="B25" s="569" t="s">
        <v>1811</v>
      </c>
      <c r="C25" s="569" t="s">
        <v>1812</v>
      </c>
      <c r="D25" s="569" t="s">
        <v>1480</v>
      </c>
      <c r="E25" s="420">
        <v>2700000</v>
      </c>
      <c r="F25" s="420">
        <v>2700000</v>
      </c>
      <c r="G25" s="420">
        <v>0</v>
      </c>
      <c r="H25" s="420">
        <v>0</v>
      </c>
      <c r="I25" s="420">
        <v>2700000</v>
      </c>
      <c r="J25" s="570">
        <v>0</v>
      </c>
      <c r="K25" s="420">
        <v>0</v>
      </c>
      <c r="L25" s="420">
        <v>0</v>
      </c>
      <c r="M25" s="420">
        <v>1000000</v>
      </c>
      <c r="N25" s="396"/>
    </row>
    <row r="26" spans="1:14" ht="12.75" customHeight="1">
      <c r="A26" s="569" t="s">
        <v>1442</v>
      </c>
      <c r="B26" s="569" t="s">
        <v>1813</v>
      </c>
      <c r="C26" s="569" t="s">
        <v>1814</v>
      </c>
      <c r="D26" s="569" t="s">
        <v>1558</v>
      </c>
      <c r="E26" s="420">
        <v>300000</v>
      </c>
      <c r="F26" s="420">
        <v>75000</v>
      </c>
      <c r="G26" s="420">
        <v>75000</v>
      </c>
      <c r="H26" s="420">
        <v>0</v>
      </c>
      <c r="I26" s="420">
        <v>150000</v>
      </c>
      <c r="J26" s="570">
        <v>50000</v>
      </c>
      <c r="K26" s="420">
        <v>100000</v>
      </c>
      <c r="L26" s="420">
        <v>0</v>
      </c>
      <c r="M26" s="420">
        <v>0</v>
      </c>
      <c r="N26" s="396"/>
    </row>
    <row r="27" spans="1:14">
      <c r="A27" s="401">
        <v>1500</v>
      </c>
      <c r="B27" s="401"/>
      <c r="C27" s="401"/>
      <c r="D27" s="401"/>
      <c r="E27" s="290">
        <f t="shared" ref="E27:M27" si="1">SUM(E6:E26)</f>
        <v>47803500</v>
      </c>
      <c r="F27" s="290">
        <f t="shared" si="1"/>
        <v>32193400</v>
      </c>
      <c r="G27" s="290">
        <f t="shared" si="1"/>
        <v>951600</v>
      </c>
      <c r="H27" s="290">
        <f t="shared" si="1"/>
        <v>-4630000</v>
      </c>
      <c r="I27" s="290">
        <f t="shared" si="1"/>
        <v>28515000</v>
      </c>
      <c r="J27" s="572">
        <f t="shared" si="1"/>
        <v>2885000</v>
      </c>
      <c r="K27" s="290">
        <f t="shared" si="1"/>
        <v>3430000</v>
      </c>
      <c r="L27" s="290">
        <f t="shared" si="1"/>
        <v>3600000</v>
      </c>
      <c r="M27" s="290">
        <f t="shared" si="1"/>
        <v>3600000</v>
      </c>
    </row>
    <row r="29" spans="1:14">
      <c r="A29" s="401" t="s">
        <v>1815</v>
      </c>
      <c r="B29" s="401"/>
      <c r="C29" s="401"/>
      <c r="D29" s="401"/>
      <c r="E29" s="290">
        <f t="shared" ref="E29:M29" si="2">SUM(E1:E27)/2</f>
        <v>48323500</v>
      </c>
      <c r="F29" s="290">
        <f t="shared" si="2"/>
        <v>32463400</v>
      </c>
      <c r="G29" s="290">
        <f t="shared" si="2"/>
        <v>966600</v>
      </c>
      <c r="H29" s="290">
        <f t="shared" si="2"/>
        <v>-4630000</v>
      </c>
      <c r="I29" s="290">
        <f t="shared" si="2"/>
        <v>28800000</v>
      </c>
      <c r="J29" s="572">
        <f t="shared" si="2"/>
        <v>3000000</v>
      </c>
      <c r="K29" s="290">
        <f t="shared" si="2"/>
        <v>3600000</v>
      </c>
      <c r="L29" s="290">
        <f t="shared" si="2"/>
        <v>3600000</v>
      </c>
      <c r="M29" s="290">
        <f t="shared" si="2"/>
        <v>3600000</v>
      </c>
    </row>
  </sheetData>
  <pageMargins left="0.39370078740157483" right="0.39370078740157483" top="0.98425196850393704" bottom="0.98425196850393704" header="0.51181102362204722" footer="0.51181102362204722"/>
  <pageSetup paperSize="9" firstPageNumber="8" fitToHeight="0" orientation="landscape" r:id="rId1"/>
  <headerFooter alignWithMargins="0">
    <oddHeader>&amp;L&amp;"Arial,Fett"MIP 2013 - 2016&amp;C&amp;"Arial,Fett"Investitionsplanung&amp;R&amp;"Arial,Fett"Grünanlagen - Grünraumgestaltung
&amp;"Arial,Standard"&amp;8Beträge in  Franken</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24"/>
  <sheetViews>
    <sheetView zoomScaleNormal="100" workbookViewId="0"/>
  </sheetViews>
  <sheetFormatPr baseColWidth="10" defaultRowHeight="11.25"/>
  <cols>
    <col min="1" max="1" width="4.42578125" style="396" customWidth="1"/>
    <col min="2" max="2" width="8.42578125" style="396" bestFit="1" customWidth="1"/>
    <col min="3" max="3" width="37.42578125" style="396" bestFit="1" customWidth="1"/>
    <col min="4" max="4" width="3.7109375" style="396" bestFit="1" customWidth="1"/>
    <col min="5" max="5" width="9.7109375" style="525" bestFit="1" customWidth="1"/>
    <col min="6" max="6" width="9.7109375" style="525" customWidth="1"/>
    <col min="7" max="7" width="10.7109375" style="525" bestFit="1" customWidth="1"/>
    <col min="8" max="8" width="10.28515625" style="525" bestFit="1" customWidth="1"/>
    <col min="9" max="9" width="9.7109375" style="525" bestFit="1" customWidth="1"/>
    <col min="10" max="13" width="8.5703125" style="525" bestFit="1" customWidth="1"/>
    <col min="14" max="15" width="11.42578125" style="525"/>
    <col min="16" max="16384" width="11.42578125" style="396"/>
  </cols>
  <sheetData>
    <row r="1" spans="1:15" ht="22.5">
      <c r="A1" s="565" t="s">
        <v>1465</v>
      </c>
      <c r="B1" s="565" t="s">
        <v>1466</v>
      </c>
      <c r="C1" s="565" t="s">
        <v>1467</v>
      </c>
      <c r="D1" s="565" t="s">
        <v>1468</v>
      </c>
      <c r="E1" s="566" t="s">
        <v>1469</v>
      </c>
      <c r="F1" s="566" t="s">
        <v>1470</v>
      </c>
      <c r="G1" s="566" t="s">
        <v>1471</v>
      </c>
      <c r="H1" s="566" t="s">
        <v>1472</v>
      </c>
      <c r="I1" s="566" t="s">
        <v>1473</v>
      </c>
      <c r="J1" s="567" t="s">
        <v>1474</v>
      </c>
      <c r="K1" s="568" t="s">
        <v>1475</v>
      </c>
      <c r="L1" s="568" t="s">
        <v>1476</v>
      </c>
      <c r="M1" s="568" t="s">
        <v>1477</v>
      </c>
    </row>
    <row r="2" spans="1:15">
      <c r="A2" s="569" t="s">
        <v>1438</v>
      </c>
      <c r="B2" s="569" t="s">
        <v>1816</v>
      </c>
      <c r="C2" s="569" t="s">
        <v>1817</v>
      </c>
      <c r="D2" s="569" t="s">
        <v>1512</v>
      </c>
      <c r="E2" s="420">
        <v>200000</v>
      </c>
      <c r="F2" s="420">
        <v>40000</v>
      </c>
      <c r="G2" s="420">
        <v>0</v>
      </c>
      <c r="H2" s="420">
        <v>0</v>
      </c>
      <c r="I2" s="420">
        <v>40000</v>
      </c>
      <c r="J2" s="570">
        <v>40000</v>
      </c>
      <c r="K2" s="420">
        <v>0</v>
      </c>
      <c r="L2" s="420">
        <v>0</v>
      </c>
      <c r="M2" s="420">
        <v>0</v>
      </c>
      <c r="N2" s="396"/>
      <c r="O2" s="396"/>
    </row>
    <row r="3" spans="1:15">
      <c r="A3" s="569" t="s">
        <v>1438</v>
      </c>
      <c r="B3" s="569" t="s">
        <v>1818</v>
      </c>
      <c r="C3" s="569" t="s">
        <v>1819</v>
      </c>
      <c r="D3" s="569" t="s">
        <v>1512</v>
      </c>
      <c r="E3" s="420">
        <v>230000</v>
      </c>
      <c r="F3" s="420">
        <v>230000</v>
      </c>
      <c r="G3" s="420">
        <v>0</v>
      </c>
      <c r="H3" s="420">
        <v>0</v>
      </c>
      <c r="I3" s="420">
        <v>230000</v>
      </c>
      <c r="J3" s="570">
        <v>0</v>
      </c>
      <c r="K3" s="420">
        <v>230000</v>
      </c>
      <c r="L3" s="420">
        <v>0</v>
      </c>
      <c r="M3" s="420">
        <v>0</v>
      </c>
      <c r="N3" s="396"/>
      <c r="O3" s="396"/>
    </row>
    <row r="4" spans="1:15">
      <c r="A4" s="569" t="s">
        <v>1438</v>
      </c>
      <c r="B4" s="569" t="s">
        <v>1820</v>
      </c>
      <c r="C4" s="569" t="s">
        <v>1821</v>
      </c>
      <c r="D4" s="569" t="s">
        <v>1480</v>
      </c>
      <c r="E4" s="420">
        <v>85000</v>
      </c>
      <c r="F4" s="420">
        <v>80000</v>
      </c>
      <c r="G4" s="420">
        <v>5000</v>
      </c>
      <c r="H4" s="420">
        <v>0</v>
      </c>
      <c r="I4" s="420">
        <v>85000</v>
      </c>
      <c r="J4" s="570">
        <v>85000</v>
      </c>
      <c r="K4" s="420">
        <v>0</v>
      </c>
      <c r="L4" s="420">
        <v>0</v>
      </c>
      <c r="M4" s="420">
        <v>0</v>
      </c>
      <c r="N4" s="396"/>
      <c r="O4" s="396"/>
    </row>
    <row r="5" spans="1:15">
      <c r="A5" s="569" t="s">
        <v>1438</v>
      </c>
      <c r="B5" s="569" t="s">
        <v>1822</v>
      </c>
      <c r="C5" s="569" t="s">
        <v>1823</v>
      </c>
      <c r="D5" s="569" t="s">
        <v>1501</v>
      </c>
      <c r="E5" s="420">
        <v>250000</v>
      </c>
      <c r="F5" s="420">
        <v>250000</v>
      </c>
      <c r="G5" s="420">
        <v>0</v>
      </c>
      <c r="H5" s="420">
        <v>0</v>
      </c>
      <c r="I5" s="420">
        <v>250000</v>
      </c>
      <c r="J5" s="570">
        <v>0</v>
      </c>
      <c r="K5" s="420">
        <v>250000</v>
      </c>
      <c r="L5" s="420">
        <v>0</v>
      </c>
      <c r="M5" s="420">
        <v>0</v>
      </c>
      <c r="N5" s="396"/>
      <c r="O5" s="396"/>
    </row>
    <row r="6" spans="1:15">
      <c r="A6" s="569" t="s">
        <v>1438</v>
      </c>
      <c r="B6" s="569" t="s">
        <v>1824</v>
      </c>
      <c r="C6" s="569" t="s">
        <v>1825</v>
      </c>
      <c r="D6" s="569" t="s">
        <v>1512</v>
      </c>
      <c r="E6" s="420">
        <v>200000</v>
      </c>
      <c r="F6" s="420">
        <v>200000</v>
      </c>
      <c r="G6" s="420">
        <v>0</v>
      </c>
      <c r="H6" s="420">
        <v>0</v>
      </c>
      <c r="I6" s="420">
        <v>200000</v>
      </c>
      <c r="J6" s="570">
        <v>0</v>
      </c>
      <c r="K6" s="420">
        <v>200000</v>
      </c>
      <c r="L6" s="420">
        <v>0</v>
      </c>
      <c r="M6" s="420">
        <v>0</v>
      </c>
      <c r="N6" s="396"/>
      <c r="O6" s="396"/>
    </row>
    <row r="7" spans="1:15">
      <c r="A7" s="569" t="s">
        <v>1438</v>
      </c>
      <c r="B7" s="569" t="s">
        <v>1826</v>
      </c>
      <c r="C7" s="569" t="s">
        <v>1827</v>
      </c>
      <c r="D7" s="569" t="s">
        <v>1519</v>
      </c>
      <c r="E7" s="420">
        <v>250000</v>
      </c>
      <c r="F7" s="420">
        <v>250000</v>
      </c>
      <c r="G7" s="420">
        <v>0</v>
      </c>
      <c r="H7" s="420">
        <v>0</v>
      </c>
      <c r="I7" s="420">
        <v>250000</v>
      </c>
      <c r="J7" s="570">
        <v>250000</v>
      </c>
      <c r="K7" s="420">
        <v>0</v>
      </c>
      <c r="L7" s="420">
        <v>0</v>
      </c>
      <c r="M7" s="420">
        <v>0</v>
      </c>
      <c r="N7" s="396"/>
      <c r="O7" s="396"/>
    </row>
    <row r="8" spans="1:15">
      <c r="A8" s="569" t="s">
        <v>1438</v>
      </c>
      <c r="B8" s="569" t="s">
        <v>1828</v>
      </c>
      <c r="C8" s="569" t="s">
        <v>1829</v>
      </c>
      <c r="D8" s="569" t="s">
        <v>1519</v>
      </c>
      <c r="E8" s="420">
        <v>250000</v>
      </c>
      <c r="F8" s="420">
        <v>250000</v>
      </c>
      <c r="G8" s="420">
        <v>0</v>
      </c>
      <c r="H8" s="420">
        <v>0</v>
      </c>
      <c r="I8" s="420">
        <v>250000</v>
      </c>
      <c r="J8" s="570">
        <v>250000</v>
      </c>
      <c r="K8" s="420">
        <v>0</v>
      </c>
      <c r="L8" s="420">
        <v>0</v>
      </c>
      <c r="M8" s="420">
        <v>0</v>
      </c>
      <c r="N8" s="396"/>
      <c r="O8" s="396"/>
    </row>
    <row r="9" spans="1:15">
      <c r="A9" s="569" t="s">
        <v>1438</v>
      </c>
      <c r="B9" s="569" t="s">
        <v>1830</v>
      </c>
      <c r="C9" s="569" t="s">
        <v>1831</v>
      </c>
      <c r="D9" s="569" t="s">
        <v>1480</v>
      </c>
      <c r="E9" s="420">
        <v>700000</v>
      </c>
      <c r="F9" s="420">
        <v>400000</v>
      </c>
      <c r="G9" s="420">
        <v>0</v>
      </c>
      <c r="H9" s="420">
        <v>0</v>
      </c>
      <c r="I9" s="420">
        <v>400000</v>
      </c>
      <c r="J9" s="570">
        <f>400000-200000</f>
        <v>200000</v>
      </c>
      <c r="K9" s="420">
        <v>200000</v>
      </c>
      <c r="L9" s="420">
        <v>0</v>
      </c>
      <c r="M9" s="420">
        <v>0</v>
      </c>
      <c r="N9" s="396"/>
      <c r="O9" s="396"/>
    </row>
    <row r="10" spans="1:15">
      <c r="A10" s="569" t="s">
        <v>1438</v>
      </c>
      <c r="B10" s="569" t="s">
        <v>1832</v>
      </c>
      <c r="C10" s="569" t="s">
        <v>1833</v>
      </c>
      <c r="D10" s="569" t="s">
        <v>1480</v>
      </c>
      <c r="E10" s="420">
        <v>1300000</v>
      </c>
      <c r="F10" s="420">
        <v>1300000</v>
      </c>
      <c r="G10" s="420">
        <v>0</v>
      </c>
      <c r="H10" s="420">
        <v>0</v>
      </c>
      <c r="I10" s="420">
        <v>1300000</v>
      </c>
      <c r="J10" s="570">
        <v>0</v>
      </c>
      <c r="K10" s="420">
        <v>0</v>
      </c>
      <c r="L10" s="420">
        <v>0</v>
      </c>
      <c r="M10" s="420">
        <v>0</v>
      </c>
      <c r="N10" s="396"/>
      <c r="O10" s="396"/>
    </row>
    <row r="11" spans="1:15">
      <c r="A11" s="569" t="s">
        <v>1438</v>
      </c>
      <c r="B11" s="569" t="s">
        <v>1834</v>
      </c>
      <c r="C11" s="569" t="s">
        <v>1835</v>
      </c>
      <c r="D11" s="569" t="s">
        <v>1480</v>
      </c>
      <c r="E11" s="420">
        <v>300000</v>
      </c>
      <c r="F11" s="420">
        <v>300000</v>
      </c>
      <c r="G11" s="420">
        <v>0</v>
      </c>
      <c r="H11" s="420">
        <v>0</v>
      </c>
      <c r="I11" s="420">
        <v>300000</v>
      </c>
      <c r="J11" s="570">
        <v>0</v>
      </c>
      <c r="K11" s="420">
        <v>300000</v>
      </c>
      <c r="L11" s="420">
        <v>0</v>
      </c>
      <c r="M11" s="420">
        <v>0</v>
      </c>
      <c r="N11" s="396"/>
      <c r="O11" s="396"/>
    </row>
    <row r="12" spans="1:15">
      <c r="A12" s="569" t="s">
        <v>1438</v>
      </c>
      <c r="B12" s="569" t="s">
        <v>1836</v>
      </c>
      <c r="C12" s="569" t="s">
        <v>1837</v>
      </c>
      <c r="D12" s="569" t="s">
        <v>1558</v>
      </c>
      <c r="E12" s="420">
        <v>400000</v>
      </c>
      <c r="F12" s="420">
        <v>400000</v>
      </c>
      <c r="G12" s="420">
        <v>0</v>
      </c>
      <c r="H12" s="420">
        <v>0</v>
      </c>
      <c r="I12" s="420">
        <v>400000</v>
      </c>
      <c r="J12" s="570">
        <v>0</v>
      </c>
      <c r="K12" s="420">
        <v>0</v>
      </c>
      <c r="L12" s="420">
        <v>0</v>
      </c>
      <c r="M12" s="420">
        <v>400000</v>
      </c>
      <c r="N12" s="396"/>
      <c r="O12" s="396"/>
    </row>
    <row r="13" spans="1:15">
      <c r="A13" s="569" t="s">
        <v>1438</v>
      </c>
      <c r="B13" s="569" t="s">
        <v>1838</v>
      </c>
      <c r="C13" s="569" t="s">
        <v>1839</v>
      </c>
      <c r="D13" s="569" t="s">
        <v>1480</v>
      </c>
      <c r="E13" s="420">
        <v>200000</v>
      </c>
      <c r="F13" s="420">
        <v>200000</v>
      </c>
      <c r="G13" s="420">
        <v>0</v>
      </c>
      <c r="H13" s="420">
        <v>0</v>
      </c>
      <c r="I13" s="420">
        <v>200000</v>
      </c>
      <c r="J13" s="570">
        <v>0</v>
      </c>
      <c r="K13" s="420">
        <v>100000</v>
      </c>
      <c r="L13" s="420">
        <v>100000</v>
      </c>
      <c r="M13" s="420">
        <v>0</v>
      </c>
      <c r="N13" s="396"/>
      <c r="O13" s="396"/>
    </row>
    <row r="14" spans="1:15">
      <c r="A14" s="569" t="s">
        <v>1438</v>
      </c>
      <c r="B14" s="569" t="s">
        <v>1840</v>
      </c>
      <c r="C14" s="569" t="s">
        <v>1841</v>
      </c>
      <c r="D14" s="569" t="s">
        <v>1480</v>
      </c>
      <c r="E14" s="420">
        <v>600000</v>
      </c>
      <c r="F14" s="420">
        <v>600000</v>
      </c>
      <c r="G14" s="420">
        <v>0</v>
      </c>
      <c r="H14" s="420">
        <v>0</v>
      </c>
      <c r="I14" s="420">
        <v>600000</v>
      </c>
      <c r="J14" s="570">
        <v>0</v>
      </c>
      <c r="K14" s="420">
        <v>0</v>
      </c>
      <c r="L14" s="420">
        <v>0</v>
      </c>
      <c r="M14" s="420">
        <v>0</v>
      </c>
      <c r="N14" s="396"/>
      <c r="O14" s="396"/>
    </row>
    <row r="15" spans="1:15">
      <c r="A15" s="569" t="s">
        <v>1438</v>
      </c>
      <c r="B15" s="569" t="s">
        <v>1842</v>
      </c>
      <c r="C15" s="569" t="s">
        <v>1843</v>
      </c>
      <c r="D15" s="569" t="s">
        <v>1480</v>
      </c>
      <c r="E15" s="420">
        <v>150000</v>
      </c>
      <c r="F15" s="420">
        <v>150000</v>
      </c>
      <c r="G15" s="420">
        <v>0</v>
      </c>
      <c r="H15" s="420">
        <v>0</v>
      </c>
      <c r="I15" s="420">
        <v>150000</v>
      </c>
      <c r="J15" s="570">
        <v>0</v>
      </c>
      <c r="K15" s="420">
        <v>0</v>
      </c>
      <c r="L15" s="420">
        <v>0</v>
      </c>
      <c r="M15" s="420">
        <v>0</v>
      </c>
      <c r="N15" s="396"/>
      <c r="O15" s="396"/>
    </row>
    <row r="16" spans="1:15">
      <c r="A16" s="569" t="s">
        <v>1438</v>
      </c>
      <c r="B16" s="569" t="s">
        <v>1844</v>
      </c>
      <c r="C16" s="569" t="s">
        <v>1845</v>
      </c>
      <c r="D16" s="569" t="s">
        <v>1480</v>
      </c>
      <c r="E16" s="420">
        <v>200000</v>
      </c>
      <c r="F16" s="420">
        <v>200000</v>
      </c>
      <c r="G16" s="420">
        <v>0</v>
      </c>
      <c r="H16" s="420">
        <v>0</v>
      </c>
      <c r="I16" s="420">
        <v>200000</v>
      </c>
      <c r="J16" s="570">
        <v>0</v>
      </c>
      <c r="K16" s="420">
        <v>0</v>
      </c>
      <c r="L16" s="420">
        <v>0</v>
      </c>
      <c r="M16" s="420">
        <v>200000</v>
      </c>
      <c r="N16" s="396"/>
      <c r="O16" s="396"/>
    </row>
    <row r="17" spans="1:15">
      <c r="A17" s="569" t="s">
        <v>1438</v>
      </c>
      <c r="B17" s="569" t="s">
        <v>1846</v>
      </c>
      <c r="C17" s="569" t="s">
        <v>1847</v>
      </c>
      <c r="D17" s="569" t="s">
        <v>1480</v>
      </c>
      <c r="E17" s="420">
        <v>200000</v>
      </c>
      <c r="F17" s="420">
        <v>200000</v>
      </c>
      <c r="G17" s="420">
        <v>0</v>
      </c>
      <c r="H17" s="420">
        <v>0</v>
      </c>
      <c r="I17" s="420">
        <v>200000</v>
      </c>
      <c r="J17" s="570">
        <v>0</v>
      </c>
      <c r="K17" s="420">
        <v>200000</v>
      </c>
      <c r="L17" s="420">
        <v>0</v>
      </c>
      <c r="M17" s="420">
        <v>0</v>
      </c>
      <c r="N17" s="396"/>
      <c r="O17" s="396"/>
    </row>
    <row r="18" spans="1:15">
      <c r="A18" s="569" t="s">
        <v>1438</v>
      </c>
      <c r="B18" s="569" t="s">
        <v>1848</v>
      </c>
      <c r="C18" s="569" t="s">
        <v>1849</v>
      </c>
      <c r="D18" s="569" t="s">
        <v>1480</v>
      </c>
      <c r="E18" s="420">
        <v>120000</v>
      </c>
      <c r="F18" s="420">
        <v>120000</v>
      </c>
      <c r="G18" s="420">
        <v>0</v>
      </c>
      <c r="H18" s="420">
        <v>0</v>
      </c>
      <c r="I18" s="420">
        <v>120000</v>
      </c>
      <c r="J18" s="570">
        <v>0</v>
      </c>
      <c r="K18" s="420">
        <v>0</v>
      </c>
      <c r="L18" s="420">
        <v>120000</v>
      </c>
      <c r="M18" s="420">
        <v>0</v>
      </c>
      <c r="N18" s="396"/>
      <c r="O18" s="396"/>
    </row>
    <row r="19" spans="1:15">
      <c r="A19" s="569" t="s">
        <v>1438</v>
      </c>
      <c r="B19" s="569" t="s">
        <v>1850</v>
      </c>
      <c r="C19" s="569" t="s">
        <v>1851</v>
      </c>
      <c r="D19" s="569" t="s">
        <v>1480</v>
      </c>
      <c r="E19" s="420">
        <v>630000</v>
      </c>
      <c r="F19" s="420">
        <v>630000</v>
      </c>
      <c r="G19" s="420">
        <v>0</v>
      </c>
      <c r="H19" s="420">
        <v>0</v>
      </c>
      <c r="I19" s="420">
        <v>630000</v>
      </c>
      <c r="J19" s="570">
        <v>0</v>
      </c>
      <c r="K19" s="420">
        <v>0</v>
      </c>
      <c r="L19" s="420">
        <v>630000</v>
      </c>
      <c r="M19" s="420">
        <v>0</v>
      </c>
      <c r="N19" s="396"/>
      <c r="O19" s="396"/>
    </row>
    <row r="20" spans="1:15">
      <c r="A20" s="569" t="s">
        <v>1438</v>
      </c>
      <c r="B20" s="569" t="s">
        <v>1852</v>
      </c>
      <c r="C20" s="569" t="s">
        <v>1853</v>
      </c>
      <c r="D20" s="569" t="s">
        <v>1480</v>
      </c>
      <c r="E20" s="420">
        <v>75000</v>
      </c>
      <c r="F20" s="420">
        <v>75000</v>
      </c>
      <c r="G20" s="420">
        <v>0</v>
      </c>
      <c r="H20" s="420">
        <v>0</v>
      </c>
      <c r="I20" s="420">
        <v>75000</v>
      </c>
      <c r="J20" s="570">
        <v>0</v>
      </c>
      <c r="K20" s="420">
        <v>0</v>
      </c>
      <c r="L20" s="420">
        <v>0</v>
      </c>
      <c r="M20" s="420">
        <v>0</v>
      </c>
      <c r="N20" s="396"/>
      <c r="O20" s="396"/>
    </row>
    <row r="21" spans="1:15">
      <c r="A21" s="569" t="s">
        <v>1438</v>
      </c>
      <c r="B21" s="569" t="s">
        <v>1854</v>
      </c>
      <c r="C21" s="569" t="s">
        <v>1855</v>
      </c>
      <c r="D21" s="569" t="s">
        <v>1480</v>
      </c>
      <c r="E21" s="420">
        <v>75000</v>
      </c>
      <c r="F21" s="420">
        <v>75000</v>
      </c>
      <c r="G21" s="420">
        <v>0</v>
      </c>
      <c r="H21" s="420">
        <v>0</v>
      </c>
      <c r="I21" s="420">
        <v>75000</v>
      </c>
      <c r="J21" s="570">
        <v>0</v>
      </c>
      <c r="K21" s="420">
        <v>0</v>
      </c>
      <c r="L21" s="420">
        <v>0</v>
      </c>
      <c r="M21" s="420">
        <v>0</v>
      </c>
      <c r="N21" s="396"/>
      <c r="O21" s="396"/>
    </row>
    <row r="22" spans="1:15">
      <c r="A22" s="569" t="s">
        <v>1438</v>
      </c>
      <c r="B22" s="569" t="s">
        <v>1856</v>
      </c>
      <c r="C22" s="569" t="s">
        <v>1857</v>
      </c>
      <c r="D22" s="569" t="s">
        <v>1480</v>
      </c>
      <c r="E22" s="420">
        <v>75000</v>
      </c>
      <c r="F22" s="420">
        <v>75000</v>
      </c>
      <c r="G22" s="420">
        <v>0</v>
      </c>
      <c r="H22" s="420">
        <v>0</v>
      </c>
      <c r="I22" s="420">
        <v>75000</v>
      </c>
      <c r="J22" s="570">
        <v>0</v>
      </c>
      <c r="K22" s="420">
        <v>0</v>
      </c>
      <c r="L22" s="420">
        <v>0</v>
      </c>
      <c r="M22" s="420">
        <v>75000</v>
      </c>
      <c r="N22" s="396"/>
      <c r="O22" s="396"/>
    </row>
    <row r="23" spans="1:15">
      <c r="A23" s="569" t="s">
        <v>1438</v>
      </c>
      <c r="B23" s="569" t="s">
        <v>1858</v>
      </c>
      <c r="C23" s="569" t="s">
        <v>1859</v>
      </c>
      <c r="D23" s="569" t="s">
        <v>1480</v>
      </c>
      <c r="E23" s="420">
        <v>100000</v>
      </c>
      <c r="F23" s="420">
        <v>100000</v>
      </c>
      <c r="G23" s="420">
        <v>0</v>
      </c>
      <c r="H23" s="420">
        <v>0</v>
      </c>
      <c r="I23" s="420">
        <v>100000</v>
      </c>
      <c r="J23" s="570">
        <v>0</v>
      </c>
      <c r="K23" s="420">
        <v>0</v>
      </c>
      <c r="L23" s="420">
        <v>0</v>
      </c>
      <c r="M23" s="420">
        <v>100000</v>
      </c>
      <c r="N23" s="396"/>
      <c r="O23" s="396"/>
    </row>
    <row r="24" spans="1:15">
      <c r="A24" s="569" t="s">
        <v>1438</v>
      </c>
      <c r="B24" s="569" t="s">
        <v>1860</v>
      </c>
      <c r="C24" s="569" t="s">
        <v>1859</v>
      </c>
      <c r="D24" s="569" t="s">
        <v>1480</v>
      </c>
      <c r="E24" s="420">
        <v>100000</v>
      </c>
      <c r="F24" s="420">
        <v>100000</v>
      </c>
      <c r="G24" s="420">
        <v>0</v>
      </c>
      <c r="H24" s="420">
        <v>0</v>
      </c>
      <c r="I24" s="420">
        <v>100000</v>
      </c>
      <c r="J24" s="570">
        <v>0</v>
      </c>
      <c r="K24" s="420">
        <v>0</v>
      </c>
      <c r="L24" s="420">
        <v>0</v>
      </c>
      <c r="M24" s="420">
        <v>0</v>
      </c>
      <c r="N24" s="396"/>
      <c r="O24" s="396"/>
    </row>
    <row r="25" spans="1:15">
      <c r="A25" s="569" t="s">
        <v>1438</v>
      </c>
      <c r="B25" s="569" t="s">
        <v>1861</v>
      </c>
      <c r="C25" s="569" t="s">
        <v>1862</v>
      </c>
      <c r="D25" s="569" t="s">
        <v>1480</v>
      </c>
      <c r="E25" s="420">
        <v>630000</v>
      </c>
      <c r="F25" s="420">
        <v>630000</v>
      </c>
      <c r="G25" s="420">
        <v>0</v>
      </c>
      <c r="H25" s="420">
        <v>0</v>
      </c>
      <c r="I25" s="420">
        <v>630000</v>
      </c>
      <c r="J25" s="570">
        <v>0</v>
      </c>
      <c r="K25" s="420">
        <v>0</v>
      </c>
      <c r="L25" s="420">
        <v>0</v>
      </c>
      <c r="M25" s="420">
        <v>0</v>
      </c>
      <c r="N25" s="396"/>
      <c r="O25" s="396"/>
    </row>
    <row r="26" spans="1:15">
      <c r="A26" s="569" t="s">
        <v>1438</v>
      </c>
      <c r="B26" s="569" t="s">
        <v>1863</v>
      </c>
      <c r="C26" s="569" t="s">
        <v>1864</v>
      </c>
      <c r="D26" s="569" t="s">
        <v>1480</v>
      </c>
      <c r="E26" s="420">
        <v>270000</v>
      </c>
      <c r="F26" s="420">
        <v>270000</v>
      </c>
      <c r="G26" s="420">
        <v>0</v>
      </c>
      <c r="H26" s="420">
        <v>0</v>
      </c>
      <c r="I26" s="420">
        <v>270000</v>
      </c>
      <c r="J26" s="570">
        <v>270000</v>
      </c>
      <c r="K26" s="420">
        <v>0</v>
      </c>
      <c r="L26" s="420">
        <v>0</v>
      </c>
      <c r="M26" s="420">
        <v>0</v>
      </c>
      <c r="N26" s="396"/>
      <c r="O26" s="396"/>
    </row>
    <row r="27" spans="1:15">
      <c r="A27" s="569" t="s">
        <v>1438</v>
      </c>
      <c r="B27" s="569" t="s">
        <v>1865</v>
      </c>
      <c r="C27" s="569" t="s">
        <v>1866</v>
      </c>
      <c r="D27" s="569" t="s">
        <v>1480</v>
      </c>
      <c r="E27" s="420">
        <v>130000</v>
      </c>
      <c r="F27" s="420">
        <v>130000</v>
      </c>
      <c r="G27" s="420">
        <v>0</v>
      </c>
      <c r="H27" s="420">
        <v>0</v>
      </c>
      <c r="I27" s="420">
        <v>130000</v>
      </c>
      <c r="J27" s="570">
        <v>0</v>
      </c>
      <c r="K27" s="420">
        <v>0</v>
      </c>
      <c r="L27" s="420">
        <v>0</v>
      </c>
      <c r="M27" s="420">
        <v>0</v>
      </c>
      <c r="N27" s="396"/>
      <c r="O27" s="396"/>
    </row>
    <row r="28" spans="1:15">
      <c r="A28" s="569" t="s">
        <v>1438</v>
      </c>
      <c r="B28" s="569" t="s">
        <v>1867</v>
      </c>
      <c r="C28" s="569" t="s">
        <v>1868</v>
      </c>
      <c r="D28" s="569" t="s">
        <v>1480</v>
      </c>
      <c r="E28" s="420">
        <v>70000</v>
      </c>
      <c r="F28" s="420">
        <v>70000</v>
      </c>
      <c r="G28" s="420">
        <v>0</v>
      </c>
      <c r="H28" s="420">
        <v>0</v>
      </c>
      <c r="I28" s="420">
        <v>70000</v>
      </c>
      <c r="J28" s="570">
        <v>70000</v>
      </c>
      <c r="K28" s="420">
        <v>0</v>
      </c>
      <c r="L28" s="420">
        <v>0</v>
      </c>
      <c r="M28" s="420">
        <v>0</v>
      </c>
      <c r="N28" s="396"/>
      <c r="O28" s="396"/>
    </row>
    <row r="29" spans="1:15">
      <c r="A29" s="569" t="s">
        <v>1438</v>
      </c>
      <c r="B29" s="569" t="s">
        <v>1869</v>
      </c>
      <c r="C29" s="569" t="s">
        <v>1870</v>
      </c>
      <c r="D29" s="569" t="s">
        <v>1480</v>
      </c>
      <c r="E29" s="420">
        <v>65000</v>
      </c>
      <c r="F29" s="420">
        <v>65000</v>
      </c>
      <c r="G29" s="420">
        <v>0</v>
      </c>
      <c r="H29" s="420">
        <v>0</v>
      </c>
      <c r="I29" s="420">
        <v>65000</v>
      </c>
      <c r="J29" s="570">
        <v>65000</v>
      </c>
      <c r="K29" s="420">
        <v>0</v>
      </c>
      <c r="L29" s="420">
        <v>0</v>
      </c>
      <c r="M29" s="420">
        <v>0</v>
      </c>
      <c r="N29" s="396"/>
      <c r="O29" s="396"/>
    </row>
    <row r="30" spans="1:15">
      <c r="A30" s="571" t="s">
        <v>1438</v>
      </c>
      <c r="B30" s="571"/>
      <c r="C30" s="571"/>
      <c r="D30" s="571"/>
      <c r="E30" s="290">
        <f t="shared" ref="E30:M30" si="0">SUM(E2:E29)</f>
        <v>7855000</v>
      </c>
      <c r="F30" s="290">
        <f t="shared" si="0"/>
        <v>7390000</v>
      </c>
      <c r="G30" s="290">
        <f t="shared" si="0"/>
        <v>5000</v>
      </c>
      <c r="H30" s="290">
        <f t="shared" si="0"/>
        <v>0</v>
      </c>
      <c r="I30" s="290">
        <f t="shared" si="0"/>
        <v>7395000</v>
      </c>
      <c r="J30" s="572">
        <f t="shared" si="0"/>
        <v>1230000</v>
      </c>
      <c r="K30" s="290">
        <f t="shared" si="0"/>
        <v>1480000</v>
      </c>
      <c r="L30" s="290">
        <f t="shared" si="0"/>
        <v>850000</v>
      </c>
      <c r="M30" s="290">
        <f t="shared" si="0"/>
        <v>775000</v>
      </c>
    </row>
    <row r="32" spans="1:15">
      <c r="A32" s="569" t="s">
        <v>1440</v>
      </c>
      <c r="B32" s="569" t="s">
        <v>1871</v>
      </c>
      <c r="C32" s="569" t="s">
        <v>1872</v>
      </c>
      <c r="D32" s="569" t="s">
        <v>1480</v>
      </c>
      <c r="E32" s="420">
        <v>585000</v>
      </c>
      <c r="F32" s="420">
        <v>285000</v>
      </c>
      <c r="G32" s="420">
        <v>0</v>
      </c>
      <c r="H32" s="420">
        <v>0</v>
      </c>
      <c r="I32" s="420">
        <v>285000</v>
      </c>
      <c r="J32" s="570">
        <v>285000</v>
      </c>
      <c r="K32" s="420">
        <v>0</v>
      </c>
      <c r="L32" s="420">
        <v>0</v>
      </c>
      <c r="M32" s="420">
        <v>0</v>
      </c>
    </row>
    <row r="33" spans="1:13">
      <c r="A33" s="569" t="s">
        <v>1440</v>
      </c>
      <c r="B33" s="569" t="s">
        <v>1873</v>
      </c>
      <c r="C33" s="569" t="s">
        <v>1874</v>
      </c>
      <c r="D33" s="569" t="s">
        <v>1480</v>
      </c>
      <c r="E33" s="420">
        <v>360000</v>
      </c>
      <c r="F33" s="420">
        <v>360000</v>
      </c>
      <c r="G33" s="420">
        <v>0</v>
      </c>
      <c r="H33" s="420">
        <v>0</v>
      </c>
      <c r="I33" s="420">
        <v>360000</v>
      </c>
      <c r="J33" s="570">
        <v>0</v>
      </c>
      <c r="K33" s="420">
        <v>0</v>
      </c>
      <c r="L33" s="420">
        <v>60000</v>
      </c>
      <c r="M33" s="420">
        <v>60000</v>
      </c>
    </row>
    <row r="34" spans="1:13">
      <c r="A34" s="569" t="s">
        <v>1440</v>
      </c>
      <c r="B34" s="569" t="s">
        <v>1875</v>
      </c>
      <c r="C34" s="569" t="s">
        <v>1876</v>
      </c>
      <c r="D34" s="569" t="s">
        <v>1480</v>
      </c>
      <c r="E34" s="420">
        <v>156000</v>
      </c>
      <c r="F34" s="420">
        <v>156000</v>
      </c>
      <c r="G34" s="420">
        <v>0</v>
      </c>
      <c r="H34" s="420">
        <v>0</v>
      </c>
      <c r="I34" s="420">
        <v>156000</v>
      </c>
      <c r="J34" s="570">
        <v>0</v>
      </c>
      <c r="K34" s="420">
        <v>156000</v>
      </c>
      <c r="L34" s="420">
        <v>0</v>
      </c>
      <c r="M34" s="420">
        <v>0</v>
      </c>
    </row>
    <row r="35" spans="1:13">
      <c r="A35" s="569" t="s">
        <v>1440</v>
      </c>
      <c r="B35" s="569" t="s">
        <v>1877</v>
      </c>
      <c r="C35" s="569" t="s">
        <v>1878</v>
      </c>
      <c r="D35" s="569" t="s">
        <v>1480</v>
      </c>
      <c r="E35" s="420">
        <v>156000</v>
      </c>
      <c r="F35" s="420">
        <v>156000</v>
      </c>
      <c r="G35" s="420">
        <v>0</v>
      </c>
      <c r="H35" s="420">
        <v>0</v>
      </c>
      <c r="I35" s="420">
        <v>156000</v>
      </c>
      <c r="J35" s="570">
        <v>0</v>
      </c>
      <c r="K35" s="420">
        <v>0</v>
      </c>
      <c r="L35" s="420">
        <v>156000</v>
      </c>
      <c r="M35" s="420">
        <v>0</v>
      </c>
    </row>
    <row r="36" spans="1:13">
      <c r="A36" s="569" t="s">
        <v>1440</v>
      </c>
      <c r="B36" s="569" t="s">
        <v>1879</v>
      </c>
      <c r="C36" s="569" t="s">
        <v>1880</v>
      </c>
      <c r="D36" s="569" t="s">
        <v>1480</v>
      </c>
      <c r="E36" s="420">
        <v>50000</v>
      </c>
      <c r="F36" s="420">
        <v>50000</v>
      </c>
      <c r="G36" s="420">
        <v>0</v>
      </c>
      <c r="H36" s="420">
        <v>0</v>
      </c>
      <c r="I36" s="420">
        <v>50000</v>
      </c>
      <c r="J36" s="570">
        <v>0</v>
      </c>
      <c r="K36" s="420">
        <v>0</v>
      </c>
      <c r="L36" s="420">
        <v>50000</v>
      </c>
      <c r="M36" s="420">
        <v>0</v>
      </c>
    </row>
    <row r="37" spans="1:13">
      <c r="A37" s="569" t="s">
        <v>1440</v>
      </c>
      <c r="B37" s="569" t="s">
        <v>1881</v>
      </c>
      <c r="C37" s="569" t="s">
        <v>1882</v>
      </c>
      <c r="D37" s="569" t="s">
        <v>1480</v>
      </c>
      <c r="E37" s="420">
        <v>200000</v>
      </c>
      <c r="F37" s="420">
        <v>200000</v>
      </c>
      <c r="G37" s="420">
        <v>0</v>
      </c>
      <c r="H37" s="420">
        <v>0</v>
      </c>
      <c r="I37" s="420">
        <v>200000</v>
      </c>
      <c r="J37" s="570">
        <v>0</v>
      </c>
      <c r="K37" s="420">
        <v>200000</v>
      </c>
      <c r="L37" s="420">
        <v>0</v>
      </c>
      <c r="M37" s="420">
        <v>0</v>
      </c>
    </row>
    <row r="38" spans="1:13">
      <c r="A38" s="571" t="s">
        <v>1440</v>
      </c>
      <c r="B38" s="571"/>
      <c r="C38" s="571"/>
      <c r="D38" s="571"/>
      <c r="E38" s="290">
        <f t="shared" ref="E38:M38" si="1">SUM(E32:E37)</f>
        <v>1507000</v>
      </c>
      <c r="F38" s="290">
        <f t="shared" si="1"/>
        <v>1207000</v>
      </c>
      <c r="G38" s="290">
        <f t="shared" si="1"/>
        <v>0</v>
      </c>
      <c r="H38" s="290">
        <f t="shared" si="1"/>
        <v>0</v>
      </c>
      <c r="I38" s="290">
        <f t="shared" si="1"/>
        <v>1207000</v>
      </c>
      <c r="J38" s="572">
        <f t="shared" si="1"/>
        <v>285000</v>
      </c>
      <c r="K38" s="290">
        <f t="shared" si="1"/>
        <v>356000</v>
      </c>
      <c r="L38" s="290">
        <f t="shared" si="1"/>
        <v>266000</v>
      </c>
      <c r="M38" s="290">
        <f t="shared" si="1"/>
        <v>60000</v>
      </c>
    </row>
    <row r="40" spans="1:13">
      <c r="A40" s="569" t="s">
        <v>1442</v>
      </c>
      <c r="B40" s="569" t="s">
        <v>1883</v>
      </c>
      <c r="C40" s="569" t="s">
        <v>1884</v>
      </c>
      <c r="D40" s="569" t="s">
        <v>1480</v>
      </c>
      <c r="E40" s="420">
        <v>308000</v>
      </c>
      <c r="F40" s="420">
        <v>305000</v>
      </c>
      <c r="G40" s="420">
        <v>3000</v>
      </c>
      <c r="H40" s="420">
        <v>0</v>
      </c>
      <c r="I40" s="420">
        <v>308000</v>
      </c>
      <c r="J40" s="570">
        <v>308000</v>
      </c>
      <c r="K40" s="420">
        <v>0</v>
      </c>
      <c r="L40" s="420">
        <v>0</v>
      </c>
      <c r="M40" s="420">
        <v>0</v>
      </c>
    </row>
    <row r="41" spans="1:13">
      <c r="A41" s="569" t="s">
        <v>1442</v>
      </c>
      <c r="B41" s="569" t="s">
        <v>1885</v>
      </c>
      <c r="C41" s="569" t="s">
        <v>1886</v>
      </c>
      <c r="D41" s="569" t="s">
        <v>1480</v>
      </c>
      <c r="E41" s="420">
        <v>150000</v>
      </c>
      <c r="F41" s="420">
        <v>147000</v>
      </c>
      <c r="G41" s="420">
        <v>3000</v>
      </c>
      <c r="H41" s="420">
        <v>0</v>
      </c>
      <c r="I41" s="420">
        <v>150000</v>
      </c>
      <c r="J41" s="570">
        <v>0</v>
      </c>
      <c r="K41" s="420">
        <v>150000</v>
      </c>
      <c r="L41" s="420">
        <v>0</v>
      </c>
      <c r="M41" s="420">
        <v>0</v>
      </c>
    </row>
    <row r="42" spans="1:13">
      <c r="A42" s="569" t="s">
        <v>1442</v>
      </c>
      <c r="B42" s="569" t="s">
        <v>1887</v>
      </c>
      <c r="C42" s="569" t="s">
        <v>1888</v>
      </c>
      <c r="D42" s="569" t="s">
        <v>1480</v>
      </c>
      <c r="E42" s="420">
        <v>115000</v>
      </c>
      <c r="F42" s="420">
        <v>112000</v>
      </c>
      <c r="G42" s="420">
        <v>3000</v>
      </c>
      <c r="H42" s="420">
        <v>0</v>
      </c>
      <c r="I42" s="420">
        <v>115000</v>
      </c>
      <c r="J42" s="570">
        <v>115000</v>
      </c>
      <c r="K42" s="420">
        <v>0</v>
      </c>
      <c r="L42" s="420">
        <v>0</v>
      </c>
      <c r="M42" s="420">
        <v>0</v>
      </c>
    </row>
    <row r="43" spans="1:13">
      <c r="A43" s="569" t="s">
        <v>1442</v>
      </c>
      <c r="B43" s="569" t="s">
        <v>1889</v>
      </c>
      <c r="C43" s="569" t="s">
        <v>1888</v>
      </c>
      <c r="D43" s="569" t="s">
        <v>1480</v>
      </c>
      <c r="E43" s="420">
        <v>115000</v>
      </c>
      <c r="F43" s="420">
        <v>112000</v>
      </c>
      <c r="G43" s="420">
        <v>3000</v>
      </c>
      <c r="H43" s="420">
        <v>0</v>
      </c>
      <c r="I43" s="420">
        <v>115000</v>
      </c>
      <c r="J43" s="570">
        <v>0</v>
      </c>
      <c r="K43" s="420">
        <v>115000</v>
      </c>
      <c r="L43" s="420">
        <v>0</v>
      </c>
      <c r="M43" s="420">
        <v>0</v>
      </c>
    </row>
    <row r="44" spans="1:13">
      <c r="A44" s="569" t="s">
        <v>1442</v>
      </c>
      <c r="B44" s="569" t="s">
        <v>1890</v>
      </c>
      <c r="C44" s="569" t="s">
        <v>1888</v>
      </c>
      <c r="D44" s="569" t="s">
        <v>1480</v>
      </c>
      <c r="E44" s="420">
        <v>115000</v>
      </c>
      <c r="F44" s="420">
        <v>112000</v>
      </c>
      <c r="G44" s="420">
        <v>3000</v>
      </c>
      <c r="H44" s="420">
        <v>0</v>
      </c>
      <c r="I44" s="420">
        <v>115000</v>
      </c>
      <c r="J44" s="570">
        <v>0</v>
      </c>
      <c r="K44" s="420">
        <v>0</v>
      </c>
      <c r="L44" s="420">
        <v>115000</v>
      </c>
      <c r="M44" s="420">
        <v>0</v>
      </c>
    </row>
    <row r="45" spans="1:13">
      <c r="A45" s="569" t="s">
        <v>1442</v>
      </c>
      <c r="B45" s="569" t="s">
        <v>1891</v>
      </c>
      <c r="C45" s="569" t="s">
        <v>1892</v>
      </c>
      <c r="D45" s="569" t="s">
        <v>1480</v>
      </c>
      <c r="E45" s="420">
        <v>240000</v>
      </c>
      <c r="F45" s="420">
        <v>240000</v>
      </c>
      <c r="G45" s="420">
        <v>0</v>
      </c>
      <c r="H45" s="420">
        <v>0</v>
      </c>
      <c r="I45" s="420">
        <v>240000</v>
      </c>
      <c r="J45" s="570">
        <v>240000</v>
      </c>
      <c r="K45" s="420">
        <v>0</v>
      </c>
      <c r="L45" s="420">
        <v>0</v>
      </c>
      <c r="M45" s="420">
        <v>0</v>
      </c>
    </row>
    <row r="46" spans="1:13">
      <c r="A46" s="569" t="s">
        <v>1442</v>
      </c>
      <c r="B46" s="569" t="s">
        <v>1893</v>
      </c>
      <c r="C46" s="569" t="s">
        <v>1894</v>
      </c>
      <c r="D46" s="569" t="s">
        <v>1480</v>
      </c>
      <c r="E46" s="420">
        <v>150000</v>
      </c>
      <c r="F46" s="420">
        <v>150000</v>
      </c>
      <c r="G46" s="420">
        <v>0</v>
      </c>
      <c r="H46" s="420">
        <v>0</v>
      </c>
      <c r="I46" s="420">
        <v>150000</v>
      </c>
      <c r="J46" s="570">
        <v>0</v>
      </c>
      <c r="K46" s="420">
        <v>150000</v>
      </c>
      <c r="L46" s="420">
        <v>0</v>
      </c>
      <c r="M46" s="420">
        <v>0</v>
      </c>
    </row>
    <row r="47" spans="1:13">
      <c r="A47" s="569" t="s">
        <v>1442</v>
      </c>
      <c r="B47" s="569" t="s">
        <v>1895</v>
      </c>
      <c r="C47" s="569" t="s">
        <v>1896</v>
      </c>
      <c r="D47" s="569" t="s">
        <v>1480</v>
      </c>
      <c r="E47" s="420">
        <v>235000</v>
      </c>
      <c r="F47" s="420">
        <v>235000</v>
      </c>
      <c r="G47" s="420">
        <v>0</v>
      </c>
      <c r="H47" s="420">
        <v>0</v>
      </c>
      <c r="I47" s="420">
        <v>235000</v>
      </c>
      <c r="J47" s="570">
        <v>235000</v>
      </c>
      <c r="K47" s="420">
        <v>0</v>
      </c>
      <c r="L47" s="420">
        <v>0</v>
      </c>
      <c r="M47" s="420">
        <v>0</v>
      </c>
    </row>
    <row r="48" spans="1:13">
      <c r="A48" s="569" t="s">
        <v>1442</v>
      </c>
      <c r="B48" s="569" t="s">
        <v>1897</v>
      </c>
      <c r="C48" s="569" t="s">
        <v>1898</v>
      </c>
      <c r="D48" s="569" t="s">
        <v>1480</v>
      </c>
      <c r="E48" s="420">
        <v>191000</v>
      </c>
      <c r="F48" s="420">
        <v>191000</v>
      </c>
      <c r="G48" s="420">
        <v>0</v>
      </c>
      <c r="H48" s="420">
        <v>0</v>
      </c>
      <c r="I48" s="420">
        <v>191000</v>
      </c>
      <c r="J48" s="570">
        <v>0</v>
      </c>
      <c r="K48" s="420">
        <v>191000</v>
      </c>
      <c r="L48" s="420">
        <v>0</v>
      </c>
      <c r="M48" s="420">
        <v>0</v>
      </c>
    </row>
    <row r="49" spans="1:15">
      <c r="A49" s="569" t="s">
        <v>1442</v>
      </c>
      <c r="B49" s="569" t="s">
        <v>1899</v>
      </c>
      <c r="C49" s="569" t="s">
        <v>1898</v>
      </c>
      <c r="D49" s="569" t="s">
        <v>1480</v>
      </c>
      <c r="E49" s="420">
        <v>191000</v>
      </c>
      <c r="F49" s="420">
        <v>191000</v>
      </c>
      <c r="G49" s="420">
        <v>0</v>
      </c>
      <c r="H49" s="420">
        <v>0</v>
      </c>
      <c r="I49" s="420">
        <v>191000</v>
      </c>
      <c r="J49" s="570">
        <v>191000</v>
      </c>
      <c r="K49" s="420">
        <v>0</v>
      </c>
      <c r="L49" s="420">
        <v>0</v>
      </c>
      <c r="M49" s="420">
        <v>0</v>
      </c>
    </row>
    <row r="50" spans="1:15">
      <c r="A50" s="569" t="s">
        <v>1442</v>
      </c>
      <c r="B50" s="569" t="s">
        <v>1900</v>
      </c>
      <c r="C50" s="569" t="s">
        <v>1898</v>
      </c>
      <c r="D50" s="569" t="s">
        <v>1480</v>
      </c>
      <c r="E50" s="420">
        <v>191000</v>
      </c>
      <c r="F50" s="420">
        <v>191000</v>
      </c>
      <c r="G50" s="420">
        <v>0</v>
      </c>
      <c r="H50" s="420">
        <v>0</v>
      </c>
      <c r="I50" s="420">
        <v>191000</v>
      </c>
      <c r="J50" s="570">
        <v>0</v>
      </c>
      <c r="K50" s="420">
        <v>191000</v>
      </c>
      <c r="L50" s="420">
        <v>0</v>
      </c>
      <c r="M50" s="420">
        <v>0</v>
      </c>
    </row>
    <row r="51" spans="1:15">
      <c r="A51" s="569" t="s">
        <v>1442</v>
      </c>
      <c r="B51" s="569" t="s">
        <v>1901</v>
      </c>
      <c r="C51" s="569" t="s">
        <v>1902</v>
      </c>
      <c r="D51" s="569" t="s">
        <v>1480</v>
      </c>
      <c r="E51" s="420">
        <v>85000</v>
      </c>
      <c r="F51" s="420">
        <v>83000</v>
      </c>
      <c r="G51" s="420">
        <v>2000</v>
      </c>
      <c r="H51" s="420">
        <v>0</v>
      </c>
      <c r="I51" s="420">
        <v>85000</v>
      </c>
      <c r="J51" s="570">
        <v>85000</v>
      </c>
      <c r="K51" s="420">
        <v>0</v>
      </c>
      <c r="L51" s="420">
        <v>0</v>
      </c>
      <c r="M51" s="420">
        <v>0</v>
      </c>
    </row>
    <row r="52" spans="1:15">
      <c r="A52" s="569" t="s">
        <v>1442</v>
      </c>
      <c r="B52" s="569" t="s">
        <v>1903</v>
      </c>
      <c r="C52" s="569" t="s">
        <v>1904</v>
      </c>
      <c r="D52" s="569" t="s">
        <v>1480</v>
      </c>
      <c r="E52" s="420">
        <v>75000</v>
      </c>
      <c r="F52" s="420">
        <v>75000</v>
      </c>
      <c r="G52" s="420">
        <v>0</v>
      </c>
      <c r="H52" s="420">
        <v>0</v>
      </c>
      <c r="I52" s="420">
        <v>75000</v>
      </c>
      <c r="J52" s="570">
        <v>75000</v>
      </c>
      <c r="K52" s="420">
        <v>0</v>
      </c>
      <c r="L52" s="420">
        <v>0</v>
      </c>
      <c r="M52" s="420">
        <v>0</v>
      </c>
    </row>
    <row r="53" spans="1:15">
      <c r="A53" s="569" t="s">
        <v>1442</v>
      </c>
      <c r="B53" s="569" t="s">
        <v>1905</v>
      </c>
      <c r="C53" s="569" t="s">
        <v>1906</v>
      </c>
      <c r="D53" s="569" t="s">
        <v>1480</v>
      </c>
      <c r="E53" s="420">
        <v>65000</v>
      </c>
      <c r="F53" s="420">
        <v>65000</v>
      </c>
      <c r="G53" s="420">
        <v>0</v>
      </c>
      <c r="H53" s="420">
        <v>0</v>
      </c>
      <c r="I53" s="420">
        <v>65000</v>
      </c>
      <c r="J53" s="570">
        <v>0</v>
      </c>
      <c r="K53" s="420">
        <v>65000</v>
      </c>
      <c r="L53" s="420">
        <v>0</v>
      </c>
      <c r="M53" s="420">
        <v>0</v>
      </c>
    </row>
    <row r="54" spans="1:15" s="295" customFormat="1">
      <c r="A54" s="569" t="s">
        <v>1442</v>
      </c>
      <c r="B54" s="569" t="s">
        <v>1907</v>
      </c>
      <c r="C54" s="569" t="s">
        <v>1908</v>
      </c>
      <c r="D54" s="569" t="s">
        <v>1480</v>
      </c>
      <c r="E54" s="420">
        <v>115000</v>
      </c>
      <c r="F54" s="420">
        <v>115000</v>
      </c>
      <c r="G54" s="420">
        <v>0</v>
      </c>
      <c r="H54" s="420">
        <v>0</v>
      </c>
      <c r="I54" s="420">
        <v>115000</v>
      </c>
      <c r="J54" s="570">
        <v>0</v>
      </c>
      <c r="K54" s="420">
        <v>115000</v>
      </c>
      <c r="L54" s="420">
        <v>0</v>
      </c>
      <c r="M54" s="420">
        <v>0</v>
      </c>
      <c r="N54" s="573"/>
      <c r="O54" s="573"/>
    </row>
    <row r="55" spans="1:15">
      <c r="A55" s="569" t="s">
        <v>1442</v>
      </c>
      <c r="B55" s="569" t="s">
        <v>1909</v>
      </c>
      <c r="C55" s="569" t="s">
        <v>1910</v>
      </c>
      <c r="D55" s="569" t="s">
        <v>1480</v>
      </c>
      <c r="E55" s="420">
        <v>68000</v>
      </c>
      <c r="F55" s="420">
        <v>68000</v>
      </c>
      <c r="G55" s="420">
        <v>0</v>
      </c>
      <c r="H55" s="420">
        <v>0</v>
      </c>
      <c r="I55" s="420">
        <v>68000</v>
      </c>
      <c r="J55" s="570">
        <v>0</v>
      </c>
      <c r="K55" s="420">
        <v>0</v>
      </c>
      <c r="L55" s="420">
        <v>68000</v>
      </c>
      <c r="M55" s="420">
        <v>0</v>
      </c>
    </row>
    <row r="56" spans="1:15">
      <c r="A56" s="569" t="s">
        <v>1442</v>
      </c>
      <c r="B56" s="569" t="s">
        <v>1911</v>
      </c>
      <c r="C56" s="569" t="s">
        <v>1912</v>
      </c>
      <c r="D56" s="569" t="s">
        <v>1480</v>
      </c>
      <c r="E56" s="420">
        <v>400000</v>
      </c>
      <c r="F56" s="420">
        <v>400000</v>
      </c>
      <c r="G56" s="420">
        <v>0</v>
      </c>
      <c r="H56" s="420">
        <v>0</v>
      </c>
      <c r="I56" s="420">
        <v>400000</v>
      </c>
      <c r="J56" s="570">
        <v>200000</v>
      </c>
      <c r="K56" s="420">
        <v>200000</v>
      </c>
      <c r="L56" s="420">
        <v>0</v>
      </c>
      <c r="M56" s="420">
        <v>0</v>
      </c>
    </row>
    <row r="57" spans="1:15" s="295" customFormat="1">
      <c r="A57" s="569" t="s">
        <v>1442</v>
      </c>
      <c r="B57" s="569" t="s">
        <v>1913</v>
      </c>
      <c r="C57" s="569" t="s">
        <v>1914</v>
      </c>
      <c r="D57" s="569" t="s">
        <v>1480</v>
      </c>
      <c r="E57" s="420">
        <v>185000</v>
      </c>
      <c r="F57" s="420">
        <v>185000</v>
      </c>
      <c r="G57" s="420">
        <v>0</v>
      </c>
      <c r="H57" s="420">
        <v>0</v>
      </c>
      <c r="I57" s="420">
        <v>185000</v>
      </c>
      <c r="J57" s="570">
        <v>0</v>
      </c>
      <c r="K57" s="420">
        <v>185000</v>
      </c>
      <c r="L57" s="420">
        <v>0</v>
      </c>
      <c r="M57" s="420">
        <v>0</v>
      </c>
      <c r="N57" s="573"/>
      <c r="O57" s="573"/>
    </row>
    <row r="58" spans="1:15">
      <c r="A58" s="569" t="s">
        <v>1442</v>
      </c>
      <c r="B58" s="569" t="s">
        <v>1915</v>
      </c>
      <c r="C58" s="569" t="s">
        <v>1916</v>
      </c>
      <c r="D58" s="569" t="s">
        <v>1480</v>
      </c>
      <c r="E58" s="420">
        <v>80000</v>
      </c>
      <c r="F58" s="420">
        <v>80000</v>
      </c>
      <c r="G58" s="420">
        <v>0</v>
      </c>
      <c r="H58" s="420">
        <v>0</v>
      </c>
      <c r="I58" s="420">
        <v>80000</v>
      </c>
      <c r="J58" s="570">
        <v>0</v>
      </c>
      <c r="K58" s="420">
        <v>80000</v>
      </c>
      <c r="L58" s="420">
        <v>0</v>
      </c>
      <c r="M58" s="420">
        <v>0</v>
      </c>
    </row>
    <row r="59" spans="1:15" s="295" customFormat="1">
      <c r="A59" s="569" t="s">
        <v>1442</v>
      </c>
      <c r="B59" s="569" t="s">
        <v>1917</v>
      </c>
      <c r="C59" s="569" t="s">
        <v>1918</v>
      </c>
      <c r="D59" s="569" t="s">
        <v>1480</v>
      </c>
      <c r="E59" s="420">
        <v>80000</v>
      </c>
      <c r="F59" s="420">
        <v>80000</v>
      </c>
      <c r="G59" s="420">
        <v>0</v>
      </c>
      <c r="H59" s="420">
        <v>0</v>
      </c>
      <c r="I59" s="420">
        <v>80000</v>
      </c>
      <c r="J59" s="570">
        <v>0</v>
      </c>
      <c r="K59" s="420">
        <v>80000</v>
      </c>
      <c r="L59" s="420">
        <v>0</v>
      </c>
      <c r="M59" s="420">
        <v>0</v>
      </c>
      <c r="N59" s="573"/>
      <c r="O59" s="573"/>
    </row>
    <row r="60" spans="1:15">
      <c r="A60" s="569" t="s">
        <v>1442</v>
      </c>
      <c r="B60" s="569" t="s">
        <v>1919</v>
      </c>
      <c r="C60" s="569" t="s">
        <v>1920</v>
      </c>
      <c r="D60" s="569" t="s">
        <v>1480</v>
      </c>
      <c r="E60" s="420">
        <v>315000</v>
      </c>
      <c r="F60" s="420">
        <v>315000</v>
      </c>
      <c r="G60" s="420">
        <v>0</v>
      </c>
      <c r="H60" s="420">
        <v>0</v>
      </c>
      <c r="I60" s="420">
        <v>315000</v>
      </c>
      <c r="J60" s="570">
        <v>0</v>
      </c>
      <c r="K60" s="420">
        <v>0</v>
      </c>
      <c r="L60" s="420">
        <v>315000</v>
      </c>
      <c r="M60" s="420">
        <v>0</v>
      </c>
    </row>
    <row r="61" spans="1:15">
      <c r="A61" s="569" t="s">
        <v>1442</v>
      </c>
      <c r="B61" s="569" t="s">
        <v>1921</v>
      </c>
      <c r="C61" s="569" t="s">
        <v>1898</v>
      </c>
      <c r="D61" s="569" t="s">
        <v>1480</v>
      </c>
      <c r="E61" s="420">
        <v>191000</v>
      </c>
      <c r="F61" s="420">
        <v>191000</v>
      </c>
      <c r="G61" s="420">
        <v>0</v>
      </c>
      <c r="H61" s="420">
        <v>0</v>
      </c>
      <c r="I61" s="420">
        <v>191000</v>
      </c>
      <c r="J61" s="570">
        <v>0</v>
      </c>
      <c r="K61" s="420">
        <v>0</v>
      </c>
      <c r="L61" s="420">
        <v>191000</v>
      </c>
      <c r="M61" s="420">
        <v>0</v>
      </c>
    </row>
    <row r="62" spans="1:15">
      <c r="A62" s="569" t="s">
        <v>1442</v>
      </c>
      <c r="B62" s="569" t="s">
        <v>1922</v>
      </c>
      <c r="C62" s="569" t="s">
        <v>1898</v>
      </c>
      <c r="D62" s="569" t="s">
        <v>1480</v>
      </c>
      <c r="E62" s="420">
        <v>191000</v>
      </c>
      <c r="F62" s="420">
        <v>191000</v>
      </c>
      <c r="G62" s="420">
        <v>0</v>
      </c>
      <c r="H62" s="420">
        <v>0</v>
      </c>
      <c r="I62" s="420">
        <v>191000</v>
      </c>
      <c r="J62" s="570">
        <v>0</v>
      </c>
      <c r="K62" s="420">
        <v>0</v>
      </c>
      <c r="L62" s="420">
        <v>191000</v>
      </c>
      <c r="M62" s="420">
        <v>0</v>
      </c>
    </row>
    <row r="63" spans="1:15">
      <c r="A63" s="569" t="s">
        <v>1442</v>
      </c>
      <c r="B63" s="569" t="s">
        <v>1923</v>
      </c>
      <c r="C63" s="569" t="s">
        <v>1924</v>
      </c>
      <c r="D63" s="569" t="s">
        <v>1480</v>
      </c>
      <c r="E63" s="420">
        <v>130000</v>
      </c>
      <c r="F63" s="420">
        <v>130000</v>
      </c>
      <c r="G63" s="420">
        <v>0</v>
      </c>
      <c r="H63" s="420">
        <v>0</v>
      </c>
      <c r="I63" s="420">
        <v>130000</v>
      </c>
      <c r="J63" s="570">
        <v>0</v>
      </c>
      <c r="K63" s="420">
        <v>0</v>
      </c>
      <c r="L63" s="420">
        <v>0</v>
      </c>
      <c r="M63" s="420">
        <v>130000</v>
      </c>
    </row>
    <row r="64" spans="1:15">
      <c r="A64" s="569" t="s">
        <v>1442</v>
      </c>
      <c r="B64" s="569" t="s">
        <v>1925</v>
      </c>
      <c r="C64" s="569" t="s">
        <v>1926</v>
      </c>
      <c r="D64" s="569" t="s">
        <v>1480</v>
      </c>
      <c r="E64" s="420">
        <v>60000</v>
      </c>
      <c r="F64" s="420">
        <v>60000</v>
      </c>
      <c r="G64" s="420">
        <v>0</v>
      </c>
      <c r="H64" s="420">
        <v>0</v>
      </c>
      <c r="I64" s="420">
        <v>60000</v>
      </c>
      <c r="J64" s="570">
        <v>0</v>
      </c>
      <c r="K64" s="420">
        <v>0</v>
      </c>
      <c r="L64" s="420">
        <v>60000</v>
      </c>
      <c r="M64" s="420">
        <v>0</v>
      </c>
    </row>
    <row r="65" spans="1:13">
      <c r="A65" s="569" t="s">
        <v>1442</v>
      </c>
      <c r="B65" s="569" t="s">
        <v>1927</v>
      </c>
      <c r="C65" s="569" t="s">
        <v>1928</v>
      </c>
      <c r="D65" s="569" t="s">
        <v>1480</v>
      </c>
      <c r="E65" s="420">
        <v>200000</v>
      </c>
      <c r="F65" s="420">
        <v>200000</v>
      </c>
      <c r="G65" s="420">
        <v>0</v>
      </c>
      <c r="H65" s="420">
        <v>0</v>
      </c>
      <c r="I65" s="420">
        <v>200000</v>
      </c>
      <c r="J65" s="570">
        <v>0</v>
      </c>
      <c r="K65" s="420">
        <v>200000</v>
      </c>
      <c r="L65" s="420">
        <v>0</v>
      </c>
      <c r="M65" s="420">
        <v>0</v>
      </c>
    </row>
    <row r="66" spans="1:13">
      <c r="A66" s="569" t="s">
        <v>1442</v>
      </c>
      <c r="B66" s="569" t="s">
        <v>1929</v>
      </c>
      <c r="C66" s="569" t="s">
        <v>1930</v>
      </c>
      <c r="D66" s="569" t="s">
        <v>1480</v>
      </c>
      <c r="E66" s="420">
        <v>400000</v>
      </c>
      <c r="F66" s="420">
        <v>400000</v>
      </c>
      <c r="G66" s="420">
        <v>0</v>
      </c>
      <c r="H66" s="420">
        <v>0</v>
      </c>
      <c r="I66" s="420">
        <v>400000</v>
      </c>
      <c r="J66" s="570">
        <v>0</v>
      </c>
      <c r="K66" s="420">
        <v>0</v>
      </c>
      <c r="L66" s="420">
        <v>0</v>
      </c>
      <c r="M66" s="420">
        <v>400000</v>
      </c>
    </row>
    <row r="67" spans="1:13">
      <c r="A67" s="569" t="s">
        <v>1442</v>
      </c>
      <c r="B67" s="569" t="s">
        <v>1931</v>
      </c>
      <c r="C67" s="569" t="s">
        <v>1932</v>
      </c>
      <c r="D67" s="569" t="s">
        <v>1480</v>
      </c>
      <c r="E67" s="420">
        <v>250000</v>
      </c>
      <c r="F67" s="420">
        <v>250000</v>
      </c>
      <c r="G67" s="420">
        <v>0</v>
      </c>
      <c r="H67" s="420">
        <v>0</v>
      </c>
      <c r="I67" s="420">
        <v>250000</v>
      </c>
      <c r="J67" s="570">
        <v>0</v>
      </c>
      <c r="K67" s="420">
        <v>250000</v>
      </c>
      <c r="L67" s="420">
        <v>0</v>
      </c>
      <c r="M67" s="420">
        <v>0</v>
      </c>
    </row>
    <row r="68" spans="1:13">
      <c r="A68" s="569" t="s">
        <v>1442</v>
      </c>
      <c r="B68" s="569" t="s">
        <v>1933</v>
      </c>
      <c r="C68" s="569" t="s">
        <v>1934</v>
      </c>
      <c r="D68" s="569" t="s">
        <v>1480</v>
      </c>
      <c r="E68" s="420">
        <v>500000</v>
      </c>
      <c r="F68" s="420">
        <v>500000</v>
      </c>
      <c r="G68" s="420">
        <v>0</v>
      </c>
      <c r="H68" s="420">
        <v>0</v>
      </c>
      <c r="I68" s="420">
        <v>500000</v>
      </c>
      <c r="J68" s="570">
        <v>0</v>
      </c>
      <c r="K68" s="420">
        <v>0</v>
      </c>
      <c r="L68" s="420">
        <v>250000</v>
      </c>
      <c r="M68" s="420">
        <v>250000</v>
      </c>
    </row>
    <row r="69" spans="1:13">
      <c r="A69" s="569" t="s">
        <v>1442</v>
      </c>
      <c r="B69" s="569" t="s">
        <v>1935</v>
      </c>
      <c r="C69" s="569" t="s">
        <v>1936</v>
      </c>
      <c r="D69" s="569" t="s">
        <v>1480</v>
      </c>
      <c r="E69" s="420">
        <v>400000</v>
      </c>
      <c r="F69" s="420">
        <v>400000</v>
      </c>
      <c r="G69" s="420">
        <v>0</v>
      </c>
      <c r="H69" s="420">
        <v>0</v>
      </c>
      <c r="I69" s="420">
        <v>400000</v>
      </c>
      <c r="J69" s="570">
        <v>400000</v>
      </c>
      <c r="K69" s="420">
        <v>0</v>
      </c>
      <c r="L69" s="420">
        <v>0</v>
      </c>
      <c r="M69" s="420">
        <v>0</v>
      </c>
    </row>
    <row r="70" spans="1:13">
      <c r="A70" s="569" t="s">
        <v>1442</v>
      </c>
      <c r="B70" s="569" t="s">
        <v>1937</v>
      </c>
      <c r="C70" s="569" t="s">
        <v>1938</v>
      </c>
      <c r="D70" s="569" t="s">
        <v>1480</v>
      </c>
      <c r="E70" s="420">
        <v>750000</v>
      </c>
      <c r="F70" s="420">
        <v>750000</v>
      </c>
      <c r="G70" s="420">
        <v>0</v>
      </c>
      <c r="H70" s="420">
        <v>0</v>
      </c>
      <c r="I70" s="420">
        <v>750000</v>
      </c>
      <c r="J70" s="570">
        <v>0</v>
      </c>
      <c r="K70" s="420">
        <v>0</v>
      </c>
      <c r="L70" s="420">
        <v>500000</v>
      </c>
      <c r="M70" s="420">
        <v>250000</v>
      </c>
    </row>
    <row r="71" spans="1:13">
      <c r="A71" s="569" t="s">
        <v>1442</v>
      </c>
      <c r="B71" s="569" t="s">
        <v>1939</v>
      </c>
      <c r="C71" s="569" t="s">
        <v>1940</v>
      </c>
      <c r="D71" s="569" t="s">
        <v>1480</v>
      </c>
      <c r="E71" s="420">
        <v>550000</v>
      </c>
      <c r="F71" s="420">
        <v>300000</v>
      </c>
      <c r="G71" s="420">
        <v>0</v>
      </c>
      <c r="H71" s="420">
        <v>0</v>
      </c>
      <c r="I71" s="420">
        <v>300000</v>
      </c>
      <c r="J71" s="570">
        <v>150000</v>
      </c>
      <c r="K71" s="420">
        <v>150000</v>
      </c>
      <c r="L71" s="420">
        <v>0</v>
      </c>
      <c r="M71" s="420">
        <v>0</v>
      </c>
    </row>
    <row r="72" spans="1:13">
      <c r="A72" s="569" t="s">
        <v>1442</v>
      </c>
      <c r="B72" s="569" t="s">
        <v>1941</v>
      </c>
      <c r="C72" s="569" t="s">
        <v>1942</v>
      </c>
      <c r="D72" s="569" t="s">
        <v>1480</v>
      </c>
      <c r="E72" s="420">
        <v>65000</v>
      </c>
      <c r="F72" s="420">
        <v>65000</v>
      </c>
      <c r="G72" s="420">
        <v>0</v>
      </c>
      <c r="H72" s="420">
        <v>0</v>
      </c>
      <c r="I72" s="420">
        <v>65000</v>
      </c>
      <c r="J72" s="570">
        <v>65000</v>
      </c>
      <c r="K72" s="420">
        <v>0</v>
      </c>
      <c r="L72" s="420">
        <v>0</v>
      </c>
      <c r="M72" s="420">
        <v>0</v>
      </c>
    </row>
    <row r="73" spans="1:13">
      <c r="A73" s="569" t="s">
        <v>1442</v>
      </c>
      <c r="B73" s="569" t="s">
        <v>1943</v>
      </c>
      <c r="C73" s="569" t="s">
        <v>1924</v>
      </c>
      <c r="D73" s="569" t="s">
        <v>1480</v>
      </c>
      <c r="E73" s="420">
        <v>130000</v>
      </c>
      <c r="F73" s="420">
        <v>130000</v>
      </c>
      <c r="G73" s="420">
        <v>0</v>
      </c>
      <c r="H73" s="420">
        <v>0</v>
      </c>
      <c r="I73" s="420">
        <v>130000</v>
      </c>
      <c r="J73" s="570">
        <v>0</v>
      </c>
      <c r="K73" s="420">
        <v>0</v>
      </c>
      <c r="L73" s="420">
        <v>0</v>
      </c>
      <c r="M73" s="420">
        <v>0</v>
      </c>
    </row>
    <row r="74" spans="1:13">
      <c r="A74" s="569" t="s">
        <v>1442</v>
      </c>
      <c r="B74" s="569" t="s">
        <v>1944</v>
      </c>
      <c r="C74" s="569" t="s">
        <v>1926</v>
      </c>
      <c r="D74" s="569" t="s">
        <v>1480</v>
      </c>
      <c r="E74" s="420">
        <v>60000</v>
      </c>
      <c r="F74" s="420">
        <v>60000</v>
      </c>
      <c r="G74" s="420">
        <v>0</v>
      </c>
      <c r="H74" s="420">
        <v>0</v>
      </c>
      <c r="I74" s="420">
        <v>60000</v>
      </c>
      <c r="J74" s="570">
        <v>0</v>
      </c>
      <c r="K74" s="420">
        <v>0</v>
      </c>
      <c r="L74" s="420">
        <v>0</v>
      </c>
      <c r="M74" s="420">
        <v>0</v>
      </c>
    </row>
    <row r="75" spans="1:13">
      <c r="A75" s="569" t="s">
        <v>1442</v>
      </c>
      <c r="B75" s="569" t="s">
        <v>1945</v>
      </c>
      <c r="C75" s="569" t="s">
        <v>1932</v>
      </c>
      <c r="D75" s="569" t="s">
        <v>1480</v>
      </c>
      <c r="E75" s="420">
        <v>250000</v>
      </c>
      <c r="F75" s="420">
        <v>250000</v>
      </c>
      <c r="G75" s="420">
        <v>0</v>
      </c>
      <c r="H75" s="420">
        <v>0</v>
      </c>
      <c r="I75" s="420">
        <v>250000</v>
      </c>
      <c r="J75" s="570">
        <v>0</v>
      </c>
      <c r="K75" s="420">
        <v>0</v>
      </c>
      <c r="L75" s="420">
        <v>0</v>
      </c>
      <c r="M75" s="420">
        <v>0</v>
      </c>
    </row>
    <row r="76" spans="1:13">
      <c r="A76" s="569" t="s">
        <v>1442</v>
      </c>
      <c r="B76" s="569" t="s">
        <v>1946</v>
      </c>
      <c r="C76" s="569" t="s">
        <v>1932</v>
      </c>
      <c r="D76" s="569" t="s">
        <v>1480</v>
      </c>
      <c r="E76" s="420">
        <v>250000</v>
      </c>
      <c r="F76" s="420">
        <v>250000</v>
      </c>
      <c r="G76" s="420">
        <v>0</v>
      </c>
      <c r="H76" s="420">
        <v>0</v>
      </c>
      <c r="I76" s="420">
        <v>250000</v>
      </c>
      <c r="J76" s="570">
        <v>0</v>
      </c>
      <c r="K76" s="420">
        <v>0</v>
      </c>
      <c r="L76" s="420">
        <v>0</v>
      </c>
      <c r="M76" s="420">
        <v>0</v>
      </c>
    </row>
    <row r="77" spans="1:13">
      <c r="A77" s="569" t="s">
        <v>1442</v>
      </c>
      <c r="B77" s="569" t="s">
        <v>1947</v>
      </c>
      <c r="C77" s="569" t="s">
        <v>1928</v>
      </c>
      <c r="D77" s="569" t="s">
        <v>1480</v>
      </c>
      <c r="E77" s="420">
        <v>200000</v>
      </c>
      <c r="F77" s="420">
        <v>200000</v>
      </c>
      <c r="G77" s="420">
        <v>0</v>
      </c>
      <c r="H77" s="420">
        <v>0</v>
      </c>
      <c r="I77" s="420">
        <v>200000</v>
      </c>
      <c r="J77" s="570">
        <v>0</v>
      </c>
      <c r="K77" s="420">
        <v>0</v>
      </c>
      <c r="L77" s="420">
        <v>0</v>
      </c>
      <c r="M77" s="420">
        <v>0</v>
      </c>
    </row>
    <row r="78" spans="1:13">
      <c r="A78" s="569" t="s">
        <v>1442</v>
      </c>
      <c r="B78" s="569" t="s">
        <v>1948</v>
      </c>
      <c r="C78" s="569" t="s">
        <v>1928</v>
      </c>
      <c r="D78" s="569" t="s">
        <v>1480</v>
      </c>
      <c r="E78" s="420">
        <v>200000</v>
      </c>
      <c r="F78" s="420">
        <v>200000</v>
      </c>
      <c r="G78" s="420">
        <v>0</v>
      </c>
      <c r="H78" s="420">
        <v>0</v>
      </c>
      <c r="I78" s="420">
        <v>200000</v>
      </c>
      <c r="J78" s="570">
        <v>0</v>
      </c>
      <c r="K78" s="420">
        <v>0</v>
      </c>
      <c r="L78" s="420">
        <v>0</v>
      </c>
      <c r="M78" s="420">
        <v>0</v>
      </c>
    </row>
    <row r="79" spans="1:13">
      <c r="A79" s="569" t="s">
        <v>1442</v>
      </c>
      <c r="B79" s="569" t="s">
        <v>1949</v>
      </c>
      <c r="C79" s="569" t="s">
        <v>1928</v>
      </c>
      <c r="D79" s="569" t="s">
        <v>1480</v>
      </c>
      <c r="E79" s="420">
        <v>200000</v>
      </c>
      <c r="F79" s="420">
        <v>200000</v>
      </c>
      <c r="G79" s="420">
        <v>0</v>
      </c>
      <c r="H79" s="420">
        <v>0</v>
      </c>
      <c r="I79" s="420">
        <v>200000</v>
      </c>
      <c r="J79" s="570">
        <v>0</v>
      </c>
      <c r="K79" s="420">
        <v>0</v>
      </c>
      <c r="L79" s="420">
        <v>0</v>
      </c>
      <c r="M79" s="420">
        <v>0</v>
      </c>
    </row>
    <row r="80" spans="1:13">
      <c r="A80" s="569" t="s">
        <v>1442</v>
      </c>
      <c r="B80" s="569" t="s">
        <v>1950</v>
      </c>
      <c r="C80" s="569" t="s">
        <v>1951</v>
      </c>
      <c r="D80" s="569" t="s">
        <v>1480</v>
      </c>
      <c r="E80" s="420">
        <v>135000</v>
      </c>
      <c r="F80" s="420">
        <v>135000</v>
      </c>
      <c r="G80" s="420">
        <v>0</v>
      </c>
      <c r="H80" s="420">
        <v>0</v>
      </c>
      <c r="I80" s="420">
        <v>135000</v>
      </c>
      <c r="J80" s="570">
        <v>0</v>
      </c>
      <c r="K80" s="420">
        <v>135000</v>
      </c>
      <c r="L80" s="420">
        <v>0</v>
      </c>
      <c r="M80" s="420">
        <v>0</v>
      </c>
    </row>
    <row r="81" spans="1:13">
      <c r="A81" s="569" t="s">
        <v>1442</v>
      </c>
      <c r="B81" s="569" t="s">
        <v>1952</v>
      </c>
      <c r="C81" s="569" t="s">
        <v>1953</v>
      </c>
      <c r="D81" s="569" t="s">
        <v>1480</v>
      </c>
      <c r="E81" s="420">
        <v>75000</v>
      </c>
      <c r="F81" s="420">
        <v>75000</v>
      </c>
      <c r="G81" s="420">
        <v>0</v>
      </c>
      <c r="H81" s="420">
        <v>0</v>
      </c>
      <c r="I81" s="420">
        <v>75000</v>
      </c>
      <c r="J81" s="570">
        <v>0</v>
      </c>
      <c r="K81" s="420">
        <v>0</v>
      </c>
      <c r="L81" s="420">
        <v>0</v>
      </c>
      <c r="M81" s="420">
        <v>0</v>
      </c>
    </row>
    <row r="82" spans="1:13">
      <c r="A82" s="569" t="s">
        <v>1442</v>
      </c>
      <c r="B82" s="569" t="s">
        <v>1954</v>
      </c>
      <c r="C82" s="569" t="s">
        <v>1955</v>
      </c>
      <c r="D82" s="569" t="s">
        <v>1480</v>
      </c>
      <c r="E82" s="420">
        <v>85000</v>
      </c>
      <c r="F82" s="420">
        <v>82000</v>
      </c>
      <c r="G82" s="420">
        <v>3000</v>
      </c>
      <c r="H82" s="420">
        <v>0</v>
      </c>
      <c r="I82" s="420">
        <v>85000</v>
      </c>
      <c r="J82" s="570">
        <v>0</v>
      </c>
      <c r="K82" s="420">
        <v>0</v>
      </c>
      <c r="L82" s="420">
        <v>0</v>
      </c>
      <c r="M82" s="420">
        <v>0</v>
      </c>
    </row>
    <row r="83" spans="1:13">
      <c r="A83" s="569" t="s">
        <v>1442</v>
      </c>
      <c r="B83" s="569" t="s">
        <v>1956</v>
      </c>
      <c r="C83" s="569" t="s">
        <v>1888</v>
      </c>
      <c r="D83" s="569" t="s">
        <v>1480</v>
      </c>
      <c r="E83" s="420">
        <v>120000</v>
      </c>
      <c r="F83" s="420">
        <v>117000</v>
      </c>
      <c r="G83" s="420">
        <v>3000</v>
      </c>
      <c r="H83" s="420">
        <v>0</v>
      </c>
      <c r="I83" s="420">
        <v>120000</v>
      </c>
      <c r="J83" s="570">
        <v>0</v>
      </c>
      <c r="K83" s="420">
        <v>0</v>
      </c>
      <c r="L83" s="420">
        <v>0</v>
      </c>
      <c r="M83" s="420">
        <v>0</v>
      </c>
    </row>
    <row r="84" spans="1:13">
      <c r="A84" s="569" t="s">
        <v>1442</v>
      </c>
      <c r="B84" s="569" t="s">
        <v>1957</v>
      </c>
      <c r="C84" s="569" t="s">
        <v>1888</v>
      </c>
      <c r="D84" s="569" t="s">
        <v>1480</v>
      </c>
      <c r="E84" s="420">
        <v>120000</v>
      </c>
      <c r="F84" s="420">
        <v>117000</v>
      </c>
      <c r="G84" s="420">
        <v>3000</v>
      </c>
      <c r="H84" s="420">
        <v>0</v>
      </c>
      <c r="I84" s="420">
        <v>120000</v>
      </c>
      <c r="J84" s="570">
        <v>0</v>
      </c>
      <c r="K84" s="420">
        <v>0</v>
      </c>
      <c r="L84" s="420">
        <v>0</v>
      </c>
      <c r="M84" s="420">
        <v>120000</v>
      </c>
    </row>
    <row r="85" spans="1:13">
      <c r="A85" s="569" t="s">
        <v>1442</v>
      </c>
      <c r="B85" s="569" t="s">
        <v>1958</v>
      </c>
      <c r="C85" s="569" t="s">
        <v>1888</v>
      </c>
      <c r="D85" s="569" t="s">
        <v>1480</v>
      </c>
      <c r="E85" s="420">
        <v>120000</v>
      </c>
      <c r="F85" s="420">
        <v>117000</v>
      </c>
      <c r="G85" s="420">
        <v>3000</v>
      </c>
      <c r="H85" s="420">
        <v>0</v>
      </c>
      <c r="I85" s="420">
        <v>120000</v>
      </c>
      <c r="J85" s="570">
        <v>0</v>
      </c>
      <c r="K85" s="420">
        <v>0</v>
      </c>
      <c r="L85" s="420">
        <v>0</v>
      </c>
      <c r="M85" s="420">
        <v>0</v>
      </c>
    </row>
    <row r="86" spans="1:13">
      <c r="A86" s="569" t="s">
        <v>1442</v>
      </c>
      <c r="B86" s="569" t="s">
        <v>1959</v>
      </c>
      <c r="C86" s="569" t="s">
        <v>1888</v>
      </c>
      <c r="D86" s="569" t="s">
        <v>1480</v>
      </c>
      <c r="E86" s="420">
        <v>120000</v>
      </c>
      <c r="F86" s="420">
        <v>117000</v>
      </c>
      <c r="G86" s="420">
        <v>3000</v>
      </c>
      <c r="H86" s="420">
        <v>0</v>
      </c>
      <c r="I86" s="420">
        <v>120000</v>
      </c>
      <c r="J86" s="570">
        <v>0</v>
      </c>
      <c r="K86" s="420">
        <v>0</v>
      </c>
      <c r="L86" s="420">
        <v>0</v>
      </c>
      <c r="M86" s="420">
        <v>0</v>
      </c>
    </row>
    <row r="87" spans="1:13">
      <c r="A87" s="569" t="s">
        <v>1442</v>
      </c>
      <c r="B87" s="569" t="s">
        <v>1960</v>
      </c>
      <c r="C87" s="569" t="s">
        <v>1961</v>
      </c>
      <c r="D87" s="569" t="s">
        <v>1480</v>
      </c>
      <c r="E87" s="420">
        <v>250000</v>
      </c>
      <c r="F87" s="420">
        <v>250000</v>
      </c>
      <c r="G87" s="420">
        <v>0</v>
      </c>
      <c r="H87" s="420">
        <v>0</v>
      </c>
      <c r="I87" s="420">
        <v>250000</v>
      </c>
      <c r="J87" s="570">
        <v>0</v>
      </c>
      <c r="K87" s="420">
        <v>0</v>
      </c>
      <c r="L87" s="420">
        <v>0</v>
      </c>
      <c r="M87" s="420">
        <v>0</v>
      </c>
    </row>
    <row r="88" spans="1:13">
      <c r="A88" s="569" t="s">
        <v>1442</v>
      </c>
      <c r="B88" s="569" t="s">
        <v>1962</v>
      </c>
      <c r="C88" s="569" t="s">
        <v>1963</v>
      </c>
      <c r="D88" s="569" t="s">
        <v>1480</v>
      </c>
      <c r="E88" s="420">
        <v>205000</v>
      </c>
      <c r="F88" s="420">
        <v>205000</v>
      </c>
      <c r="G88" s="420">
        <v>0</v>
      </c>
      <c r="H88" s="420">
        <v>0</v>
      </c>
      <c r="I88" s="420">
        <v>205000</v>
      </c>
      <c r="J88" s="570">
        <v>0</v>
      </c>
      <c r="K88" s="420">
        <v>0</v>
      </c>
      <c r="L88" s="420">
        <v>205000</v>
      </c>
      <c r="M88" s="420">
        <v>0</v>
      </c>
    </row>
    <row r="89" spans="1:13">
      <c r="A89" s="569" t="s">
        <v>1442</v>
      </c>
      <c r="B89" s="569" t="s">
        <v>1964</v>
      </c>
      <c r="C89" s="569" t="s">
        <v>1965</v>
      </c>
      <c r="D89" s="569" t="s">
        <v>1480</v>
      </c>
      <c r="E89" s="420">
        <v>80000</v>
      </c>
      <c r="F89" s="420">
        <v>80000</v>
      </c>
      <c r="G89" s="420">
        <v>0</v>
      </c>
      <c r="H89" s="420">
        <v>0</v>
      </c>
      <c r="I89" s="420">
        <v>80000</v>
      </c>
      <c r="J89" s="570">
        <v>0</v>
      </c>
      <c r="K89" s="420">
        <v>0</v>
      </c>
      <c r="L89" s="420">
        <v>80000</v>
      </c>
      <c r="M89" s="420">
        <v>0</v>
      </c>
    </row>
    <row r="90" spans="1:13">
      <c r="A90" s="569" t="s">
        <v>1442</v>
      </c>
      <c r="B90" s="569" t="s">
        <v>1966</v>
      </c>
      <c r="C90" s="569" t="s">
        <v>1932</v>
      </c>
      <c r="D90" s="569" t="s">
        <v>1480</v>
      </c>
      <c r="E90" s="420">
        <v>260000</v>
      </c>
      <c r="F90" s="420">
        <v>260000</v>
      </c>
      <c r="G90" s="420">
        <v>0</v>
      </c>
      <c r="H90" s="420">
        <v>0</v>
      </c>
      <c r="I90" s="420">
        <v>260000</v>
      </c>
      <c r="J90" s="570">
        <v>0</v>
      </c>
      <c r="K90" s="420">
        <v>0</v>
      </c>
      <c r="L90" s="420">
        <v>0</v>
      </c>
      <c r="M90" s="420">
        <v>0</v>
      </c>
    </row>
    <row r="91" spans="1:13">
      <c r="A91" s="569" t="s">
        <v>1442</v>
      </c>
      <c r="B91" s="569" t="s">
        <v>1967</v>
      </c>
      <c r="C91" s="569" t="s">
        <v>1928</v>
      </c>
      <c r="D91" s="569" t="s">
        <v>1480</v>
      </c>
      <c r="E91" s="420">
        <v>205000</v>
      </c>
      <c r="F91" s="420">
        <v>205000</v>
      </c>
      <c r="G91" s="420">
        <v>0</v>
      </c>
      <c r="H91" s="420">
        <v>0</v>
      </c>
      <c r="I91" s="420">
        <v>205000</v>
      </c>
      <c r="J91" s="570">
        <v>0</v>
      </c>
      <c r="K91" s="420">
        <v>0</v>
      </c>
      <c r="L91" s="420">
        <v>0</v>
      </c>
      <c r="M91" s="420">
        <v>0</v>
      </c>
    </row>
    <row r="92" spans="1:13">
      <c r="A92" s="569" t="s">
        <v>1442</v>
      </c>
      <c r="B92" s="569" t="s">
        <v>1968</v>
      </c>
      <c r="C92" s="569" t="s">
        <v>1928</v>
      </c>
      <c r="D92" s="569" t="s">
        <v>1480</v>
      </c>
      <c r="E92" s="420">
        <v>205000</v>
      </c>
      <c r="F92" s="420">
        <v>205000</v>
      </c>
      <c r="G92" s="420">
        <v>0</v>
      </c>
      <c r="H92" s="420">
        <v>0</v>
      </c>
      <c r="I92" s="420">
        <v>205000</v>
      </c>
      <c r="J92" s="570">
        <v>0</v>
      </c>
      <c r="K92" s="420">
        <v>0</v>
      </c>
      <c r="L92" s="420">
        <v>0</v>
      </c>
      <c r="M92" s="420">
        <v>0</v>
      </c>
    </row>
    <row r="93" spans="1:13">
      <c r="A93" s="569" t="s">
        <v>1442</v>
      </c>
      <c r="B93" s="569" t="s">
        <v>1969</v>
      </c>
      <c r="C93" s="569" t="s">
        <v>1928</v>
      </c>
      <c r="D93" s="569" t="s">
        <v>1480</v>
      </c>
      <c r="E93" s="420">
        <v>205000</v>
      </c>
      <c r="F93" s="420">
        <v>205000</v>
      </c>
      <c r="G93" s="420">
        <v>0</v>
      </c>
      <c r="H93" s="420">
        <v>0</v>
      </c>
      <c r="I93" s="420">
        <v>205000</v>
      </c>
      <c r="J93" s="570">
        <v>0</v>
      </c>
      <c r="K93" s="420">
        <v>0</v>
      </c>
      <c r="L93" s="420">
        <v>0</v>
      </c>
      <c r="M93" s="420">
        <v>0</v>
      </c>
    </row>
    <row r="94" spans="1:13">
      <c r="A94" s="569" t="s">
        <v>1442</v>
      </c>
      <c r="B94" s="569" t="s">
        <v>1970</v>
      </c>
      <c r="C94" s="569" t="s">
        <v>1971</v>
      </c>
      <c r="D94" s="569" t="s">
        <v>1480</v>
      </c>
      <c r="E94" s="420">
        <v>300000</v>
      </c>
      <c r="F94" s="420">
        <v>300000</v>
      </c>
      <c r="G94" s="420">
        <v>0</v>
      </c>
      <c r="H94" s="420">
        <v>0</v>
      </c>
      <c r="I94" s="420">
        <v>300000</v>
      </c>
      <c r="J94" s="570">
        <v>0</v>
      </c>
      <c r="K94" s="420">
        <v>0</v>
      </c>
      <c r="L94" s="420">
        <v>0</v>
      </c>
      <c r="M94" s="420">
        <v>0</v>
      </c>
    </row>
    <row r="95" spans="1:13">
      <c r="A95" s="569" t="s">
        <v>1442</v>
      </c>
      <c r="B95" s="569" t="s">
        <v>1972</v>
      </c>
      <c r="C95" s="569" t="s">
        <v>1928</v>
      </c>
      <c r="D95" s="569" t="s">
        <v>1480</v>
      </c>
      <c r="E95" s="420">
        <v>205000</v>
      </c>
      <c r="F95" s="420">
        <v>205000</v>
      </c>
      <c r="G95" s="420">
        <v>0</v>
      </c>
      <c r="H95" s="420">
        <v>0</v>
      </c>
      <c r="I95" s="420">
        <v>205000</v>
      </c>
      <c r="J95" s="570">
        <v>0</v>
      </c>
      <c r="K95" s="420">
        <v>0</v>
      </c>
      <c r="L95" s="420">
        <v>0</v>
      </c>
      <c r="M95" s="420">
        <v>0</v>
      </c>
    </row>
    <row r="96" spans="1:13">
      <c r="A96" s="569" t="s">
        <v>1442</v>
      </c>
      <c r="B96" s="569" t="s">
        <v>1973</v>
      </c>
      <c r="C96" s="569" t="s">
        <v>1888</v>
      </c>
      <c r="D96" s="569" t="s">
        <v>1480</v>
      </c>
      <c r="E96" s="420">
        <v>130000</v>
      </c>
      <c r="F96" s="420">
        <v>127000</v>
      </c>
      <c r="G96" s="420">
        <v>3000</v>
      </c>
      <c r="H96" s="420">
        <v>0</v>
      </c>
      <c r="I96" s="420">
        <v>130000</v>
      </c>
      <c r="J96" s="570">
        <v>0</v>
      </c>
      <c r="K96" s="420">
        <v>0</v>
      </c>
      <c r="L96" s="420">
        <v>0</v>
      </c>
      <c r="M96" s="420">
        <v>0</v>
      </c>
    </row>
    <row r="97" spans="1:13">
      <c r="A97" s="569" t="s">
        <v>1442</v>
      </c>
      <c r="B97" s="569" t="s">
        <v>1974</v>
      </c>
      <c r="C97" s="569" t="s">
        <v>1975</v>
      </c>
      <c r="D97" s="569" t="s">
        <v>1519</v>
      </c>
      <c r="E97" s="420">
        <v>88000</v>
      </c>
      <c r="F97" s="420">
        <v>80000</v>
      </c>
      <c r="G97" s="420">
        <v>0</v>
      </c>
      <c r="H97" s="420">
        <v>0</v>
      </c>
      <c r="I97" s="420">
        <v>80000</v>
      </c>
      <c r="J97" s="570">
        <v>0</v>
      </c>
      <c r="K97" s="420">
        <v>80000</v>
      </c>
      <c r="L97" s="420">
        <v>0</v>
      </c>
      <c r="M97" s="420">
        <v>0</v>
      </c>
    </row>
    <row r="98" spans="1:13">
      <c r="A98" s="569" t="s">
        <v>1442</v>
      </c>
      <c r="B98" s="569" t="s">
        <v>1976</v>
      </c>
      <c r="C98" s="569" t="s">
        <v>1977</v>
      </c>
      <c r="D98" s="569" t="s">
        <v>1519</v>
      </c>
      <c r="E98" s="420">
        <v>87000</v>
      </c>
      <c r="F98" s="420">
        <v>87000</v>
      </c>
      <c r="G98" s="420">
        <v>0</v>
      </c>
      <c r="H98" s="420">
        <v>0</v>
      </c>
      <c r="I98" s="420">
        <v>87000</v>
      </c>
      <c r="J98" s="570">
        <v>0</v>
      </c>
      <c r="K98" s="420">
        <v>87000</v>
      </c>
      <c r="L98" s="420">
        <v>0</v>
      </c>
      <c r="M98" s="420">
        <v>0</v>
      </c>
    </row>
    <row r="99" spans="1:13">
      <c r="A99" s="569" t="s">
        <v>1442</v>
      </c>
      <c r="B99" s="569" t="s">
        <v>1978</v>
      </c>
      <c r="C99" s="569" t="s">
        <v>1979</v>
      </c>
      <c r="D99" s="569" t="s">
        <v>1480</v>
      </c>
      <c r="E99" s="420">
        <v>120000</v>
      </c>
      <c r="F99" s="420">
        <v>120000</v>
      </c>
      <c r="G99" s="420">
        <v>0</v>
      </c>
      <c r="H99" s="420">
        <v>0</v>
      </c>
      <c r="I99" s="420">
        <v>120000</v>
      </c>
      <c r="J99" s="570">
        <v>0</v>
      </c>
      <c r="K99" s="420">
        <v>0</v>
      </c>
      <c r="L99" s="420">
        <v>0</v>
      </c>
      <c r="M99" s="420">
        <v>0</v>
      </c>
    </row>
    <row r="100" spans="1:13">
      <c r="A100" s="569" t="s">
        <v>1442</v>
      </c>
      <c r="B100" s="569" t="s">
        <v>1980</v>
      </c>
      <c r="C100" s="569" t="s">
        <v>1981</v>
      </c>
      <c r="D100" s="569" t="s">
        <v>1480</v>
      </c>
      <c r="E100" s="420">
        <v>150000</v>
      </c>
      <c r="F100" s="420">
        <v>150000</v>
      </c>
      <c r="G100" s="420">
        <v>0</v>
      </c>
      <c r="H100" s="420">
        <v>0</v>
      </c>
      <c r="I100" s="420">
        <v>150000</v>
      </c>
      <c r="J100" s="570">
        <v>150000</v>
      </c>
      <c r="K100" s="420">
        <v>0</v>
      </c>
      <c r="L100" s="420">
        <v>0</v>
      </c>
      <c r="M100" s="420">
        <v>0</v>
      </c>
    </row>
    <row r="101" spans="1:13">
      <c r="A101" s="569" t="s">
        <v>1442</v>
      </c>
      <c r="B101" s="569" t="s">
        <v>1982</v>
      </c>
      <c r="C101" s="569" t="s">
        <v>1983</v>
      </c>
      <c r="D101" s="569" t="s">
        <v>1480</v>
      </c>
      <c r="E101" s="420">
        <v>130000</v>
      </c>
      <c r="F101" s="420">
        <v>130000</v>
      </c>
      <c r="G101" s="420">
        <v>0</v>
      </c>
      <c r="H101" s="420">
        <v>0</v>
      </c>
      <c r="I101" s="420">
        <v>130000</v>
      </c>
      <c r="J101" s="570">
        <v>0</v>
      </c>
      <c r="K101" s="420">
        <v>130000</v>
      </c>
      <c r="L101" s="420">
        <v>0</v>
      </c>
      <c r="M101" s="420">
        <v>0</v>
      </c>
    </row>
    <row r="102" spans="1:13">
      <c r="A102" s="569" t="s">
        <v>1442</v>
      </c>
      <c r="B102" s="569" t="s">
        <v>1984</v>
      </c>
      <c r="C102" s="569" t="s">
        <v>1981</v>
      </c>
      <c r="D102" s="569" t="s">
        <v>1480</v>
      </c>
      <c r="E102" s="420">
        <v>100000</v>
      </c>
      <c r="F102" s="420">
        <v>100000</v>
      </c>
      <c r="G102" s="420">
        <v>0</v>
      </c>
      <c r="H102" s="420">
        <v>0</v>
      </c>
      <c r="I102" s="420">
        <v>100000</v>
      </c>
      <c r="J102" s="570">
        <v>0</v>
      </c>
      <c r="K102" s="420">
        <v>0</v>
      </c>
      <c r="L102" s="420">
        <v>0</v>
      </c>
      <c r="M102" s="420">
        <v>100000</v>
      </c>
    </row>
    <row r="103" spans="1:13">
      <c r="A103" s="569" t="s">
        <v>1442</v>
      </c>
      <c r="B103" s="569" t="s">
        <v>1985</v>
      </c>
      <c r="C103" s="569" t="s">
        <v>1981</v>
      </c>
      <c r="D103" s="569" t="s">
        <v>1480</v>
      </c>
      <c r="E103" s="420">
        <v>100000</v>
      </c>
      <c r="F103" s="420">
        <v>100000</v>
      </c>
      <c r="G103" s="420">
        <v>0</v>
      </c>
      <c r="H103" s="420">
        <v>0</v>
      </c>
      <c r="I103" s="420">
        <v>100000</v>
      </c>
      <c r="J103" s="570">
        <v>0</v>
      </c>
      <c r="K103" s="420">
        <v>0</v>
      </c>
      <c r="L103" s="420">
        <v>0</v>
      </c>
      <c r="M103" s="420">
        <v>0</v>
      </c>
    </row>
    <row r="104" spans="1:13">
      <c r="A104" s="569" t="s">
        <v>1442</v>
      </c>
      <c r="B104" s="569" t="s">
        <v>1986</v>
      </c>
      <c r="C104" s="569" t="s">
        <v>1981</v>
      </c>
      <c r="D104" s="569" t="s">
        <v>1480</v>
      </c>
      <c r="E104" s="420">
        <v>100000</v>
      </c>
      <c r="F104" s="420">
        <v>100000</v>
      </c>
      <c r="G104" s="420">
        <v>0</v>
      </c>
      <c r="H104" s="420">
        <v>0</v>
      </c>
      <c r="I104" s="420">
        <v>100000</v>
      </c>
      <c r="J104" s="570">
        <v>0</v>
      </c>
      <c r="K104" s="420">
        <v>0</v>
      </c>
      <c r="L104" s="420">
        <v>0</v>
      </c>
      <c r="M104" s="420">
        <v>0</v>
      </c>
    </row>
    <row r="105" spans="1:13">
      <c r="A105" s="569" t="s">
        <v>1442</v>
      </c>
      <c r="B105" s="569" t="s">
        <v>1987</v>
      </c>
      <c r="C105" s="569" t="s">
        <v>1988</v>
      </c>
      <c r="D105" s="569" t="s">
        <v>1480</v>
      </c>
      <c r="E105" s="420">
        <v>120000</v>
      </c>
      <c r="F105" s="420">
        <v>120000</v>
      </c>
      <c r="G105" s="420">
        <v>0</v>
      </c>
      <c r="H105" s="420">
        <v>0</v>
      </c>
      <c r="I105" s="420">
        <v>120000</v>
      </c>
      <c r="J105" s="570">
        <v>120000</v>
      </c>
      <c r="K105" s="420">
        <v>0</v>
      </c>
      <c r="L105" s="420">
        <v>0</v>
      </c>
      <c r="M105" s="420">
        <v>0</v>
      </c>
    </row>
    <row r="106" spans="1:13">
      <c r="A106" s="569" t="s">
        <v>1442</v>
      </c>
      <c r="B106" s="569" t="s">
        <v>1989</v>
      </c>
      <c r="C106" s="569" t="s">
        <v>1990</v>
      </c>
      <c r="D106" s="569" t="s">
        <v>1480</v>
      </c>
      <c r="E106" s="420">
        <v>400000</v>
      </c>
      <c r="F106" s="420">
        <v>400000</v>
      </c>
      <c r="G106" s="420">
        <v>0</v>
      </c>
      <c r="H106" s="420">
        <v>0</v>
      </c>
      <c r="I106" s="420">
        <v>400000</v>
      </c>
      <c r="J106" s="570">
        <v>0</v>
      </c>
      <c r="K106" s="420">
        <v>0</v>
      </c>
      <c r="L106" s="420">
        <v>0</v>
      </c>
      <c r="M106" s="420">
        <v>0</v>
      </c>
    </row>
    <row r="107" spans="1:13">
      <c r="A107" s="569" t="s">
        <v>1442</v>
      </c>
      <c r="B107" s="569" t="s">
        <v>1991</v>
      </c>
      <c r="C107" s="569" t="s">
        <v>1992</v>
      </c>
      <c r="D107" s="569" t="s">
        <v>1480</v>
      </c>
      <c r="E107" s="420">
        <v>110000</v>
      </c>
      <c r="F107" s="420">
        <v>110000</v>
      </c>
      <c r="G107" s="420">
        <v>0</v>
      </c>
      <c r="H107" s="420">
        <v>0</v>
      </c>
      <c r="I107" s="420">
        <v>110000</v>
      </c>
      <c r="J107" s="570">
        <v>0</v>
      </c>
      <c r="K107" s="420">
        <v>0</v>
      </c>
      <c r="L107" s="420">
        <v>0</v>
      </c>
      <c r="M107" s="420">
        <v>0</v>
      </c>
    </row>
    <row r="108" spans="1:13">
      <c r="A108" s="569" t="s">
        <v>1442</v>
      </c>
      <c r="B108" s="569" t="s">
        <v>1993</v>
      </c>
      <c r="C108" s="569" t="s">
        <v>1994</v>
      </c>
      <c r="D108" s="569" t="s">
        <v>1480</v>
      </c>
      <c r="E108" s="420">
        <v>300000</v>
      </c>
      <c r="F108" s="420">
        <v>300000</v>
      </c>
      <c r="G108" s="420">
        <v>0</v>
      </c>
      <c r="H108" s="420">
        <v>0</v>
      </c>
      <c r="I108" s="420">
        <v>300000</v>
      </c>
      <c r="J108" s="570">
        <v>0</v>
      </c>
      <c r="K108" s="420">
        <v>0</v>
      </c>
      <c r="L108" s="420">
        <v>0</v>
      </c>
      <c r="M108" s="420">
        <v>0</v>
      </c>
    </row>
    <row r="109" spans="1:13">
      <c r="A109" s="569" t="s">
        <v>1442</v>
      </c>
      <c r="B109" s="569" t="s">
        <v>1995</v>
      </c>
      <c r="C109" s="569" t="s">
        <v>1996</v>
      </c>
      <c r="D109" s="569" t="s">
        <v>1480</v>
      </c>
      <c r="E109" s="420">
        <v>70000</v>
      </c>
      <c r="F109" s="420">
        <v>70000</v>
      </c>
      <c r="G109" s="420">
        <v>0</v>
      </c>
      <c r="H109" s="420">
        <v>0</v>
      </c>
      <c r="I109" s="420">
        <v>70000</v>
      </c>
      <c r="J109" s="570">
        <v>0</v>
      </c>
      <c r="K109" s="420">
        <v>0</v>
      </c>
      <c r="L109" s="420">
        <v>0</v>
      </c>
      <c r="M109" s="420">
        <v>0</v>
      </c>
    </row>
    <row r="110" spans="1:13">
      <c r="A110" s="569" t="s">
        <v>1442</v>
      </c>
      <c r="B110" s="569" t="s">
        <v>1997</v>
      </c>
      <c r="C110" s="569" t="s">
        <v>1998</v>
      </c>
      <c r="D110" s="569" t="s">
        <v>1480</v>
      </c>
      <c r="E110" s="420">
        <v>160000</v>
      </c>
      <c r="F110" s="420">
        <v>130000</v>
      </c>
      <c r="G110" s="420">
        <v>0</v>
      </c>
      <c r="H110" s="420">
        <v>0</v>
      </c>
      <c r="I110" s="420">
        <v>130000</v>
      </c>
      <c r="J110" s="570">
        <v>0</v>
      </c>
      <c r="K110" s="420">
        <v>0</v>
      </c>
      <c r="L110" s="420">
        <v>130000</v>
      </c>
      <c r="M110" s="420">
        <v>0</v>
      </c>
    </row>
    <row r="111" spans="1:13">
      <c r="A111" s="569" t="s">
        <v>1442</v>
      </c>
      <c r="B111" s="569" t="s">
        <v>1999</v>
      </c>
      <c r="C111" s="569" t="s">
        <v>2000</v>
      </c>
      <c r="D111" s="569" t="s">
        <v>1480</v>
      </c>
      <c r="E111" s="420">
        <v>70000</v>
      </c>
      <c r="F111" s="420">
        <v>70000</v>
      </c>
      <c r="G111" s="420">
        <v>0</v>
      </c>
      <c r="H111" s="420">
        <v>0</v>
      </c>
      <c r="I111" s="420">
        <v>70000</v>
      </c>
      <c r="J111" s="570">
        <v>0</v>
      </c>
      <c r="K111" s="420">
        <v>0</v>
      </c>
      <c r="L111" s="420">
        <v>0</v>
      </c>
      <c r="M111" s="420">
        <v>0</v>
      </c>
    </row>
    <row r="112" spans="1:13">
      <c r="A112" s="569" t="s">
        <v>1442</v>
      </c>
      <c r="B112" s="569" t="s">
        <v>2001</v>
      </c>
      <c r="C112" s="569" t="s">
        <v>2002</v>
      </c>
      <c r="D112" s="569" t="s">
        <v>1480</v>
      </c>
      <c r="E112" s="420">
        <v>80000</v>
      </c>
      <c r="F112" s="420">
        <v>80000</v>
      </c>
      <c r="G112" s="420">
        <v>0</v>
      </c>
      <c r="H112" s="420">
        <v>0</v>
      </c>
      <c r="I112" s="420">
        <v>80000</v>
      </c>
      <c r="J112" s="570">
        <v>0</v>
      </c>
      <c r="K112" s="420">
        <v>0</v>
      </c>
      <c r="L112" s="420">
        <v>0</v>
      </c>
      <c r="M112" s="420">
        <v>80000</v>
      </c>
    </row>
    <row r="113" spans="1:13">
      <c r="A113" s="569" t="s">
        <v>1442</v>
      </c>
      <c r="B113" s="569" t="s">
        <v>2003</v>
      </c>
      <c r="C113" s="569" t="s">
        <v>2000</v>
      </c>
      <c r="D113" s="569" t="s">
        <v>1480</v>
      </c>
      <c r="E113" s="420">
        <v>70000</v>
      </c>
      <c r="F113" s="420">
        <v>70000</v>
      </c>
      <c r="G113" s="420">
        <v>0</v>
      </c>
      <c r="H113" s="420">
        <v>0</v>
      </c>
      <c r="I113" s="420">
        <v>70000</v>
      </c>
      <c r="J113" s="570">
        <v>0</v>
      </c>
      <c r="K113" s="420">
        <v>0</v>
      </c>
      <c r="L113" s="420">
        <v>0</v>
      </c>
      <c r="M113" s="420">
        <v>0</v>
      </c>
    </row>
    <row r="114" spans="1:13">
      <c r="A114" s="569" t="s">
        <v>1442</v>
      </c>
      <c r="B114" s="569" t="s">
        <v>2004</v>
      </c>
      <c r="C114" s="569" t="s">
        <v>2000</v>
      </c>
      <c r="D114" s="569" t="s">
        <v>1480</v>
      </c>
      <c r="E114" s="420">
        <v>70000</v>
      </c>
      <c r="F114" s="420">
        <v>70000</v>
      </c>
      <c r="G114" s="420">
        <v>0</v>
      </c>
      <c r="H114" s="420">
        <v>0</v>
      </c>
      <c r="I114" s="420">
        <v>70000</v>
      </c>
      <c r="J114" s="570">
        <v>0</v>
      </c>
      <c r="K114" s="420">
        <v>0</v>
      </c>
      <c r="L114" s="420">
        <v>0</v>
      </c>
      <c r="M114" s="420">
        <v>0</v>
      </c>
    </row>
    <row r="115" spans="1:13">
      <c r="A115" s="569" t="s">
        <v>1442</v>
      </c>
      <c r="B115" s="569" t="s">
        <v>2005</v>
      </c>
      <c r="C115" s="569" t="s">
        <v>2006</v>
      </c>
      <c r="D115" s="569" t="s">
        <v>1480</v>
      </c>
      <c r="E115" s="420">
        <v>90000</v>
      </c>
      <c r="F115" s="420">
        <v>90000</v>
      </c>
      <c r="G115" s="420">
        <v>0</v>
      </c>
      <c r="H115" s="420">
        <v>0</v>
      </c>
      <c r="I115" s="420">
        <v>90000</v>
      </c>
      <c r="J115" s="570">
        <v>0</v>
      </c>
      <c r="K115" s="420">
        <v>0</v>
      </c>
      <c r="L115" s="420">
        <v>90000</v>
      </c>
      <c r="M115" s="420">
        <v>0</v>
      </c>
    </row>
    <row r="116" spans="1:13">
      <c r="A116" s="569" t="s">
        <v>1442</v>
      </c>
      <c r="B116" s="569" t="s">
        <v>2007</v>
      </c>
      <c r="C116" s="569" t="s">
        <v>1983</v>
      </c>
      <c r="D116" s="569" t="s">
        <v>1480</v>
      </c>
      <c r="E116" s="420">
        <v>130000</v>
      </c>
      <c r="F116" s="420">
        <v>130000</v>
      </c>
      <c r="G116" s="420">
        <v>0</v>
      </c>
      <c r="H116" s="420">
        <v>0</v>
      </c>
      <c r="I116" s="420">
        <v>130000</v>
      </c>
      <c r="J116" s="570">
        <v>0</v>
      </c>
      <c r="K116" s="420">
        <v>130000</v>
      </c>
      <c r="L116" s="420">
        <v>0</v>
      </c>
      <c r="M116" s="420">
        <v>0</v>
      </c>
    </row>
    <row r="117" spans="1:13">
      <c r="A117" s="569" t="s">
        <v>1442</v>
      </c>
      <c r="B117" s="569" t="s">
        <v>2008</v>
      </c>
      <c r="C117" s="569" t="s">
        <v>2009</v>
      </c>
      <c r="D117" s="569" t="s">
        <v>1480</v>
      </c>
      <c r="E117" s="420">
        <v>80000</v>
      </c>
      <c r="F117" s="420">
        <v>80000</v>
      </c>
      <c r="G117" s="420">
        <v>0</v>
      </c>
      <c r="H117" s="420">
        <v>0</v>
      </c>
      <c r="I117" s="420">
        <v>80000</v>
      </c>
      <c r="J117" s="570">
        <v>0</v>
      </c>
      <c r="K117" s="420">
        <v>0</v>
      </c>
      <c r="L117" s="420">
        <v>0</v>
      </c>
      <c r="M117" s="420">
        <v>0</v>
      </c>
    </row>
    <row r="118" spans="1:13">
      <c r="A118" s="569" t="s">
        <v>1442</v>
      </c>
      <c r="B118" s="569" t="s">
        <v>2010</v>
      </c>
      <c r="C118" s="569" t="s">
        <v>2011</v>
      </c>
      <c r="D118" s="569" t="s">
        <v>1512</v>
      </c>
      <c r="E118" s="420">
        <v>200000</v>
      </c>
      <c r="F118" s="420">
        <v>35000</v>
      </c>
      <c r="G118" s="420">
        <v>5000</v>
      </c>
      <c r="H118" s="420">
        <v>0</v>
      </c>
      <c r="I118" s="420">
        <v>40000</v>
      </c>
      <c r="J118" s="570">
        <v>40000</v>
      </c>
      <c r="K118" s="420">
        <v>0</v>
      </c>
      <c r="L118" s="420">
        <v>0</v>
      </c>
      <c r="M118" s="420">
        <v>0</v>
      </c>
    </row>
    <row r="119" spans="1:13">
      <c r="A119" s="571" t="s">
        <v>1442</v>
      </c>
      <c r="B119" s="571"/>
      <c r="C119" s="571"/>
      <c r="D119" s="571"/>
      <c r="E119" s="290">
        <f t="shared" ref="E119:M119" si="2">SUM(E40:E118)</f>
        <v>14091000</v>
      </c>
      <c r="F119" s="290">
        <f t="shared" si="2"/>
        <v>13603000</v>
      </c>
      <c r="G119" s="290">
        <f t="shared" si="2"/>
        <v>40000</v>
      </c>
      <c r="H119" s="290">
        <f t="shared" si="2"/>
        <v>0</v>
      </c>
      <c r="I119" s="290">
        <f t="shared" si="2"/>
        <v>13643000</v>
      </c>
      <c r="J119" s="572">
        <f t="shared" si="2"/>
        <v>2374000</v>
      </c>
      <c r="K119" s="290">
        <f t="shared" si="2"/>
        <v>2684000</v>
      </c>
      <c r="L119" s="290">
        <f t="shared" si="2"/>
        <v>2195000</v>
      </c>
      <c r="M119" s="290">
        <f t="shared" si="2"/>
        <v>1330000</v>
      </c>
    </row>
    <row r="121" spans="1:13">
      <c r="A121" s="569" t="s">
        <v>1444</v>
      </c>
      <c r="B121" s="420" t="s">
        <v>2012</v>
      </c>
      <c r="C121" s="420" t="s">
        <v>2013</v>
      </c>
      <c r="D121" s="420" t="s">
        <v>1480</v>
      </c>
      <c r="E121" s="420">
        <v>100000</v>
      </c>
      <c r="F121" s="420">
        <v>100000</v>
      </c>
      <c r="G121" s="420">
        <v>0</v>
      </c>
      <c r="H121" s="420">
        <v>0</v>
      </c>
      <c r="I121" s="420">
        <v>100000</v>
      </c>
      <c r="J121" s="570">
        <v>100000</v>
      </c>
      <c r="K121" s="420">
        <v>0</v>
      </c>
      <c r="L121" s="420">
        <v>0</v>
      </c>
      <c r="M121" s="420">
        <v>0</v>
      </c>
    </row>
    <row r="122" spans="1:13">
      <c r="A122" s="401">
        <v>1600</v>
      </c>
      <c r="B122" s="401"/>
      <c r="C122" s="401"/>
      <c r="D122" s="401"/>
      <c r="E122" s="290">
        <f>SUM(E121)</f>
        <v>100000</v>
      </c>
      <c r="F122" s="290">
        <f t="shared" ref="F122:M122" si="3">SUM(F121)</f>
        <v>100000</v>
      </c>
      <c r="G122" s="290">
        <f t="shared" si="3"/>
        <v>0</v>
      </c>
      <c r="H122" s="290">
        <f t="shared" si="3"/>
        <v>0</v>
      </c>
      <c r="I122" s="290">
        <f t="shared" si="3"/>
        <v>100000</v>
      </c>
      <c r="J122" s="572">
        <f t="shared" si="3"/>
        <v>100000</v>
      </c>
      <c r="K122" s="290">
        <f t="shared" si="3"/>
        <v>0</v>
      </c>
      <c r="L122" s="290">
        <f t="shared" si="3"/>
        <v>0</v>
      </c>
      <c r="M122" s="290">
        <f t="shared" si="3"/>
        <v>0</v>
      </c>
    </row>
    <row r="124" spans="1:13">
      <c r="A124" s="401" t="s">
        <v>2014</v>
      </c>
      <c r="B124" s="401"/>
      <c r="C124" s="401"/>
      <c r="D124" s="401"/>
      <c r="E124" s="290">
        <f t="shared" ref="E124:M124" si="4">SUM(E2:E122)/2</f>
        <v>23553000</v>
      </c>
      <c r="F124" s="290">
        <f t="shared" si="4"/>
        <v>22300000</v>
      </c>
      <c r="G124" s="290">
        <f t="shared" si="4"/>
        <v>45000</v>
      </c>
      <c r="H124" s="290">
        <f t="shared" si="4"/>
        <v>0</v>
      </c>
      <c r="I124" s="290">
        <f t="shared" si="4"/>
        <v>22345000</v>
      </c>
      <c r="J124" s="572">
        <f t="shared" si="4"/>
        <v>3989000</v>
      </c>
      <c r="K124" s="290">
        <f t="shared" si="4"/>
        <v>4520000</v>
      </c>
      <c r="L124" s="290">
        <f t="shared" si="4"/>
        <v>3311000</v>
      </c>
      <c r="M124" s="290">
        <f t="shared" si="4"/>
        <v>2165000</v>
      </c>
    </row>
  </sheetData>
  <pageMargins left="0.39370078740157483" right="0.39370078740157483" top="0.98425196850393704" bottom="0.98425196850393704" header="0.51181102362204722" footer="0.51181102362204722"/>
  <pageSetup paperSize="9" firstPageNumber="9" fitToHeight="0" orientation="landscape" r:id="rId1"/>
  <headerFooter alignWithMargins="0">
    <oddHeader>&amp;L&amp;"Arial,Fett"MIP 2013 - 2016&amp;C&amp;"Arial,Fett"Investitionsplanung&amp;R&amp;"Arial,Fett"Fahrzeuge - Maschinen - Mobilien
&amp;"Arial,Standard"&amp;8Beträge in  Franken</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40"/>
  <sheetViews>
    <sheetView zoomScaleNormal="100" workbookViewId="0"/>
  </sheetViews>
  <sheetFormatPr baseColWidth="10" defaultRowHeight="11.25"/>
  <cols>
    <col min="1" max="1" width="4.42578125" style="396" customWidth="1"/>
    <col min="2" max="2" width="8.42578125" style="396" bestFit="1" customWidth="1"/>
    <col min="3" max="3" width="37.42578125" style="396" bestFit="1" customWidth="1"/>
    <col min="4" max="4" width="3.7109375" style="396" bestFit="1" customWidth="1"/>
    <col min="5" max="5" width="9.7109375" style="525" bestFit="1" customWidth="1"/>
    <col min="6" max="6" width="9.7109375" style="525" customWidth="1"/>
    <col min="7" max="7" width="10.7109375" style="525" bestFit="1" customWidth="1"/>
    <col min="8" max="8" width="10.28515625" style="525" bestFit="1" customWidth="1"/>
    <col min="9" max="9" width="9.7109375" style="525" bestFit="1" customWidth="1"/>
    <col min="10" max="13" width="8.5703125" style="525" bestFit="1" customWidth="1"/>
    <col min="14" max="16384" width="11.42578125" style="396"/>
  </cols>
  <sheetData>
    <row r="1" spans="1:13" ht="22.5">
      <c r="A1" s="565" t="s">
        <v>1465</v>
      </c>
      <c r="B1" s="565" t="s">
        <v>1466</v>
      </c>
      <c r="C1" s="565" t="s">
        <v>1467</v>
      </c>
      <c r="D1" s="565" t="s">
        <v>1468</v>
      </c>
      <c r="E1" s="566" t="s">
        <v>1469</v>
      </c>
      <c r="F1" s="566" t="s">
        <v>1470</v>
      </c>
      <c r="G1" s="566" t="s">
        <v>1471</v>
      </c>
      <c r="H1" s="566" t="s">
        <v>1472</v>
      </c>
      <c r="I1" s="566" t="s">
        <v>1473</v>
      </c>
      <c r="J1" s="567" t="s">
        <v>1474</v>
      </c>
      <c r="K1" s="568" t="s">
        <v>1475</v>
      </c>
      <c r="L1" s="568" t="s">
        <v>1476</v>
      </c>
      <c r="M1" s="568" t="s">
        <v>1477</v>
      </c>
    </row>
    <row r="2" spans="1:13">
      <c r="A2" s="569"/>
      <c r="B2" s="569"/>
      <c r="C2" s="569"/>
      <c r="D2" s="569"/>
      <c r="E2" s="420"/>
      <c r="F2" s="420"/>
      <c r="G2" s="420"/>
      <c r="H2" s="420"/>
      <c r="I2" s="420"/>
      <c r="J2" s="570"/>
      <c r="K2" s="420"/>
      <c r="L2" s="420"/>
      <c r="M2" s="420"/>
    </row>
    <row r="3" spans="1:13">
      <c r="A3" s="569" t="s">
        <v>1436</v>
      </c>
      <c r="B3" s="569" t="s">
        <v>2015</v>
      </c>
      <c r="C3" s="569" t="s">
        <v>2016</v>
      </c>
      <c r="D3" s="569" t="s">
        <v>1480</v>
      </c>
      <c r="E3" s="420">
        <v>240000</v>
      </c>
      <c r="F3" s="420">
        <v>160000</v>
      </c>
      <c r="G3" s="420">
        <v>60000</v>
      </c>
      <c r="H3" s="420">
        <v>0</v>
      </c>
      <c r="I3" s="420">
        <v>220000</v>
      </c>
      <c r="J3" s="570">
        <v>110000</v>
      </c>
      <c r="K3" s="420">
        <v>110000</v>
      </c>
      <c r="L3" s="420">
        <v>0</v>
      </c>
      <c r="M3" s="420">
        <v>0</v>
      </c>
    </row>
    <row r="4" spans="1:13">
      <c r="A4" s="569" t="s">
        <v>1436</v>
      </c>
      <c r="B4" s="569" t="s">
        <v>2017</v>
      </c>
      <c r="C4" s="569" t="s">
        <v>2018</v>
      </c>
      <c r="D4" s="569" t="s">
        <v>1480</v>
      </c>
      <c r="E4" s="420">
        <v>658000</v>
      </c>
      <c r="F4" s="420">
        <v>419250</v>
      </c>
      <c r="G4" s="420">
        <v>238750</v>
      </c>
      <c r="H4" s="420"/>
      <c r="I4" s="420">
        <v>658000</v>
      </c>
      <c r="J4" s="570">
        <v>200000</v>
      </c>
      <c r="K4" s="420">
        <v>180000</v>
      </c>
      <c r="L4" s="420">
        <v>80000</v>
      </c>
      <c r="M4" s="420">
        <v>198000</v>
      </c>
    </row>
    <row r="5" spans="1:13">
      <c r="A5" s="571" t="s">
        <v>1436</v>
      </c>
      <c r="B5" s="571"/>
      <c r="C5" s="571"/>
      <c r="D5" s="571"/>
      <c r="E5" s="290">
        <f>SUM(E2:E4)</f>
        <v>898000</v>
      </c>
      <c r="F5" s="290">
        <f>SUM(F2:F4)</f>
        <v>579250</v>
      </c>
      <c r="G5" s="290">
        <f>SUM(G2:G4)</f>
        <v>298750</v>
      </c>
      <c r="H5" s="290">
        <f>SUM(H2:H3)</f>
        <v>0</v>
      </c>
      <c r="I5" s="290">
        <f t="shared" ref="I5:M5" si="0">SUM(I2:I4)</f>
        <v>878000</v>
      </c>
      <c r="J5" s="572">
        <f t="shared" si="0"/>
        <v>310000</v>
      </c>
      <c r="K5" s="290">
        <f t="shared" si="0"/>
        <v>290000</v>
      </c>
      <c r="L5" s="290">
        <f t="shared" si="0"/>
        <v>80000</v>
      </c>
      <c r="M5" s="290">
        <f t="shared" si="0"/>
        <v>198000</v>
      </c>
    </row>
    <row r="7" spans="1:13" s="295" customFormat="1" ht="12" customHeight="1">
      <c r="A7" s="569" t="s">
        <v>1437</v>
      </c>
      <c r="B7" s="569" t="s">
        <v>2019</v>
      </c>
      <c r="C7" s="569" t="s">
        <v>2020</v>
      </c>
      <c r="D7" s="569" t="s">
        <v>1501</v>
      </c>
      <c r="E7" s="420">
        <v>250000</v>
      </c>
      <c r="F7" s="420">
        <v>25000</v>
      </c>
      <c r="G7" s="420">
        <v>25000</v>
      </c>
      <c r="H7" s="420">
        <v>0</v>
      </c>
      <c r="I7" s="420">
        <v>50000</v>
      </c>
      <c r="J7" s="570">
        <v>50000</v>
      </c>
      <c r="K7" s="420">
        <v>0</v>
      </c>
      <c r="L7" s="420">
        <v>0</v>
      </c>
      <c r="M7" s="420">
        <v>0</v>
      </c>
    </row>
    <row r="8" spans="1:13">
      <c r="A8" s="571" t="s">
        <v>1437</v>
      </c>
      <c r="B8" s="571"/>
      <c r="C8" s="571"/>
      <c r="D8" s="571"/>
      <c r="E8" s="290">
        <f t="shared" ref="E8:M8" si="1">SUM(E7:E7)</f>
        <v>250000</v>
      </c>
      <c r="F8" s="290">
        <f t="shared" si="1"/>
        <v>25000</v>
      </c>
      <c r="G8" s="290">
        <f t="shared" si="1"/>
        <v>25000</v>
      </c>
      <c r="H8" s="290">
        <f t="shared" si="1"/>
        <v>0</v>
      </c>
      <c r="I8" s="290">
        <f t="shared" si="1"/>
        <v>50000</v>
      </c>
      <c r="J8" s="572">
        <f t="shared" si="1"/>
        <v>50000</v>
      </c>
      <c r="K8" s="290">
        <f t="shared" si="1"/>
        <v>0</v>
      </c>
      <c r="L8" s="290">
        <f t="shared" si="1"/>
        <v>0</v>
      </c>
      <c r="M8" s="290">
        <f t="shared" si="1"/>
        <v>0</v>
      </c>
    </row>
    <row r="10" spans="1:13">
      <c r="A10" s="569" t="s">
        <v>1438</v>
      </c>
      <c r="B10" s="569" t="s">
        <v>2021</v>
      </c>
      <c r="C10" s="569" t="s">
        <v>2022</v>
      </c>
      <c r="D10" s="569" t="s">
        <v>1480</v>
      </c>
      <c r="E10" s="420">
        <v>63000</v>
      </c>
      <c r="F10" s="420">
        <v>58000</v>
      </c>
      <c r="G10" s="420">
        <v>5000</v>
      </c>
      <c r="H10" s="420">
        <v>0</v>
      </c>
      <c r="I10" s="420">
        <v>63000</v>
      </c>
      <c r="J10" s="570">
        <v>0</v>
      </c>
      <c r="K10" s="420">
        <v>63000</v>
      </c>
      <c r="L10" s="420">
        <v>0</v>
      </c>
      <c r="M10" s="420">
        <v>0</v>
      </c>
    </row>
    <row r="11" spans="1:13">
      <c r="A11" s="569" t="s">
        <v>1438</v>
      </c>
      <c r="B11" s="569" t="s">
        <v>2023</v>
      </c>
      <c r="C11" s="569" t="s">
        <v>2024</v>
      </c>
      <c r="D11" s="569" t="s">
        <v>1480</v>
      </c>
      <c r="E11" s="420">
        <v>56000</v>
      </c>
      <c r="F11" s="420">
        <v>51000</v>
      </c>
      <c r="G11" s="420">
        <v>5000</v>
      </c>
      <c r="H11" s="420">
        <v>0</v>
      </c>
      <c r="I11" s="420">
        <v>56000</v>
      </c>
      <c r="J11" s="570">
        <v>0</v>
      </c>
      <c r="K11" s="420">
        <v>56000</v>
      </c>
      <c r="L11" s="420">
        <v>0</v>
      </c>
      <c r="M11" s="420">
        <v>0</v>
      </c>
    </row>
    <row r="12" spans="1:13">
      <c r="A12" s="571" t="s">
        <v>1438</v>
      </c>
      <c r="B12" s="571"/>
      <c r="C12" s="571"/>
      <c r="D12" s="571"/>
      <c r="E12" s="290">
        <f t="shared" ref="E12:M12" si="2">SUM(E10:E11)</f>
        <v>119000</v>
      </c>
      <c r="F12" s="290">
        <f t="shared" si="2"/>
        <v>109000</v>
      </c>
      <c r="G12" s="290">
        <f t="shared" si="2"/>
        <v>10000</v>
      </c>
      <c r="H12" s="290">
        <f t="shared" si="2"/>
        <v>0</v>
      </c>
      <c r="I12" s="290">
        <f t="shared" si="2"/>
        <v>119000</v>
      </c>
      <c r="J12" s="572">
        <f t="shared" si="2"/>
        <v>0</v>
      </c>
      <c r="K12" s="290">
        <f t="shared" si="2"/>
        <v>119000</v>
      </c>
      <c r="L12" s="290">
        <f t="shared" si="2"/>
        <v>0</v>
      </c>
      <c r="M12" s="290">
        <f t="shared" si="2"/>
        <v>0</v>
      </c>
    </row>
    <row r="14" spans="1:13">
      <c r="A14" s="569" t="s">
        <v>1440</v>
      </c>
      <c r="B14" s="569" t="s">
        <v>2025</v>
      </c>
      <c r="C14" s="569" t="s">
        <v>2026</v>
      </c>
      <c r="D14" s="569" t="s">
        <v>1501</v>
      </c>
      <c r="E14" s="420">
        <v>2500000</v>
      </c>
      <c r="F14" s="420">
        <v>1300000</v>
      </c>
      <c r="G14" s="420">
        <v>0</v>
      </c>
      <c r="H14" s="420">
        <v>0</v>
      </c>
      <c r="I14" s="420">
        <v>1300000</v>
      </c>
      <c r="J14" s="570">
        <v>400000</v>
      </c>
      <c r="K14" s="420">
        <v>900000</v>
      </c>
      <c r="L14" s="420">
        <v>0</v>
      </c>
      <c r="M14" s="420">
        <v>0</v>
      </c>
    </row>
    <row r="15" spans="1:13" ht="12" customHeight="1">
      <c r="A15" s="569" t="s">
        <v>1440</v>
      </c>
      <c r="B15" s="569" t="s">
        <v>2027</v>
      </c>
      <c r="C15" s="569" t="s">
        <v>2028</v>
      </c>
      <c r="D15" s="569" t="s">
        <v>1480</v>
      </c>
      <c r="E15" s="420">
        <v>1290000</v>
      </c>
      <c r="F15" s="420">
        <v>1290000</v>
      </c>
      <c r="G15" s="420">
        <v>0</v>
      </c>
      <c r="H15" s="420">
        <v>0</v>
      </c>
      <c r="I15" s="420">
        <v>1290000</v>
      </c>
      <c r="J15" s="570">
        <v>200000</v>
      </c>
      <c r="K15" s="420">
        <v>640000</v>
      </c>
      <c r="L15" s="420">
        <v>450000</v>
      </c>
      <c r="M15" s="420">
        <v>0</v>
      </c>
    </row>
    <row r="16" spans="1:13" ht="12" customHeight="1">
      <c r="A16" s="569" t="s">
        <v>1440</v>
      </c>
      <c r="B16" s="569" t="s">
        <v>2029</v>
      </c>
      <c r="C16" s="569" t="s">
        <v>2030</v>
      </c>
      <c r="D16" s="569" t="s">
        <v>1480</v>
      </c>
      <c r="E16" s="420">
        <v>1000000</v>
      </c>
      <c r="F16" s="420">
        <v>1000000</v>
      </c>
      <c r="G16" s="420">
        <v>0</v>
      </c>
      <c r="H16" s="420">
        <v>0</v>
      </c>
      <c r="I16" s="420">
        <v>1000000</v>
      </c>
      <c r="J16" s="570">
        <v>0</v>
      </c>
      <c r="K16" s="420">
        <v>0</v>
      </c>
      <c r="L16" s="420">
        <v>660000</v>
      </c>
      <c r="M16" s="420">
        <v>340000</v>
      </c>
    </row>
    <row r="17" spans="1:13" ht="12" customHeight="1">
      <c r="A17" s="569" t="s">
        <v>1440</v>
      </c>
      <c r="B17" s="569" t="s">
        <v>2031</v>
      </c>
      <c r="C17" s="569" t="s">
        <v>2032</v>
      </c>
      <c r="D17" s="569" t="s">
        <v>1480</v>
      </c>
      <c r="E17" s="420">
        <v>2800000</v>
      </c>
      <c r="F17" s="420">
        <v>2300000</v>
      </c>
      <c r="G17" s="420">
        <v>500000</v>
      </c>
      <c r="H17" s="420">
        <v>0</v>
      </c>
      <c r="I17" s="420">
        <v>2800000</v>
      </c>
      <c r="J17" s="570">
        <v>0</v>
      </c>
      <c r="K17" s="420">
        <v>0</v>
      </c>
      <c r="L17" s="420">
        <v>350000</v>
      </c>
      <c r="M17" s="420">
        <v>2450000</v>
      </c>
    </row>
    <row r="18" spans="1:13" ht="12" customHeight="1">
      <c r="A18" s="569" t="s">
        <v>1440</v>
      </c>
      <c r="B18" s="569" t="s">
        <v>2033</v>
      </c>
      <c r="C18" s="569" t="s">
        <v>2034</v>
      </c>
      <c r="D18" s="569" t="s">
        <v>1480</v>
      </c>
      <c r="E18" s="420">
        <v>150000</v>
      </c>
      <c r="F18" s="420">
        <v>150000</v>
      </c>
      <c r="G18" s="420">
        <v>0</v>
      </c>
      <c r="H18" s="420">
        <v>0</v>
      </c>
      <c r="I18" s="420">
        <v>150000</v>
      </c>
      <c r="J18" s="570">
        <v>0</v>
      </c>
      <c r="K18" s="420">
        <v>0</v>
      </c>
      <c r="L18" s="420">
        <v>0</v>
      </c>
      <c r="M18" s="420">
        <v>0</v>
      </c>
    </row>
    <row r="19" spans="1:13" ht="12" customHeight="1">
      <c r="A19" s="569" t="s">
        <v>1440</v>
      </c>
      <c r="B19" s="569" t="s">
        <v>2035</v>
      </c>
      <c r="C19" s="569" t="s">
        <v>2036</v>
      </c>
      <c r="D19" s="569" t="s">
        <v>1501</v>
      </c>
      <c r="E19" s="420">
        <v>8504000</v>
      </c>
      <c r="F19" s="420">
        <v>750000</v>
      </c>
      <c r="G19" s="420">
        <v>0</v>
      </c>
      <c r="H19" s="420">
        <v>0</v>
      </c>
      <c r="I19" s="420">
        <v>750000</v>
      </c>
      <c r="J19" s="570">
        <v>600000</v>
      </c>
      <c r="K19" s="420">
        <v>75000</v>
      </c>
      <c r="L19" s="420">
        <v>75000</v>
      </c>
      <c r="M19" s="420">
        <v>0</v>
      </c>
    </row>
    <row r="20" spans="1:13" ht="12" customHeight="1">
      <c r="A20" s="569" t="s">
        <v>1440</v>
      </c>
      <c r="B20" s="569" t="s">
        <v>2037</v>
      </c>
      <c r="C20" s="569" t="s">
        <v>2038</v>
      </c>
      <c r="D20" s="569" t="s">
        <v>1480</v>
      </c>
      <c r="E20" s="420">
        <v>180000</v>
      </c>
      <c r="F20" s="420">
        <v>90000</v>
      </c>
      <c r="G20" s="420">
        <v>0</v>
      </c>
      <c r="H20" s="420">
        <v>0</v>
      </c>
      <c r="I20" s="420">
        <v>90000</v>
      </c>
      <c r="J20" s="570">
        <v>90000</v>
      </c>
      <c r="K20" s="420">
        <v>0</v>
      </c>
      <c r="L20" s="420">
        <v>0</v>
      </c>
      <c r="M20" s="420">
        <v>0</v>
      </c>
    </row>
    <row r="21" spans="1:13">
      <c r="A21" s="571" t="s">
        <v>1440</v>
      </c>
      <c r="B21" s="571"/>
      <c r="C21" s="571"/>
      <c r="D21" s="571"/>
      <c r="E21" s="290">
        <f t="shared" ref="E21:M21" si="3">SUM(E14:E20)</f>
        <v>16424000</v>
      </c>
      <c r="F21" s="290">
        <f t="shared" si="3"/>
        <v>6880000</v>
      </c>
      <c r="G21" s="290">
        <f t="shared" si="3"/>
        <v>500000</v>
      </c>
      <c r="H21" s="290">
        <f t="shared" si="3"/>
        <v>0</v>
      </c>
      <c r="I21" s="290">
        <f t="shared" si="3"/>
        <v>7380000</v>
      </c>
      <c r="J21" s="572">
        <f t="shared" si="3"/>
        <v>1290000</v>
      </c>
      <c r="K21" s="290">
        <f t="shared" si="3"/>
        <v>1615000</v>
      </c>
      <c r="L21" s="290">
        <f t="shared" si="3"/>
        <v>1535000</v>
      </c>
      <c r="M21" s="290">
        <f t="shared" si="3"/>
        <v>2790000</v>
      </c>
    </row>
    <row r="23" spans="1:13">
      <c r="A23" s="569" t="s">
        <v>1442</v>
      </c>
      <c r="B23" s="569" t="s">
        <v>2039</v>
      </c>
      <c r="C23" s="569" t="s">
        <v>2040</v>
      </c>
      <c r="D23" s="569" t="s">
        <v>1480</v>
      </c>
      <c r="E23" s="420">
        <v>148000</v>
      </c>
      <c r="F23" s="420">
        <v>148000</v>
      </c>
      <c r="G23" s="420">
        <v>0</v>
      </c>
      <c r="H23" s="420">
        <v>0</v>
      </c>
      <c r="I23" s="420">
        <v>148000</v>
      </c>
      <c r="J23" s="570">
        <v>0</v>
      </c>
      <c r="K23" s="420">
        <v>148000</v>
      </c>
      <c r="L23" s="420">
        <v>0</v>
      </c>
      <c r="M23" s="420">
        <v>0</v>
      </c>
    </row>
    <row r="24" spans="1:13">
      <c r="A24" s="569" t="s">
        <v>1442</v>
      </c>
      <c r="B24" s="569" t="s">
        <v>2041</v>
      </c>
      <c r="C24" s="569" t="s">
        <v>2042</v>
      </c>
      <c r="D24" s="569" t="s">
        <v>1480</v>
      </c>
      <c r="E24" s="420">
        <v>730000</v>
      </c>
      <c r="F24" s="420">
        <v>595000</v>
      </c>
      <c r="G24" s="420">
        <v>60000</v>
      </c>
      <c r="H24" s="420">
        <v>0</v>
      </c>
      <c r="I24" s="420">
        <v>655000</v>
      </c>
      <c r="J24" s="570">
        <v>235000</v>
      </c>
      <c r="K24" s="420">
        <v>310000</v>
      </c>
      <c r="L24" s="420">
        <v>110000</v>
      </c>
      <c r="M24" s="420">
        <v>0</v>
      </c>
    </row>
    <row r="25" spans="1:13">
      <c r="A25" s="569" t="s">
        <v>1442</v>
      </c>
      <c r="B25" s="569" t="s">
        <v>2043</v>
      </c>
      <c r="C25" s="569" t="s">
        <v>2044</v>
      </c>
      <c r="D25" s="569" t="s">
        <v>1480</v>
      </c>
      <c r="E25" s="420">
        <v>120000</v>
      </c>
      <c r="F25" s="420">
        <v>80000</v>
      </c>
      <c r="G25" s="420">
        <v>40000</v>
      </c>
      <c r="H25" s="420">
        <v>0</v>
      </c>
      <c r="I25" s="420">
        <v>120000</v>
      </c>
      <c r="J25" s="570">
        <v>0</v>
      </c>
      <c r="K25" s="420">
        <v>0</v>
      </c>
      <c r="L25" s="420">
        <v>20000</v>
      </c>
      <c r="M25" s="420">
        <v>100000</v>
      </c>
    </row>
    <row r="26" spans="1:13">
      <c r="A26" s="571" t="s">
        <v>1442</v>
      </c>
      <c r="B26" s="571"/>
      <c r="C26" s="571"/>
      <c r="D26" s="571"/>
      <c r="E26" s="290">
        <f t="shared" ref="E26:M26" si="4">SUM(E23:E25)</f>
        <v>998000</v>
      </c>
      <c r="F26" s="290">
        <f t="shared" si="4"/>
        <v>823000</v>
      </c>
      <c r="G26" s="290">
        <f t="shared" si="4"/>
        <v>100000</v>
      </c>
      <c r="H26" s="290">
        <f t="shared" si="4"/>
        <v>0</v>
      </c>
      <c r="I26" s="290">
        <f t="shared" si="4"/>
        <v>923000</v>
      </c>
      <c r="J26" s="572">
        <f t="shared" si="4"/>
        <v>235000</v>
      </c>
      <c r="K26" s="290">
        <f t="shared" si="4"/>
        <v>458000</v>
      </c>
      <c r="L26" s="290">
        <f t="shared" si="4"/>
        <v>130000</v>
      </c>
      <c r="M26" s="290">
        <f t="shared" si="4"/>
        <v>100000</v>
      </c>
    </row>
    <row r="28" spans="1:13">
      <c r="A28" s="569" t="s">
        <v>1444</v>
      </c>
      <c r="B28" s="569" t="s">
        <v>2045</v>
      </c>
      <c r="C28" s="569" t="s">
        <v>2046</v>
      </c>
      <c r="D28" s="569" t="s">
        <v>1512</v>
      </c>
      <c r="E28" s="420">
        <v>2250000</v>
      </c>
      <c r="F28" s="420">
        <v>400000</v>
      </c>
      <c r="G28" s="420">
        <v>200000</v>
      </c>
      <c r="H28" s="420">
        <v>0</v>
      </c>
      <c r="I28" s="420">
        <v>600000</v>
      </c>
      <c r="J28" s="570">
        <v>600000</v>
      </c>
      <c r="K28" s="420">
        <v>0</v>
      </c>
      <c r="L28" s="420">
        <v>0</v>
      </c>
      <c r="M28" s="420">
        <v>0</v>
      </c>
    </row>
    <row r="29" spans="1:13">
      <c r="A29" s="569" t="s">
        <v>1444</v>
      </c>
      <c r="B29" s="569" t="s">
        <v>2047</v>
      </c>
      <c r="C29" s="569" t="s">
        <v>2048</v>
      </c>
      <c r="D29" s="569" t="s">
        <v>1480</v>
      </c>
      <c r="E29" s="420">
        <v>600000</v>
      </c>
      <c r="F29" s="420">
        <v>270000</v>
      </c>
      <c r="G29" s="420">
        <v>30000</v>
      </c>
      <c r="H29" s="420">
        <v>0</v>
      </c>
      <c r="I29" s="420">
        <v>300000</v>
      </c>
      <c r="J29" s="570">
        <v>300000</v>
      </c>
      <c r="K29" s="420">
        <v>0</v>
      </c>
      <c r="L29" s="420">
        <v>0</v>
      </c>
      <c r="M29" s="420">
        <v>0</v>
      </c>
    </row>
    <row r="30" spans="1:13">
      <c r="A30" s="569" t="s">
        <v>1444</v>
      </c>
      <c r="B30" s="569" t="s">
        <v>2049</v>
      </c>
      <c r="C30" s="569" t="s">
        <v>2050</v>
      </c>
      <c r="D30" s="569" t="s">
        <v>1480</v>
      </c>
      <c r="E30" s="420">
        <v>300000</v>
      </c>
      <c r="F30" s="420">
        <v>250000</v>
      </c>
      <c r="G30" s="420">
        <v>50000</v>
      </c>
      <c r="H30" s="420">
        <v>0</v>
      </c>
      <c r="I30" s="420">
        <v>300000</v>
      </c>
      <c r="J30" s="570">
        <v>300000</v>
      </c>
      <c r="K30" s="420">
        <v>0</v>
      </c>
      <c r="L30" s="420">
        <v>0</v>
      </c>
      <c r="M30" s="420">
        <v>0</v>
      </c>
    </row>
    <row r="31" spans="1:13">
      <c r="A31" s="569" t="s">
        <v>1444</v>
      </c>
      <c r="B31" s="569" t="s">
        <v>2051</v>
      </c>
      <c r="C31" s="569" t="s">
        <v>2052</v>
      </c>
      <c r="D31" s="569" t="s">
        <v>1480</v>
      </c>
      <c r="E31" s="420">
        <v>900000</v>
      </c>
      <c r="F31" s="420">
        <v>801000</v>
      </c>
      <c r="G31" s="420">
        <v>99000</v>
      </c>
      <c r="H31" s="420">
        <v>0</v>
      </c>
      <c r="I31" s="420">
        <v>900000</v>
      </c>
      <c r="J31" s="570">
        <v>200000</v>
      </c>
      <c r="K31" s="420">
        <v>700000</v>
      </c>
      <c r="L31" s="420">
        <v>0</v>
      </c>
      <c r="M31" s="420">
        <v>0</v>
      </c>
    </row>
    <row r="32" spans="1:13">
      <c r="A32" s="569" t="s">
        <v>1444</v>
      </c>
      <c r="B32" s="569" t="s">
        <v>2053</v>
      </c>
      <c r="C32" s="569" t="s">
        <v>2054</v>
      </c>
      <c r="D32" s="569" t="s">
        <v>1480</v>
      </c>
      <c r="E32" s="420">
        <v>850000</v>
      </c>
      <c r="F32" s="420">
        <v>160000</v>
      </c>
      <c r="G32" s="420">
        <v>90000</v>
      </c>
      <c r="H32" s="420">
        <v>0</v>
      </c>
      <c r="I32" s="420">
        <v>250000</v>
      </c>
      <c r="J32" s="570">
        <v>100000</v>
      </c>
      <c r="K32" s="420">
        <v>150000</v>
      </c>
      <c r="L32" s="420">
        <v>0</v>
      </c>
      <c r="M32" s="420">
        <v>0</v>
      </c>
    </row>
    <row r="33" spans="1:13">
      <c r="A33" s="569" t="s">
        <v>1444</v>
      </c>
      <c r="B33" s="569" t="s">
        <v>2055</v>
      </c>
      <c r="C33" s="569" t="s">
        <v>2056</v>
      </c>
      <c r="D33" s="569" t="s">
        <v>1480</v>
      </c>
      <c r="E33" s="420">
        <v>700000</v>
      </c>
      <c r="F33" s="420">
        <v>500000</v>
      </c>
      <c r="G33" s="420">
        <v>200000</v>
      </c>
      <c r="H33" s="420">
        <v>0</v>
      </c>
      <c r="I33" s="420">
        <v>700000</v>
      </c>
      <c r="J33" s="570">
        <v>100000</v>
      </c>
      <c r="K33" s="420">
        <v>600000</v>
      </c>
      <c r="L33" s="420">
        <v>0</v>
      </c>
      <c r="M33" s="420">
        <v>0</v>
      </c>
    </row>
    <row r="34" spans="1:13">
      <c r="A34" s="569" t="s">
        <v>1444</v>
      </c>
      <c r="B34" s="569" t="s">
        <v>2057</v>
      </c>
      <c r="C34" s="569" t="s">
        <v>2058</v>
      </c>
      <c r="D34" s="569" t="s">
        <v>1480</v>
      </c>
      <c r="E34" s="420">
        <v>1300000</v>
      </c>
      <c r="F34" s="420">
        <v>700000</v>
      </c>
      <c r="G34" s="420">
        <v>100000</v>
      </c>
      <c r="H34" s="420">
        <v>0</v>
      </c>
      <c r="I34" s="420">
        <v>800000</v>
      </c>
      <c r="J34" s="570">
        <v>800000</v>
      </c>
      <c r="K34" s="420">
        <v>0</v>
      </c>
      <c r="L34" s="420">
        <v>0</v>
      </c>
      <c r="M34" s="420">
        <v>0</v>
      </c>
    </row>
    <row r="35" spans="1:13">
      <c r="A35" s="569" t="s">
        <v>1444</v>
      </c>
      <c r="B35" s="569" t="s">
        <v>2059</v>
      </c>
      <c r="C35" s="569" t="s">
        <v>2060</v>
      </c>
      <c r="D35" s="569" t="s">
        <v>1480</v>
      </c>
      <c r="E35" s="420">
        <v>600000</v>
      </c>
      <c r="F35" s="420">
        <v>500000</v>
      </c>
      <c r="G35" s="420">
        <v>100000</v>
      </c>
      <c r="H35" s="420">
        <v>0</v>
      </c>
      <c r="I35" s="420">
        <v>600000</v>
      </c>
      <c r="J35" s="570">
        <v>300000</v>
      </c>
      <c r="K35" s="420">
        <v>300000</v>
      </c>
      <c r="L35" s="420">
        <v>0</v>
      </c>
      <c r="M35" s="420">
        <v>0</v>
      </c>
    </row>
    <row r="36" spans="1:13">
      <c r="A36" s="569" t="s">
        <v>1444</v>
      </c>
      <c r="B36" s="569" t="s">
        <v>2061</v>
      </c>
      <c r="C36" s="569" t="s">
        <v>623</v>
      </c>
      <c r="D36" s="569" t="s">
        <v>1480</v>
      </c>
      <c r="E36" s="420">
        <v>875000</v>
      </c>
      <c r="F36" s="420">
        <v>600000</v>
      </c>
      <c r="G36" s="420">
        <v>275000</v>
      </c>
      <c r="H36" s="420">
        <v>0</v>
      </c>
      <c r="I36" s="420">
        <v>875000</v>
      </c>
      <c r="J36" s="570">
        <v>275000</v>
      </c>
      <c r="K36" s="420">
        <v>350000</v>
      </c>
      <c r="L36" s="420">
        <v>250000</v>
      </c>
      <c r="M36" s="420">
        <v>0</v>
      </c>
    </row>
    <row r="37" spans="1:13">
      <c r="A37" s="569" t="s">
        <v>1444</v>
      </c>
      <c r="B37" s="569" t="s">
        <v>2062</v>
      </c>
      <c r="C37" s="569" t="s">
        <v>2063</v>
      </c>
      <c r="D37" s="569" t="s">
        <v>1480</v>
      </c>
      <c r="E37" s="420">
        <v>700000</v>
      </c>
      <c r="F37" s="420">
        <v>500000</v>
      </c>
      <c r="G37" s="420">
        <v>200000</v>
      </c>
      <c r="H37" s="420">
        <v>0</v>
      </c>
      <c r="I37" s="420">
        <v>700000</v>
      </c>
      <c r="J37" s="570">
        <v>150000</v>
      </c>
      <c r="K37" s="420">
        <v>550000</v>
      </c>
      <c r="L37" s="420">
        <v>0</v>
      </c>
      <c r="M37" s="420">
        <v>0</v>
      </c>
    </row>
    <row r="38" spans="1:13">
      <c r="A38" s="401">
        <v>1600</v>
      </c>
      <c r="B38" s="401"/>
      <c r="C38" s="401"/>
      <c r="D38" s="401"/>
      <c r="E38" s="290">
        <f t="shared" ref="E38:M38" si="5">SUM(E28:E37)</f>
        <v>9075000</v>
      </c>
      <c r="F38" s="290">
        <f t="shared" si="5"/>
        <v>4681000</v>
      </c>
      <c r="G38" s="290">
        <f t="shared" si="5"/>
        <v>1344000</v>
      </c>
      <c r="H38" s="290">
        <f t="shared" si="5"/>
        <v>0</v>
      </c>
      <c r="I38" s="290">
        <f t="shared" si="5"/>
        <v>6025000</v>
      </c>
      <c r="J38" s="572">
        <f t="shared" si="5"/>
        <v>3125000</v>
      </c>
      <c r="K38" s="290">
        <f t="shared" si="5"/>
        <v>2650000</v>
      </c>
      <c r="L38" s="290">
        <f t="shared" si="5"/>
        <v>250000</v>
      </c>
      <c r="M38" s="290">
        <f t="shared" si="5"/>
        <v>0</v>
      </c>
    </row>
    <row r="40" spans="1:13">
      <c r="A40" s="401" t="s">
        <v>2064</v>
      </c>
      <c r="B40" s="401"/>
      <c r="C40" s="401"/>
      <c r="D40" s="401"/>
      <c r="E40" s="290">
        <f t="shared" ref="E40:M40" si="6">SUM(E2:E38)/2</f>
        <v>27764000</v>
      </c>
      <c r="F40" s="290">
        <f t="shared" si="6"/>
        <v>13097250</v>
      </c>
      <c r="G40" s="290">
        <f t="shared" si="6"/>
        <v>2277750</v>
      </c>
      <c r="H40" s="290">
        <f t="shared" si="6"/>
        <v>0</v>
      </c>
      <c r="I40" s="290">
        <f t="shared" si="6"/>
        <v>15375000</v>
      </c>
      <c r="J40" s="572">
        <f t="shared" si="6"/>
        <v>5010000</v>
      </c>
      <c r="K40" s="290">
        <f t="shared" si="6"/>
        <v>5132000</v>
      </c>
      <c r="L40" s="290">
        <f t="shared" si="6"/>
        <v>1995000</v>
      </c>
      <c r="M40" s="290">
        <f t="shared" si="6"/>
        <v>3088000</v>
      </c>
    </row>
  </sheetData>
  <pageMargins left="0.39370078740157483" right="0.39370078740157483" top="0.98425196850393704" bottom="0.98425196850393704" header="0.51181102362204722" footer="0.51181102362204722"/>
  <pageSetup paperSize="9" firstPageNumber="12" fitToHeight="0" orientation="landscape" r:id="rId1"/>
  <headerFooter alignWithMargins="0">
    <oddHeader>&amp;L&amp;"Arial,Fett"MIP 2013 - 2016&amp;C&amp;"Arial,Fett"Investitionsplanung&amp;R&amp;"Arial,Fett"Informatik
&amp;"Arial,Standard"&amp;8Beträge in  Franken</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0"/>
  <sheetViews>
    <sheetView zoomScaleNormal="100" workbookViewId="0"/>
  </sheetViews>
  <sheetFormatPr baseColWidth="10" defaultRowHeight="11.25"/>
  <cols>
    <col min="1" max="1" width="4.42578125" style="396" customWidth="1"/>
    <col min="2" max="2" width="8.42578125" style="396" bestFit="1" customWidth="1"/>
    <col min="3" max="3" width="37.42578125" style="396" bestFit="1" customWidth="1"/>
    <col min="4" max="4" width="3.7109375" style="396" bestFit="1" customWidth="1"/>
    <col min="5" max="5" width="9.85546875" style="525" bestFit="1" customWidth="1"/>
    <col min="6" max="6" width="9.7109375" style="525" customWidth="1"/>
    <col min="7" max="7" width="10.85546875" style="525" bestFit="1" customWidth="1"/>
    <col min="8" max="8" width="10.42578125" style="525" bestFit="1" customWidth="1"/>
    <col min="9" max="9" width="9.85546875" style="525" bestFit="1" customWidth="1"/>
    <col min="10" max="13" width="9.7109375" style="525" bestFit="1" customWidth="1"/>
    <col min="14" max="16384" width="11.42578125" style="396"/>
  </cols>
  <sheetData>
    <row r="1" spans="1:13" ht="22.5">
      <c r="A1" s="565" t="s">
        <v>1465</v>
      </c>
      <c r="B1" s="565" t="s">
        <v>1466</v>
      </c>
      <c r="C1" s="565" t="s">
        <v>1467</v>
      </c>
      <c r="D1" s="565" t="s">
        <v>1468</v>
      </c>
      <c r="E1" s="566" t="s">
        <v>1469</v>
      </c>
      <c r="F1" s="566" t="s">
        <v>1470</v>
      </c>
      <c r="G1" s="566" t="s">
        <v>1471</v>
      </c>
      <c r="H1" s="566" t="s">
        <v>1472</v>
      </c>
      <c r="I1" s="566" t="s">
        <v>1473</v>
      </c>
      <c r="J1" s="567" t="s">
        <v>1474</v>
      </c>
      <c r="K1" s="568" t="s">
        <v>1475</v>
      </c>
      <c r="L1" s="568" t="s">
        <v>1476</v>
      </c>
      <c r="M1" s="568" t="s">
        <v>1477</v>
      </c>
    </row>
    <row r="2" spans="1:13" customFormat="1" ht="12.75" hidden="1">
      <c r="A2" s="420"/>
      <c r="B2" s="420"/>
      <c r="C2" s="420"/>
      <c r="D2" s="420"/>
      <c r="E2" s="420"/>
      <c r="F2" s="420"/>
      <c r="G2" s="420"/>
      <c r="H2" s="420"/>
      <c r="I2" s="420"/>
      <c r="J2" s="570"/>
      <c r="K2" s="420"/>
      <c r="L2" s="420"/>
      <c r="M2" s="420"/>
    </row>
    <row r="3" spans="1:13" customFormat="1" ht="12.75" hidden="1">
      <c r="A3" s="420"/>
      <c r="B3" s="420"/>
      <c r="C3" s="420"/>
      <c r="D3" s="420"/>
      <c r="E3" s="420"/>
      <c r="F3" s="420"/>
      <c r="G3" s="420"/>
      <c r="H3" s="420"/>
      <c r="I3" s="420"/>
      <c r="J3" s="570"/>
      <c r="K3" s="420"/>
      <c r="L3" s="420"/>
      <c r="M3" s="420"/>
    </row>
    <row r="4" spans="1:13" s="135" customFormat="1" ht="12.75" hidden="1" customHeight="1">
      <c r="A4" s="571" t="s">
        <v>1436</v>
      </c>
      <c r="B4" s="571"/>
      <c r="C4" s="571"/>
      <c r="D4" s="571"/>
      <c r="E4" s="577">
        <f>SUM(E2:E3)</f>
        <v>0</v>
      </c>
      <c r="F4" s="577">
        <f t="shared" ref="F4:M4" si="0">SUM(F2:F3)</f>
        <v>0</v>
      </c>
      <c r="G4" s="577">
        <f t="shared" si="0"/>
        <v>0</v>
      </c>
      <c r="H4" s="577">
        <f t="shared" si="0"/>
        <v>0</v>
      </c>
      <c r="I4" s="577">
        <f t="shared" si="0"/>
        <v>0</v>
      </c>
      <c r="J4" s="572">
        <f t="shared" si="0"/>
        <v>0</v>
      </c>
      <c r="K4" s="577">
        <f t="shared" si="0"/>
        <v>0</v>
      </c>
      <c r="L4" s="577">
        <f t="shared" si="0"/>
        <v>0</v>
      </c>
      <c r="M4" s="577">
        <f t="shared" si="0"/>
        <v>0</v>
      </c>
    </row>
    <row r="6" spans="1:13" s="316" customFormat="1" ht="12.75" customHeight="1">
      <c r="A6" s="569" t="s">
        <v>1437</v>
      </c>
      <c r="B6" s="569" t="s">
        <v>2065</v>
      </c>
      <c r="C6" s="569" t="s">
        <v>2066</v>
      </c>
      <c r="D6" s="569" t="s">
        <v>1480</v>
      </c>
      <c r="E6" s="420">
        <v>19000000</v>
      </c>
      <c r="F6" s="420">
        <v>17000000</v>
      </c>
      <c r="G6" s="420">
        <v>0</v>
      </c>
      <c r="H6" s="420">
        <v>0</v>
      </c>
      <c r="I6" s="420">
        <v>17000000</v>
      </c>
      <c r="J6" s="570">
        <v>2000000</v>
      </c>
      <c r="K6" s="420">
        <v>7500000</v>
      </c>
      <c r="L6" s="420">
        <v>7500000</v>
      </c>
      <c r="M6" s="420">
        <v>0</v>
      </c>
    </row>
    <row r="7" spans="1:13" s="316" customFormat="1" ht="12.75" customHeight="1">
      <c r="A7" s="569" t="s">
        <v>1437</v>
      </c>
      <c r="B7" s="569" t="s">
        <v>2067</v>
      </c>
      <c r="C7" s="569" t="s">
        <v>2068</v>
      </c>
      <c r="D7" s="569" t="s">
        <v>1480</v>
      </c>
      <c r="E7" s="420">
        <v>1100000</v>
      </c>
      <c r="F7" s="420">
        <v>800000</v>
      </c>
      <c r="G7" s="420">
        <v>200000</v>
      </c>
      <c r="H7" s="420">
        <v>0</v>
      </c>
      <c r="I7" s="420">
        <v>1000000</v>
      </c>
      <c r="J7" s="570">
        <v>250000</v>
      </c>
      <c r="K7" s="420">
        <v>250000</v>
      </c>
      <c r="L7" s="420">
        <v>250000</v>
      </c>
      <c r="M7" s="420">
        <v>250000</v>
      </c>
    </row>
    <row r="8" spans="1:13" s="135" customFormat="1" ht="12.75" customHeight="1">
      <c r="A8" s="571" t="s">
        <v>1437</v>
      </c>
      <c r="B8" s="571"/>
      <c r="C8" s="571"/>
      <c r="D8" s="571"/>
      <c r="E8" s="577">
        <f t="shared" ref="E8:M8" si="1">SUM(E6:E7)</f>
        <v>20100000</v>
      </c>
      <c r="F8" s="577">
        <f t="shared" si="1"/>
        <v>17800000</v>
      </c>
      <c r="G8" s="577">
        <f t="shared" si="1"/>
        <v>200000</v>
      </c>
      <c r="H8" s="577">
        <f t="shared" si="1"/>
        <v>0</v>
      </c>
      <c r="I8" s="577">
        <f t="shared" si="1"/>
        <v>18000000</v>
      </c>
      <c r="J8" s="572">
        <f t="shared" si="1"/>
        <v>2250000</v>
      </c>
      <c r="K8" s="577">
        <f t="shared" si="1"/>
        <v>7750000</v>
      </c>
      <c r="L8" s="577">
        <f t="shared" si="1"/>
        <v>7750000</v>
      </c>
      <c r="M8" s="577">
        <f t="shared" si="1"/>
        <v>250000</v>
      </c>
    </row>
    <row r="10" spans="1:13" s="316" customFormat="1" ht="12.75" customHeight="1">
      <c r="A10" s="569" t="s">
        <v>1438</v>
      </c>
      <c r="B10" s="569" t="s">
        <v>2069</v>
      </c>
      <c r="C10" s="569" t="s">
        <v>2070</v>
      </c>
      <c r="D10" s="569" t="s">
        <v>1480</v>
      </c>
      <c r="E10" s="420">
        <v>200000</v>
      </c>
      <c r="F10" s="420">
        <v>150000</v>
      </c>
      <c r="G10" s="420">
        <v>0</v>
      </c>
      <c r="H10" s="420">
        <v>-50000</v>
      </c>
      <c r="I10" s="420">
        <v>100000</v>
      </c>
      <c r="J10" s="570">
        <v>100000</v>
      </c>
      <c r="K10" s="420">
        <v>0</v>
      </c>
      <c r="L10" s="420">
        <v>0</v>
      </c>
      <c r="M10" s="420">
        <v>0</v>
      </c>
    </row>
    <row r="11" spans="1:13" s="135" customFormat="1" ht="12.75" customHeight="1">
      <c r="A11" s="571" t="s">
        <v>1438</v>
      </c>
      <c r="B11" s="571"/>
      <c r="C11" s="571"/>
      <c r="D11" s="571"/>
      <c r="E11" s="577">
        <f t="shared" ref="E11:M11" si="2">SUM(E10:E10)</f>
        <v>200000</v>
      </c>
      <c r="F11" s="577">
        <f t="shared" si="2"/>
        <v>150000</v>
      </c>
      <c r="G11" s="577">
        <f t="shared" si="2"/>
        <v>0</v>
      </c>
      <c r="H11" s="577">
        <f t="shared" si="2"/>
        <v>-50000</v>
      </c>
      <c r="I11" s="577">
        <f t="shared" si="2"/>
        <v>100000</v>
      </c>
      <c r="J11" s="572">
        <f t="shared" si="2"/>
        <v>100000</v>
      </c>
      <c r="K11" s="577">
        <f t="shared" si="2"/>
        <v>0</v>
      </c>
      <c r="L11" s="577">
        <f t="shared" si="2"/>
        <v>0</v>
      </c>
      <c r="M11" s="577">
        <f t="shared" si="2"/>
        <v>0</v>
      </c>
    </row>
    <row r="13" spans="1:13" customFormat="1" ht="12.75" hidden="1">
      <c r="A13" s="420"/>
      <c r="B13" s="420"/>
      <c r="C13" s="420"/>
      <c r="D13" s="420"/>
      <c r="E13" s="420"/>
      <c r="F13" s="420"/>
      <c r="G13" s="420"/>
      <c r="H13" s="420"/>
      <c r="I13" s="420"/>
      <c r="J13" s="570"/>
      <c r="K13" s="420"/>
      <c r="L13" s="420"/>
      <c r="M13" s="420"/>
    </row>
    <row r="14" spans="1:13" s="316" customFormat="1" ht="12.75" hidden="1" customHeight="1">
      <c r="A14" s="571" t="s">
        <v>1440</v>
      </c>
      <c r="B14" s="571"/>
      <c r="C14" s="571"/>
      <c r="D14" s="571"/>
      <c r="E14" s="577">
        <f t="shared" ref="E14:M14" si="3">SUM(E13:E13)</f>
        <v>0</v>
      </c>
      <c r="F14" s="577">
        <f t="shared" si="3"/>
        <v>0</v>
      </c>
      <c r="G14" s="577">
        <f t="shared" si="3"/>
        <v>0</v>
      </c>
      <c r="H14" s="577">
        <f t="shared" si="3"/>
        <v>0</v>
      </c>
      <c r="I14" s="577">
        <f t="shared" si="3"/>
        <v>0</v>
      </c>
      <c r="J14" s="572">
        <f t="shared" si="3"/>
        <v>0</v>
      </c>
      <c r="K14" s="577">
        <f t="shared" si="3"/>
        <v>0</v>
      </c>
      <c r="L14" s="577">
        <f t="shared" si="3"/>
        <v>0</v>
      </c>
      <c r="M14" s="577">
        <f t="shared" si="3"/>
        <v>0</v>
      </c>
    </row>
    <row r="15" spans="1:13" hidden="1"/>
    <row r="16" spans="1:13" s="316" customFormat="1" ht="12.75" customHeight="1">
      <c r="A16" s="569" t="s">
        <v>1444</v>
      </c>
      <c r="B16" s="569" t="s">
        <v>2071</v>
      </c>
      <c r="C16" s="569" t="s">
        <v>2072</v>
      </c>
      <c r="D16" s="569" t="s">
        <v>1480</v>
      </c>
      <c r="E16" s="420">
        <v>2000000</v>
      </c>
      <c r="F16" s="420">
        <v>2000000</v>
      </c>
      <c r="G16" s="420">
        <v>0</v>
      </c>
      <c r="H16" s="420">
        <v>0</v>
      </c>
      <c r="I16" s="420">
        <v>2000000</v>
      </c>
      <c r="J16" s="570">
        <v>0</v>
      </c>
      <c r="K16" s="420">
        <v>0</v>
      </c>
      <c r="L16" s="420">
        <v>0</v>
      </c>
      <c r="M16" s="420">
        <v>2000000</v>
      </c>
    </row>
    <row r="17" spans="1:13" s="316" customFormat="1" ht="12.75" customHeight="1">
      <c r="A17" s="569" t="s">
        <v>1444</v>
      </c>
      <c r="B17" s="569" t="s">
        <v>2073</v>
      </c>
      <c r="C17" s="569" t="s">
        <v>2074</v>
      </c>
      <c r="D17" s="569" t="s">
        <v>1512</v>
      </c>
      <c r="E17" s="420">
        <v>1250000</v>
      </c>
      <c r="F17" s="420">
        <v>1250000</v>
      </c>
      <c r="G17" s="420">
        <v>0</v>
      </c>
      <c r="H17" s="420">
        <v>0</v>
      </c>
      <c r="I17" s="420">
        <v>1250000</v>
      </c>
      <c r="J17" s="570">
        <v>0</v>
      </c>
      <c r="K17" s="420">
        <v>0</v>
      </c>
      <c r="L17" s="420">
        <v>0</v>
      </c>
      <c r="M17" s="420">
        <v>0</v>
      </c>
    </row>
    <row r="18" spans="1:13">
      <c r="A18" s="401">
        <v>1600</v>
      </c>
      <c r="B18" s="401"/>
      <c r="C18" s="401"/>
      <c r="D18" s="401"/>
      <c r="E18" s="290">
        <f t="shared" ref="E18:M18" si="4">SUM(E16:E17)</f>
        <v>3250000</v>
      </c>
      <c r="F18" s="290">
        <f t="shared" si="4"/>
        <v>3250000</v>
      </c>
      <c r="G18" s="290">
        <f t="shared" si="4"/>
        <v>0</v>
      </c>
      <c r="H18" s="290">
        <f t="shared" si="4"/>
        <v>0</v>
      </c>
      <c r="I18" s="290">
        <f t="shared" si="4"/>
        <v>3250000</v>
      </c>
      <c r="J18" s="572">
        <f t="shared" si="4"/>
        <v>0</v>
      </c>
      <c r="K18" s="290">
        <f t="shared" si="4"/>
        <v>0</v>
      </c>
      <c r="L18" s="290">
        <f t="shared" si="4"/>
        <v>0</v>
      </c>
      <c r="M18" s="290">
        <f t="shared" si="4"/>
        <v>2000000</v>
      </c>
    </row>
    <row r="20" spans="1:13">
      <c r="A20" s="401" t="s">
        <v>2075</v>
      </c>
      <c r="B20" s="401"/>
      <c r="C20" s="401"/>
      <c r="D20" s="401"/>
      <c r="E20" s="290">
        <f t="shared" ref="E20:M20" si="5">SUM(E1:E18)/2</f>
        <v>23550000</v>
      </c>
      <c r="F20" s="290">
        <f t="shared" si="5"/>
        <v>21200000</v>
      </c>
      <c r="G20" s="290">
        <f t="shared" si="5"/>
        <v>200000</v>
      </c>
      <c r="H20" s="290">
        <f t="shared" si="5"/>
        <v>-50000</v>
      </c>
      <c r="I20" s="290">
        <f t="shared" si="5"/>
        <v>21350000</v>
      </c>
      <c r="J20" s="572">
        <f t="shared" si="5"/>
        <v>2350000</v>
      </c>
      <c r="K20" s="290">
        <f t="shared" si="5"/>
        <v>7750000</v>
      </c>
      <c r="L20" s="290">
        <f t="shared" si="5"/>
        <v>7750000</v>
      </c>
      <c r="M20" s="290">
        <f t="shared" si="5"/>
        <v>2250000</v>
      </c>
    </row>
  </sheetData>
  <pageMargins left="0.39370078740157483" right="0.39370078740157483" top="0.98425196850393704" bottom="0.98425196850393704" header="0.51181102362204722" footer="0.51181102362204722"/>
  <pageSetup paperSize="9" scale="98" firstPageNumber="13" fitToHeight="0" orientation="landscape" r:id="rId1"/>
  <headerFooter alignWithMargins="0">
    <oddHeader>&amp;L&amp;"Arial,Fett"MIP 2013 - 2016&amp;C&amp;"Arial,Fett"Investitionsplanung&amp;R&amp;"Arial,Fett"Übrige Investitionen
&amp;"Arial,Standard"&amp;8Beträge in  Franken</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8"/>
  <sheetViews>
    <sheetView zoomScaleNormal="100" workbookViewId="0"/>
  </sheetViews>
  <sheetFormatPr baseColWidth="10" defaultRowHeight="11.25"/>
  <cols>
    <col min="1" max="1" width="4.42578125" style="396" customWidth="1"/>
    <col min="2" max="2" width="8.42578125" style="396" bestFit="1" customWidth="1"/>
    <col min="3" max="3" width="37.42578125" style="396" bestFit="1" customWidth="1"/>
    <col min="4" max="4" width="3.7109375" style="396" bestFit="1" customWidth="1"/>
    <col min="5" max="5" width="10.5703125" style="525" bestFit="1" customWidth="1"/>
    <col min="6" max="6" width="9.7109375" style="525" customWidth="1"/>
    <col min="7" max="7" width="11" style="525" bestFit="1" customWidth="1"/>
    <col min="8" max="9" width="10.5703125" style="525" bestFit="1" customWidth="1"/>
    <col min="10" max="13" width="9.85546875" style="525" bestFit="1" customWidth="1"/>
    <col min="14" max="14" width="11.42578125" style="525"/>
    <col min="15" max="16384" width="11.42578125" style="396"/>
  </cols>
  <sheetData>
    <row r="1" spans="1:14" ht="22.5">
      <c r="A1" s="565" t="s">
        <v>1465</v>
      </c>
      <c r="B1" s="565" t="s">
        <v>1466</v>
      </c>
      <c r="C1" s="565" t="s">
        <v>1467</v>
      </c>
      <c r="D1" s="565" t="s">
        <v>1468</v>
      </c>
      <c r="E1" s="566" t="s">
        <v>1469</v>
      </c>
      <c r="F1" s="566" t="s">
        <v>1470</v>
      </c>
      <c r="G1" s="566" t="s">
        <v>1471</v>
      </c>
      <c r="H1" s="566" t="s">
        <v>1472</v>
      </c>
      <c r="I1" s="566" t="s">
        <v>1473</v>
      </c>
      <c r="J1" s="567" t="s">
        <v>1474</v>
      </c>
      <c r="K1" s="568" t="s">
        <v>1475</v>
      </c>
      <c r="L1" s="568" t="s">
        <v>1476</v>
      </c>
      <c r="M1" s="568" t="s">
        <v>1477</v>
      </c>
    </row>
    <row r="2" spans="1:14">
      <c r="A2" s="569" t="s">
        <v>1448</v>
      </c>
      <c r="B2" s="569" t="s">
        <v>2076</v>
      </c>
      <c r="C2" s="569" t="s">
        <v>2077</v>
      </c>
      <c r="D2" s="569" t="s">
        <v>1512</v>
      </c>
      <c r="E2" s="420">
        <v>4000000</v>
      </c>
      <c r="F2" s="420">
        <v>1968000</v>
      </c>
      <c r="G2" s="420">
        <v>32000</v>
      </c>
      <c r="H2" s="420">
        <v>-500000</v>
      </c>
      <c r="I2" s="420">
        <v>1500000</v>
      </c>
      <c r="J2" s="570">
        <v>375000</v>
      </c>
      <c r="K2" s="420">
        <v>375000</v>
      </c>
      <c r="L2" s="420">
        <v>375000</v>
      </c>
      <c r="M2" s="420">
        <v>375000</v>
      </c>
      <c r="N2" s="396"/>
    </row>
    <row r="3" spans="1:14">
      <c r="A3" s="569" t="s">
        <v>1448</v>
      </c>
      <c r="B3" s="569" t="s">
        <v>2078</v>
      </c>
      <c r="C3" s="569" t="s">
        <v>2079</v>
      </c>
      <c r="D3" s="569" t="s">
        <v>1512</v>
      </c>
      <c r="E3" s="420">
        <v>280000</v>
      </c>
      <c r="F3" s="420">
        <v>90000</v>
      </c>
      <c r="G3" s="420">
        <v>10000</v>
      </c>
      <c r="H3" s="420">
        <v>0</v>
      </c>
      <c r="I3" s="420">
        <v>100000</v>
      </c>
      <c r="J3" s="570">
        <v>50000</v>
      </c>
      <c r="K3" s="420">
        <v>50000</v>
      </c>
      <c r="L3" s="420">
        <v>0</v>
      </c>
      <c r="M3" s="420">
        <v>0</v>
      </c>
      <c r="N3" s="396"/>
    </row>
    <row r="4" spans="1:14">
      <c r="A4" s="569" t="s">
        <v>1448</v>
      </c>
      <c r="B4" s="569" t="s">
        <v>2080</v>
      </c>
      <c r="C4" s="569" t="s">
        <v>2081</v>
      </c>
      <c r="D4" s="569" t="s">
        <v>1480</v>
      </c>
      <c r="E4" s="420">
        <v>10000000</v>
      </c>
      <c r="F4" s="420">
        <v>9680000</v>
      </c>
      <c r="G4" s="420">
        <v>120000</v>
      </c>
      <c r="H4" s="420">
        <v>0</v>
      </c>
      <c r="I4" s="420">
        <v>9800000</v>
      </c>
      <c r="J4" s="570">
        <v>200000</v>
      </c>
      <c r="K4" s="420">
        <v>200000</v>
      </c>
      <c r="L4" s="420">
        <v>2000000</v>
      </c>
      <c r="M4" s="420">
        <v>2000000</v>
      </c>
      <c r="N4" s="396"/>
    </row>
    <row r="5" spans="1:14">
      <c r="A5" s="569" t="s">
        <v>1448</v>
      </c>
      <c r="B5" s="569" t="s">
        <v>2082</v>
      </c>
      <c r="C5" s="569" t="s">
        <v>2083</v>
      </c>
      <c r="D5" s="569" t="s">
        <v>1480</v>
      </c>
      <c r="E5" s="420">
        <v>10000000</v>
      </c>
      <c r="F5" s="420">
        <v>8900000</v>
      </c>
      <c r="G5" s="420">
        <v>400000</v>
      </c>
      <c r="H5" s="420">
        <v>0</v>
      </c>
      <c r="I5" s="420">
        <v>9300000</v>
      </c>
      <c r="J5" s="570">
        <v>500000</v>
      </c>
      <c r="K5" s="420">
        <v>2550000</v>
      </c>
      <c r="L5" s="420">
        <v>2250000</v>
      </c>
      <c r="M5" s="420">
        <v>2000000</v>
      </c>
      <c r="N5" s="396"/>
    </row>
    <row r="6" spans="1:14">
      <c r="A6" s="569" t="s">
        <v>1448</v>
      </c>
      <c r="B6" s="569" t="s">
        <v>2084</v>
      </c>
      <c r="C6" s="569" t="s">
        <v>2085</v>
      </c>
      <c r="D6" s="569" t="s">
        <v>1501</v>
      </c>
      <c r="E6" s="420">
        <v>3800000</v>
      </c>
      <c r="F6" s="420">
        <v>3015000</v>
      </c>
      <c r="G6" s="420">
        <v>335000</v>
      </c>
      <c r="H6" s="420">
        <v>0</v>
      </c>
      <c r="I6" s="420">
        <v>3350000</v>
      </c>
      <c r="J6" s="570">
        <v>1150000</v>
      </c>
      <c r="K6" s="420">
        <v>1100000</v>
      </c>
      <c r="L6" s="420">
        <v>850000</v>
      </c>
      <c r="M6" s="420">
        <v>250000</v>
      </c>
      <c r="N6" s="396"/>
    </row>
    <row r="7" spans="1:14">
      <c r="A7" s="569" t="s">
        <v>1448</v>
      </c>
      <c r="B7" s="569" t="s">
        <v>2086</v>
      </c>
      <c r="C7" s="569" t="s">
        <v>2087</v>
      </c>
      <c r="D7" s="569" t="s">
        <v>1512</v>
      </c>
      <c r="E7" s="420">
        <v>1800000</v>
      </c>
      <c r="F7" s="420">
        <v>1470000</v>
      </c>
      <c r="G7" s="420">
        <v>30000</v>
      </c>
      <c r="H7" s="420">
        <v>0</v>
      </c>
      <c r="I7" s="420">
        <v>1500000</v>
      </c>
      <c r="J7" s="570">
        <v>1200000</v>
      </c>
      <c r="K7" s="420">
        <v>300000</v>
      </c>
      <c r="L7" s="420">
        <v>0</v>
      </c>
      <c r="M7" s="420">
        <v>0</v>
      </c>
      <c r="N7" s="396"/>
    </row>
    <row r="8" spans="1:14">
      <c r="A8" s="569" t="s">
        <v>1448</v>
      </c>
      <c r="B8" s="569" t="s">
        <v>2088</v>
      </c>
      <c r="C8" s="569" t="s">
        <v>2089</v>
      </c>
      <c r="D8" s="569" t="s">
        <v>1480</v>
      </c>
      <c r="E8" s="420">
        <v>400000</v>
      </c>
      <c r="F8" s="420">
        <v>400000</v>
      </c>
      <c r="G8" s="420">
        <v>0</v>
      </c>
      <c r="H8" s="420">
        <v>0</v>
      </c>
      <c r="I8" s="420">
        <v>400000</v>
      </c>
      <c r="J8" s="570">
        <v>0</v>
      </c>
      <c r="K8" s="420">
        <v>0</v>
      </c>
      <c r="L8" s="420">
        <v>400000</v>
      </c>
      <c r="M8" s="420">
        <v>0</v>
      </c>
      <c r="N8" s="396"/>
    </row>
    <row r="9" spans="1:14">
      <c r="A9" s="569" t="s">
        <v>1448</v>
      </c>
      <c r="B9" s="569" t="s">
        <v>2090</v>
      </c>
      <c r="C9" s="569" t="s">
        <v>2091</v>
      </c>
      <c r="D9" s="569" t="s">
        <v>1480</v>
      </c>
      <c r="E9" s="420">
        <v>1500000</v>
      </c>
      <c r="F9" s="420">
        <v>900000</v>
      </c>
      <c r="G9" s="420">
        <v>100000</v>
      </c>
      <c r="H9" s="420">
        <v>0</v>
      </c>
      <c r="I9" s="420">
        <v>1000000</v>
      </c>
      <c r="J9" s="570">
        <v>1000000</v>
      </c>
      <c r="K9" s="420">
        <v>0</v>
      </c>
      <c r="L9" s="420">
        <v>0</v>
      </c>
      <c r="M9" s="420">
        <v>0</v>
      </c>
      <c r="N9" s="396"/>
    </row>
    <row r="10" spans="1:14">
      <c r="A10" s="569" t="s">
        <v>1448</v>
      </c>
      <c r="B10" s="569" t="s">
        <v>2092</v>
      </c>
      <c r="C10" s="569" t="s">
        <v>2093</v>
      </c>
      <c r="D10" s="569" t="s">
        <v>1480</v>
      </c>
      <c r="E10" s="420">
        <v>3000000</v>
      </c>
      <c r="F10" s="420">
        <v>2850000</v>
      </c>
      <c r="G10" s="420">
        <v>150000</v>
      </c>
      <c r="H10" s="420">
        <v>0</v>
      </c>
      <c r="I10" s="420">
        <v>3000000</v>
      </c>
      <c r="J10" s="570">
        <v>70000</v>
      </c>
      <c r="K10" s="420">
        <v>130000</v>
      </c>
      <c r="L10" s="420">
        <v>2070000</v>
      </c>
      <c r="M10" s="420">
        <v>730000</v>
      </c>
      <c r="N10" s="396"/>
    </row>
    <row r="11" spans="1:14">
      <c r="A11" s="569" t="s">
        <v>1448</v>
      </c>
      <c r="B11" s="569" t="s">
        <v>2094</v>
      </c>
      <c r="C11" s="569" t="s">
        <v>2095</v>
      </c>
      <c r="D11" s="569" t="s">
        <v>1480</v>
      </c>
      <c r="E11" s="420">
        <v>2500000</v>
      </c>
      <c r="F11" s="420">
        <v>2400000</v>
      </c>
      <c r="G11" s="420">
        <v>100000</v>
      </c>
      <c r="H11" s="420">
        <v>0</v>
      </c>
      <c r="I11" s="420">
        <v>2500000</v>
      </c>
      <c r="J11" s="570">
        <v>120000</v>
      </c>
      <c r="K11" s="420">
        <v>60000</v>
      </c>
      <c r="L11" s="420">
        <v>510000</v>
      </c>
      <c r="M11" s="420">
        <v>1240000</v>
      </c>
      <c r="N11" s="396"/>
    </row>
    <row r="12" spans="1:14">
      <c r="A12" s="569" t="s">
        <v>1448</v>
      </c>
      <c r="B12" s="569" t="s">
        <v>2096</v>
      </c>
      <c r="C12" s="569" t="s">
        <v>2097</v>
      </c>
      <c r="D12" s="569" t="s">
        <v>1480</v>
      </c>
      <c r="E12" s="420">
        <v>380000</v>
      </c>
      <c r="F12" s="420">
        <v>340000</v>
      </c>
      <c r="G12" s="420">
        <v>20000</v>
      </c>
      <c r="H12" s="420">
        <v>0</v>
      </c>
      <c r="I12" s="420">
        <v>360000</v>
      </c>
      <c r="J12" s="570">
        <v>360000</v>
      </c>
      <c r="K12" s="420">
        <v>0</v>
      </c>
      <c r="L12" s="420">
        <v>0</v>
      </c>
      <c r="M12" s="420">
        <v>0</v>
      </c>
      <c r="N12" s="396"/>
    </row>
    <row r="13" spans="1:14">
      <c r="A13" s="569" t="s">
        <v>1448</v>
      </c>
      <c r="B13" s="569" t="s">
        <v>2098</v>
      </c>
      <c r="C13" s="569" t="s">
        <v>2099</v>
      </c>
      <c r="D13" s="569" t="s">
        <v>1480</v>
      </c>
      <c r="E13" s="420">
        <v>450000</v>
      </c>
      <c r="F13" s="420">
        <v>410000</v>
      </c>
      <c r="G13" s="420">
        <v>40000</v>
      </c>
      <c r="H13" s="420">
        <v>0</v>
      </c>
      <c r="I13" s="420">
        <v>450000</v>
      </c>
      <c r="J13" s="570">
        <v>40000</v>
      </c>
      <c r="K13" s="420">
        <v>410000</v>
      </c>
      <c r="L13" s="420">
        <v>0</v>
      </c>
      <c r="M13" s="420">
        <v>0</v>
      </c>
      <c r="N13" s="396"/>
    </row>
    <row r="14" spans="1:14">
      <c r="A14" s="569" t="s">
        <v>1448</v>
      </c>
      <c r="B14" s="569" t="s">
        <v>2100</v>
      </c>
      <c r="C14" s="569" t="s">
        <v>2101</v>
      </c>
      <c r="D14" s="569" t="s">
        <v>1480</v>
      </c>
      <c r="E14" s="420">
        <v>440000</v>
      </c>
      <c r="F14" s="420">
        <v>370000</v>
      </c>
      <c r="G14" s="420">
        <v>30000</v>
      </c>
      <c r="H14" s="420">
        <v>0</v>
      </c>
      <c r="I14" s="420">
        <v>400000</v>
      </c>
      <c r="J14" s="570">
        <v>300000</v>
      </c>
      <c r="K14" s="420">
        <v>100000</v>
      </c>
      <c r="L14" s="420">
        <v>0</v>
      </c>
      <c r="M14" s="420">
        <v>0</v>
      </c>
      <c r="N14" s="396"/>
    </row>
    <row r="15" spans="1:14">
      <c r="A15" s="569" t="s">
        <v>1448</v>
      </c>
      <c r="B15" s="569" t="s">
        <v>2102</v>
      </c>
      <c r="C15" s="569" t="s">
        <v>2103</v>
      </c>
      <c r="D15" s="569" t="s">
        <v>1480</v>
      </c>
      <c r="E15" s="420">
        <v>330000</v>
      </c>
      <c r="F15" s="420">
        <v>300000</v>
      </c>
      <c r="G15" s="420">
        <v>30000</v>
      </c>
      <c r="H15" s="420">
        <v>0</v>
      </c>
      <c r="I15" s="420">
        <v>330000</v>
      </c>
      <c r="J15" s="570">
        <v>220000</v>
      </c>
      <c r="K15" s="420">
        <v>110000</v>
      </c>
      <c r="L15" s="420">
        <v>0</v>
      </c>
      <c r="M15" s="420">
        <v>0</v>
      </c>
      <c r="N15" s="396"/>
    </row>
    <row r="16" spans="1:14">
      <c r="A16" s="569" t="s">
        <v>1448</v>
      </c>
      <c r="B16" s="569" t="s">
        <v>2104</v>
      </c>
      <c r="C16" s="569" t="s">
        <v>2105</v>
      </c>
      <c r="D16" s="569" t="s">
        <v>1480</v>
      </c>
      <c r="E16" s="420">
        <v>1000000</v>
      </c>
      <c r="F16" s="420">
        <v>780000</v>
      </c>
      <c r="G16" s="420">
        <v>40000</v>
      </c>
      <c r="H16" s="420">
        <v>0</v>
      </c>
      <c r="I16" s="420">
        <v>820000</v>
      </c>
      <c r="J16" s="570">
        <v>220000</v>
      </c>
      <c r="K16" s="420">
        <v>600000</v>
      </c>
      <c r="L16" s="420">
        <v>0</v>
      </c>
      <c r="M16" s="420">
        <v>0</v>
      </c>
      <c r="N16" s="396"/>
    </row>
    <row r="17" spans="1:14">
      <c r="A17" s="569" t="s">
        <v>1448</v>
      </c>
      <c r="B17" s="569" t="s">
        <v>2106</v>
      </c>
      <c r="C17" s="569" t="s">
        <v>2107</v>
      </c>
      <c r="D17" s="569" t="s">
        <v>1480</v>
      </c>
      <c r="E17" s="420">
        <v>2100000</v>
      </c>
      <c r="F17" s="420">
        <v>2000000</v>
      </c>
      <c r="G17" s="420">
        <v>100000</v>
      </c>
      <c r="H17" s="420">
        <v>0</v>
      </c>
      <c r="I17" s="420">
        <v>2100000</v>
      </c>
      <c r="J17" s="570">
        <v>0</v>
      </c>
      <c r="K17" s="420">
        <v>0</v>
      </c>
      <c r="L17" s="420">
        <v>100000</v>
      </c>
      <c r="M17" s="420">
        <v>100000</v>
      </c>
      <c r="N17" s="396"/>
    </row>
    <row r="18" spans="1:14">
      <c r="A18" s="569" t="s">
        <v>1448</v>
      </c>
      <c r="B18" s="569" t="s">
        <v>2108</v>
      </c>
      <c r="C18" s="569" t="s">
        <v>2109</v>
      </c>
      <c r="D18" s="569" t="s">
        <v>1480</v>
      </c>
      <c r="E18" s="420">
        <v>4730000</v>
      </c>
      <c r="F18" s="420">
        <v>4500000</v>
      </c>
      <c r="G18" s="420">
        <v>230000</v>
      </c>
      <c r="H18" s="420">
        <v>0</v>
      </c>
      <c r="I18" s="420">
        <v>4730000</v>
      </c>
      <c r="J18" s="570">
        <v>240000</v>
      </c>
      <c r="K18" s="420">
        <v>220000</v>
      </c>
      <c r="L18" s="420">
        <v>520000</v>
      </c>
      <c r="M18" s="420">
        <v>1020000</v>
      </c>
      <c r="N18" s="396"/>
    </row>
    <row r="19" spans="1:14">
      <c r="A19" s="569" t="s">
        <v>1448</v>
      </c>
      <c r="B19" s="569" t="s">
        <v>2110</v>
      </c>
      <c r="C19" s="569" t="s">
        <v>2111</v>
      </c>
      <c r="D19" s="569" t="s">
        <v>1480</v>
      </c>
      <c r="E19" s="420">
        <v>2500000</v>
      </c>
      <c r="F19" s="420">
        <v>1925000</v>
      </c>
      <c r="G19" s="420">
        <v>115000</v>
      </c>
      <c r="H19" s="420">
        <v>0</v>
      </c>
      <c r="I19" s="420">
        <v>2040000</v>
      </c>
      <c r="J19" s="570">
        <v>240000</v>
      </c>
      <c r="K19" s="420">
        <v>300000</v>
      </c>
      <c r="L19" s="420">
        <v>500000</v>
      </c>
      <c r="M19" s="420">
        <v>500000</v>
      </c>
      <c r="N19" s="396"/>
    </row>
    <row r="20" spans="1:14">
      <c r="A20" s="569" t="s">
        <v>1448</v>
      </c>
      <c r="B20" s="569" t="s">
        <v>2112</v>
      </c>
      <c r="C20" s="569" t="s">
        <v>2113</v>
      </c>
      <c r="D20" s="569" t="s">
        <v>1480</v>
      </c>
      <c r="E20" s="420">
        <v>14650000</v>
      </c>
      <c r="F20" s="420">
        <v>13750000</v>
      </c>
      <c r="G20" s="420">
        <v>600000</v>
      </c>
      <c r="H20" s="420">
        <v>0</v>
      </c>
      <c r="I20" s="420">
        <v>14350000</v>
      </c>
      <c r="J20" s="570">
        <v>300000</v>
      </c>
      <c r="K20" s="420">
        <v>600000</v>
      </c>
      <c r="L20" s="420">
        <v>4150000</v>
      </c>
      <c r="M20" s="420">
        <v>5150000</v>
      </c>
      <c r="N20" s="396"/>
    </row>
    <row r="21" spans="1:14">
      <c r="A21" s="569" t="s">
        <v>1448</v>
      </c>
      <c r="B21" s="569" t="s">
        <v>2114</v>
      </c>
      <c r="C21" s="569" t="s">
        <v>2115</v>
      </c>
      <c r="D21" s="569" t="s">
        <v>1480</v>
      </c>
      <c r="E21" s="420">
        <v>280000</v>
      </c>
      <c r="F21" s="420">
        <v>270000</v>
      </c>
      <c r="G21" s="420">
        <v>10000</v>
      </c>
      <c r="H21" s="420">
        <v>0</v>
      </c>
      <c r="I21" s="420">
        <v>280000</v>
      </c>
      <c r="J21" s="570">
        <v>280000</v>
      </c>
      <c r="K21" s="420">
        <v>0</v>
      </c>
      <c r="L21" s="420">
        <v>0</v>
      </c>
      <c r="M21" s="420">
        <v>0</v>
      </c>
      <c r="N21" s="396"/>
    </row>
    <row r="22" spans="1:14">
      <c r="A22" s="569" t="s">
        <v>1448</v>
      </c>
      <c r="B22" s="569" t="s">
        <v>2116</v>
      </c>
      <c r="C22" s="569" t="s">
        <v>2117</v>
      </c>
      <c r="D22" s="569" t="s">
        <v>1512</v>
      </c>
      <c r="E22" s="420">
        <v>1200000</v>
      </c>
      <c r="F22" s="420">
        <v>2320000</v>
      </c>
      <c r="G22" s="420">
        <v>80000</v>
      </c>
      <c r="H22" s="420">
        <v>0</v>
      </c>
      <c r="I22" s="420">
        <v>2400000</v>
      </c>
      <c r="J22" s="570">
        <v>300000</v>
      </c>
      <c r="K22" s="420">
        <v>300000</v>
      </c>
      <c r="L22" s="420">
        <v>300000</v>
      </c>
      <c r="M22" s="420">
        <v>300000</v>
      </c>
      <c r="N22" s="396"/>
    </row>
    <row r="23" spans="1:14">
      <c r="A23" s="569" t="s">
        <v>1448</v>
      </c>
      <c r="B23" s="569" t="s">
        <v>2118</v>
      </c>
      <c r="C23" s="569" t="s">
        <v>2119</v>
      </c>
      <c r="D23" s="569" t="s">
        <v>1512</v>
      </c>
      <c r="E23" s="420">
        <v>2400000</v>
      </c>
      <c r="F23" s="420">
        <v>7840000</v>
      </c>
      <c r="G23" s="420">
        <v>160000</v>
      </c>
      <c r="H23" s="420">
        <v>0</v>
      </c>
      <c r="I23" s="420">
        <v>8000000</v>
      </c>
      <c r="J23" s="570">
        <v>1000000</v>
      </c>
      <c r="K23" s="420">
        <v>1000000</v>
      </c>
      <c r="L23" s="420">
        <v>1000000</v>
      </c>
      <c r="M23" s="420">
        <v>1000000</v>
      </c>
      <c r="N23" s="396"/>
    </row>
    <row r="24" spans="1:14">
      <c r="A24" s="571" t="s">
        <v>2120</v>
      </c>
      <c r="B24" s="571"/>
      <c r="C24" s="571"/>
      <c r="D24" s="571"/>
      <c r="E24" s="290">
        <f t="shared" ref="E24:M24" si="0">SUM(E2:E23)</f>
        <v>67740000</v>
      </c>
      <c r="F24" s="290">
        <f t="shared" si="0"/>
        <v>66478000</v>
      </c>
      <c r="G24" s="290">
        <f t="shared" si="0"/>
        <v>2732000</v>
      </c>
      <c r="H24" s="290">
        <f t="shared" si="0"/>
        <v>-500000</v>
      </c>
      <c r="I24" s="290">
        <f t="shared" si="0"/>
        <v>68710000</v>
      </c>
      <c r="J24" s="572">
        <f t="shared" si="0"/>
        <v>8165000</v>
      </c>
      <c r="K24" s="290">
        <f t="shared" si="0"/>
        <v>8405000</v>
      </c>
      <c r="L24" s="290">
        <f t="shared" si="0"/>
        <v>15025000</v>
      </c>
      <c r="M24" s="290">
        <f t="shared" si="0"/>
        <v>14665000</v>
      </c>
    </row>
    <row r="26" spans="1:14">
      <c r="A26" s="569" t="s">
        <v>1450</v>
      </c>
      <c r="B26" s="569" t="s">
        <v>2121</v>
      </c>
      <c r="C26" s="569" t="s">
        <v>2122</v>
      </c>
      <c r="D26" s="569" t="s">
        <v>1480</v>
      </c>
      <c r="E26" s="420">
        <v>2596000</v>
      </c>
      <c r="F26" s="420">
        <v>2592000</v>
      </c>
      <c r="G26" s="420">
        <v>0</v>
      </c>
      <c r="H26" s="420">
        <v>-192000</v>
      </c>
      <c r="I26" s="420">
        <v>2400000</v>
      </c>
      <c r="J26" s="570">
        <v>1200000</v>
      </c>
      <c r="K26" s="420">
        <v>1200000</v>
      </c>
      <c r="L26" s="420">
        <v>0</v>
      </c>
      <c r="M26" s="420">
        <v>0</v>
      </c>
    </row>
    <row r="27" spans="1:14">
      <c r="A27" s="569" t="s">
        <v>1450</v>
      </c>
      <c r="B27" s="569" t="s">
        <v>2123</v>
      </c>
      <c r="C27" s="569" t="s">
        <v>2124</v>
      </c>
      <c r="D27" s="569" t="s">
        <v>1480</v>
      </c>
      <c r="E27" s="420">
        <v>581000</v>
      </c>
      <c r="F27" s="420">
        <v>581000</v>
      </c>
      <c r="G27" s="420">
        <v>0</v>
      </c>
      <c r="H27" s="420">
        <v>-41000</v>
      </c>
      <c r="I27" s="420">
        <v>540000</v>
      </c>
      <c r="J27" s="570">
        <v>540000</v>
      </c>
      <c r="K27" s="420">
        <v>0</v>
      </c>
      <c r="L27" s="420">
        <v>0</v>
      </c>
      <c r="M27" s="420">
        <v>0</v>
      </c>
    </row>
    <row r="28" spans="1:14">
      <c r="A28" s="569" t="s">
        <v>1450</v>
      </c>
      <c r="B28" s="569" t="s">
        <v>2125</v>
      </c>
      <c r="C28" s="569" t="s">
        <v>2126</v>
      </c>
      <c r="D28" s="569" t="s">
        <v>1480</v>
      </c>
      <c r="E28" s="420">
        <v>215200</v>
      </c>
      <c r="F28" s="420">
        <v>215200</v>
      </c>
      <c r="G28" s="420">
        <v>0</v>
      </c>
      <c r="H28" s="420">
        <v>-15200</v>
      </c>
      <c r="I28" s="420">
        <v>200000</v>
      </c>
      <c r="J28" s="570">
        <v>0</v>
      </c>
      <c r="K28" s="420">
        <v>0</v>
      </c>
      <c r="L28" s="420">
        <v>200000</v>
      </c>
      <c r="M28" s="420">
        <v>0</v>
      </c>
    </row>
    <row r="29" spans="1:14">
      <c r="A29" s="569" t="s">
        <v>1450</v>
      </c>
      <c r="B29" s="569" t="s">
        <v>2127</v>
      </c>
      <c r="C29" s="569" t="s">
        <v>2128</v>
      </c>
      <c r="D29" s="569" t="s">
        <v>1480</v>
      </c>
      <c r="E29" s="420">
        <v>107600</v>
      </c>
      <c r="F29" s="420">
        <v>107600</v>
      </c>
      <c r="G29" s="420">
        <v>0</v>
      </c>
      <c r="H29" s="420">
        <v>-7600</v>
      </c>
      <c r="I29" s="420">
        <v>100000</v>
      </c>
      <c r="J29" s="570">
        <v>0</v>
      </c>
      <c r="K29" s="420">
        <v>0</v>
      </c>
      <c r="L29" s="420">
        <v>0</v>
      </c>
      <c r="M29" s="420">
        <v>100000</v>
      </c>
    </row>
    <row r="30" spans="1:14">
      <c r="A30" s="569" t="s">
        <v>1450</v>
      </c>
      <c r="B30" s="569" t="s">
        <v>2129</v>
      </c>
      <c r="C30" s="569" t="s">
        <v>2130</v>
      </c>
      <c r="D30" s="569" t="s">
        <v>1480</v>
      </c>
      <c r="E30" s="420">
        <v>2259600</v>
      </c>
      <c r="F30" s="420">
        <v>2259600</v>
      </c>
      <c r="G30" s="420">
        <v>0</v>
      </c>
      <c r="H30" s="420">
        <v>-159600</v>
      </c>
      <c r="I30" s="420">
        <v>2100000</v>
      </c>
      <c r="J30" s="570">
        <v>0</v>
      </c>
      <c r="K30" s="420">
        <v>0</v>
      </c>
      <c r="L30" s="420">
        <v>1050000</v>
      </c>
      <c r="M30" s="420">
        <v>1050000</v>
      </c>
    </row>
    <row r="31" spans="1:14">
      <c r="A31" s="569" t="s">
        <v>1450</v>
      </c>
      <c r="B31" s="569" t="s">
        <v>2131</v>
      </c>
      <c r="C31" s="569" t="s">
        <v>2132</v>
      </c>
      <c r="D31" s="569" t="s">
        <v>1480</v>
      </c>
      <c r="E31" s="420">
        <v>1183600</v>
      </c>
      <c r="F31" s="420">
        <v>1183600</v>
      </c>
      <c r="G31" s="420">
        <v>0</v>
      </c>
      <c r="H31" s="420">
        <v>-83600</v>
      </c>
      <c r="I31" s="420">
        <v>1100000</v>
      </c>
      <c r="J31" s="570">
        <v>0</v>
      </c>
      <c r="K31" s="420">
        <v>0</v>
      </c>
      <c r="L31" s="420">
        <v>0</v>
      </c>
      <c r="M31" s="420">
        <v>0</v>
      </c>
    </row>
    <row r="32" spans="1:14">
      <c r="A32" s="569" t="s">
        <v>1450</v>
      </c>
      <c r="B32" s="569" t="s">
        <v>2133</v>
      </c>
      <c r="C32" s="569" t="s">
        <v>2134</v>
      </c>
      <c r="D32" s="569" t="s">
        <v>1480</v>
      </c>
      <c r="E32" s="420">
        <v>86400</v>
      </c>
      <c r="F32" s="420">
        <v>86400</v>
      </c>
      <c r="G32" s="420">
        <v>0</v>
      </c>
      <c r="H32" s="420">
        <v>-6400</v>
      </c>
      <c r="I32" s="420">
        <v>80000</v>
      </c>
      <c r="J32" s="570">
        <v>0</v>
      </c>
      <c r="K32" s="420">
        <v>0</v>
      </c>
      <c r="L32" s="420">
        <v>0</v>
      </c>
      <c r="M32" s="420">
        <v>0</v>
      </c>
    </row>
    <row r="33" spans="1:13">
      <c r="A33" s="569" t="s">
        <v>1450</v>
      </c>
      <c r="B33" s="569" t="s">
        <v>2135</v>
      </c>
      <c r="C33" s="569" t="s">
        <v>2136</v>
      </c>
      <c r="D33" s="569" t="s">
        <v>1480</v>
      </c>
      <c r="E33" s="420">
        <v>648000</v>
      </c>
      <c r="F33" s="420">
        <v>648000</v>
      </c>
      <c r="G33" s="420">
        <v>0</v>
      </c>
      <c r="H33" s="420">
        <v>-48000</v>
      </c>
      <c r="I33" s="420">
        <v>600000</v>
      </c>
      <c r="J33" s="570">
        <v>600000</v>
      </c>
      <c r="K33" s="420">
        <v>0</v>
      </c>
      <c r="L33" s="420">
        <v>0</v>
      </c>
      <c r="M33" s="420">
        <v>0</v>
      </c>
    </row>
    <row r="34" spans="1:13">
      <c r="A34" s="569" t="s">
        <v>1450</v>
      </c>
      <c r="B34" s="569" t="s">
        <v>2137</v>
      </c>
      <c r="C34" s="569" t="s">
        <v>2138</v>
      </c>
      <c r="D34" s="569" t="s">
        <v>1480</v>
      </c>
      <c r="E34" s="420">
        <v>1883000</v>
      </c>
      <c r="F34" s="420">
        <v>1345000</v>
      </c>
      <c r="G34" s="420">
        <v>0</v>
      </c>
      <c r="H34" s="420">
        <v>-95000</v>
      </c>
      <c r="I34" s="420">
        <v>1250000</v>
      </c>
      <c r="J34" s="570">
        <v>500000</v>
      </c>
      <c r="K34" s="420">
        <v>500000</v>
      </c>
      <c r="L34" s="420">
        <v>250000</v>
      </c>
      <c r="M34" s="420">
        <v>0</v>
      </c>
    </row>
    <row r="35" spans="1:13">
      <c r="A35" s="569" t="s">
        <v>1450</v>
      </c>
      <c r="B35" s="569" t="s">
        <v>2139</v>
      </c>
      <c r="C35" s="569" t="s">
        <v>2140</v>
      </c>
      <c r="D35" s="569" t="s">
        <v>1480</v>
      </c>
      <c r="E35" s="420">
        <v>161400</v>
      </c>
      <c r="F35" s="420">
        <v>129000</v>
      </c>
      <c r="G35" s="420">
        <v>0</v>
      </c>
      <c r="H35" s="420">
        <v>-9000</v>
      </c>
      <c r="I35" s="420">
        <v>120000</v>
      </c>
      <c r="J35" s="570">
        <v>30000</v>
      </c>
      <c r="K35" s="420">
        <v>90000</v>
      </c>
      <c r="L35" s="420">
        <v>0</v>
      </c>
      <c r="M35" s="420">
        <v>0</v>
      </c>
    </row>
    <row r="36" spans="1:13">
      <c r="A36" s="569" t="s">
        <v>1450</v>
      </c>
      <c r="B36" s="569" t="s">
        <v>2141</v>
      </c>
      <c r="C36" s="569" t="s">
        <v>2142</v>
      </c>
      <c r="D36" s="569" t="s">
        <v>1480</v>
      </c>
      <c r="E36" s="420">
        <v>1829200</v>
      </c>
      <c r="F36" s="420">
        <v>1829200</v>
      </c>
      <c r="G36" s="420">
        <v>0</v>
      </c>
      <c r="H36" s="420">
        <v>-129200</v>
      </c>
      <c r="I36" s="420">
        <v>1700000</v>
      </c>
      <c r="J36" s="570">
        <v>0</v>
      </c>
      <c r="K36" s="420">
        <v>0</v>
      </c>
      <c r="L36" s="420">
        <v>0</v>
      </c>
      <c r="M36" s="420">
        <v>0</v>
      </c>
    </row>
    <row r="37" spans="1:13">
      <c r="A37" s="569" t="s">
        <v>1450</v>
      </c>
      <c r="B37" s="569" t="s">
        <v>2143</v>
      </c>
      <c r="C37" s="569" t="s">
        <v>2144</v>
      </c>
      <c r="D37" s="569" t="s">
        <v>1480</v>
      </c>
      <c r="E37" s="420">
        <v>182920</v>
      </c>
      <c r="F37" s="420">
        <v>182920</v>
      </c>
      <c r="G37" s="420">
        <v>0</v>
      </c>
      <c r="H37" s="420">
        <v>-12920</v>
      </c>
      <c r="I37" s="420">
        <v>170000</v>
      </c>
      <c r="J37" s="570">
        <v>0</v>
      </c>
      <c r="K37" s="420">
        <v>0</v>
      </c>
      <c r="L37" s="420">
        <v>0</v>
      </c>
      <c r="M37" s="420">
        <v>0</v>
      </c>
    </row>
    <row r="38" spans="1:13">
      <c r="A38" s="569" t="s">
        <v>1450</v>
      </c>
      <c r="B38" s="569" t="s">
        <v>2145</v>
      </c>
      <c r="C38" s="569" t="s">
        <v>2146</v>
      </c>
      <c r="D38" s="569" t="s">
        <v>1480</v>
      </c>
      <c r="E38" s="420">
        <v>333560</v>
      </c>
      <c r="F38" s="420">
        <v>333560</v>
      </c>
      <c r="G38" s="420">
        <v>0</v>
      </c>
      <c r="H38" s="420">
        <v>-23560</v>
      </c>
      <c r="I38" s="420">
        <v>310000</v>
      </c>
      <c r="J38" s="570">
        <v>0</v>
      </c>
      <c r="K38" s="420">
        <v>170000</v>
      </c>
      <c r="L38" s="420">
        <v>0</v>
      </c>
      <c r="M38" s="420">
        <v>0</v>
      </c>
    </row>
    <row r="39" spans="1:13">
      <c r="A39" s="569" t="s">
        <v>1450</v>
      </c>
      <c r="B39" s="569" t="s">
        <v>2147</v>
      </c>
      <c r="C39" s="569" t="s">
        <v>2148</v>
      </c>
      <c r="D39" s="569" t="s">
        <v>1480</v>
      </c>
      <c r="E39" s="420">
        <v>430400</v>
      </c>
      <c r="F39" s="420">
        <v>430400</v>
      </c>
      <c r="G39" s="420">
        <v>0</v>
      </c>
      <c r="H39" s="420">
        <v>-30400</v>
      </c>
      <c r="I39" s="420">
        <v>400000</v>
      </c>
      <c r="J39" s="570">
        <v>0</v>
      </c>
      <c r="K39" s="420">
        <v>0</v>
      </c>
      <c r="L39" s="420">
        <v>0</v>
      </c>
      <c r="M39" s="420">
        <v>0</v>
      </c>
    </row>
    <row r="40" spans="1:13">
      <c r="A40" s="569" t="s">
        <v>1450</v>
      </c>
      <c r="B40" s="569" t="s">
        <v>2149</v>
      </c>
      <c r="C40" s="569" t="s">
        <v>2150</v>
      </c>
      <c r="D40" s="569" t="s">
        <v>1480</v>
      </c>
      <c r="E40" s="420">
        <v>215200</v>
      </c>
      <c r="F40" s="420">
        <v>215200</v>
      </c>
      <c r="G40" s="420">
        <v>0</v>
      </c>
      <c r="H40" s="420">
        <v>-15200</v>
      </c>
      <c r="I40" s="420">
        <v>200000</v>
      </c>
      <c r="J40" s="570">
        <v>0</v>
      </c>
      <c r="K40" s="420">
        <v>0</v>
      </c>
      <c r="L40" s="420">
        <v>0</v>
      </c>
      <c r="M40" s="420">
        <v>0</v>
      </c>
    </row>
    <row r="41" spans="1:13">
      <c r="A41" s="569" t="s">
        <v>1450</v>
      </c>
      <c r="B41" s="569" t="s">
        <v>2151</v>
      </c>
      <c r="C41" s="569" t="s">
        <v>2152</v>
      </c>
      <c r="D41" s="569" t="s">
        <v>1480</v>
      </c>
      <c r="E41" s="420">
        <v>215200</v>
      </c>
      <c r="F41" s="420">
        <v>107600</v>
      </c>
      <c r="G41" s="420">
        <v>0</v>
      </c>
      <c r="H41" s="420">
        <v>-7600</v>
      </c>
      <c r="I41" s="420">
        <v>100000</v>
      </c>
      <c r="J41" s="570">
        <v>100000</v>
      </c>
      <c r="K41" s="420">
        <v>0</v>
      </c>
      <c r="L41" s="420">
        <v>0</v>
      </c>
      <c r="M41" s="420">
        <v>0</v>
      </c>
    </row>
    <row r="42" spans="1:13">
      <c r="A42" s="569" t="s">
        <v>1450</v>
      </c>
      <c r="B42" s="569" t="s">
        <v>2153</v>
      </c>
      <c r="C42" s="569" t="s">
        <v>2154</v>
      </c>
      <c r="D42" s="569" t="s">
        <v>1480</v>
      </c>
      <c r="E42" s="420">
        <v>745600</v>
      </c>
      <c r="F42" s="420">
        <v>538000</v>
      </c>
      <c r="G42" s="420">
        <v>50000</v>
      </c>
      <c r="H42" s="420">
        <v>-38000</v>
      </c>
      <c r="I42" s="420">
        <v>550000</v>
      </c>
      <c r="J42" s="570">
        <v>550000</v>
      </c>
      <c r="K42" s="420">
        <v>0</v>
      </c>
      <c r="L42" s="420">
        <v>0</v>
      </c>
      <c r="M42" s="420">
        <v>0</v>
      </c>
    </row>
    <row r="43" spans="1:13">
      <c r="A43" s="569" t="s">
        <v>1450</v>
      </c>
      <c r="B43" s="569" t="s">
        <v>2155</v>
      </c>
      <c r="C43" s="569" t="s">
        <v>2156</v>
      </c>
      <c r="D43" s="569" t="s">
        <v>1480</v>
      </c>
      <c r="E43" s="420">
        <v>2014200</v>
      </c>
      <c r="F43" s="420">
        <v>2014200</v>
      </c>
      <c r="G43" s="420">
        <v>40000</v>
      </c>
      <c r="H43" s="420">
        <v>-149200</v>
      </c>
      <c r="I43" s="420">
        <v>1905000</v>
      </c>
      <c r="J43" s="570">
        <v>770000</v>
      </c>
      <c r="K43" s="420">
        <v>25000</v>
      </c>
      <c r="L43" s="420">
        <v>1055000</v>
      </c>
      <c r="M43" s="420">
        <v>50000</v>
      </c>
    </row>
    <row r="44" spans="1:13">
      <c r="A44" s="569" t="s">
        <v>1450</v>
      </c>
      <c r="B44" s="569" t="s">
        <v>2157</v>
      </c>
      <c r="C44" s="569" t="s">
        <v>2132</v>
      </c>
      <c r="D44" s="569" t="s">
        <v>1480</v>
      </c>
      <c r="E44" s="420">
        <v>1296000</v>
      </c>
      <c r="F44" s="420">
        <v>1296000</v>
      </c>
      <c r="G44" s="420">
        <v>0</v>
      </c>
      <c r="H44" s="420">
        <v>-96000</v>
      </c>
      <c r="I44" s="420">
        <v>1200000</v>
      </c>
      <c r="J44" s="570">
        <v>0</v>
      </c>
      <c r="K44" s="420">
        <v>0</v>
      </c>
      <c r="L44" s="420">
        <v>0</v>
      </c>
      <c r="M44" s="420">
        <v>0</v>
      </c>
    </row>
    <row r="45" spans="1:13">
      <c r="A45" s="569" t="s">
        <v>1450</v>
      </c>
      <c r="B45" s="569" t="s">
        <v>2158</v>
      </c>
      <c r="C45" s="569" t="s">
        <v>2159</v>
      </c>
      <c r="D45" s="569" t="s">
        <v>1480</v>
      </c>
      <c r="E45" s="420">
        <v>428000</v>
      </c>
      <c r="F45" s="420">
        <v>378000</v>
      </c>
      <c r="G45" s="420">
        <v>50000</v>
      </c>
      <c r="H45" s="420">
        <v>-28000</v>
      </c>
      <c r="I45" s="420">
        <v>400000</v>
      </c>
      <c r="J45" s="570">
        <v>0</v>
      </c>
      <c r="K45" s="420">
        <v>0</v>
      </c>
      <c r="L45" s="420">
        <v>0</v>
      </c>
      <c r="M45" s="420">
        <v>0</v>
      </c>
    </row>
    <row r="46" spans="1:13">
      <c r="A46" s="571" t="s">
        <v>2160</v>
      </c>
      <c r="B46" s="571"/>
      <c r="C46" s="571"/>
      <c r="D46" s="571"/>
      <c r="E46" s="290">
        <f t="shared" ref="E46:M46" si="1">SUM(E26:E45)</f>
        <v>17412080</v>
      </c>
      <c r="F46" s="290">
        <f t="shared" si="1"/>
        <v>16472480</v>
      </c>
      <c r="G46" s="290">
        <f t="shared" si="1"/>
        <v>140000</v>
      </c>
      <c r="H46" s="290">
        <f t="shared" si="1"/>
        <v>-1187480</v>
      </c>
      <c r="I46" s="290">
        <f t="shared" si="1"/>
        <v>15425000</v>
      </c>
      <c r="J46" s="572">
        <f t="shared" si="1"/>
        <v>4290000</v>
      </c>
      <c r="K46" s="290">
        <f t="shared" si="1"/>
        <v>1985000</v>
      </c>
      <c r="L46" s="290">
        <f t="shared" si="1"/>
        <v>2555000</v>
      </c>
      <c r="M46" s="290">
        <f t="shared" si="1"/>
        <v>1200000</v>
      </c>
    </row>
    <row r="48" spans="1:13">
      <c r="A48" s="401" t="s">
        <v>2161</v>
      </c>
      <c r="B48" s="401"/>
      <c r="C48" s="401"/>
      <c r="D48" s="401"/>
      <c r="E48" s="290">
        <f t="shared" ref="E48:M48" si="2">SUM(E2:E46)/2</f>
        <v>85152080</v>
      </c>
      <c r="F48" s="290">
        <f t="shared" si="2"/>
        <v>82950480</v>
      </c>
      <c r="G48" s="290">
        <f t="shared" si="2"/>
        <v>2872000</v>
      </c>
      <c r="H48" s="290">
        <f t="shared" si="2"/>
        <v>-1687480</v>
      </c>
      <c r="I48" s="290">
        <f t="shared" si="2"/>
        <v>84135000</v>
      </c>
      <c r="J48" s="572">
        <f t="shared" si="2"/>
        <v>12455000</v>
      </c>
      <c r="K48" s="290">
        <f t="shared" si="2"/>
        <v>10390000</v>
      </c>
      <c r="L48" s="290">
        <f t="shared" si="2"/>
        <v>17580000</v>
      </c>
      <c r="M48" s="290">
        <f t="shared" si="2"/>
        <v>15865000</v>
      </c>
    </row>
  </sheetData>
  <pageMargins left="0.39370078740157483" right="0.39370078740157483" top="0.98425196850393704" bottom="0.98425196850393704" header="0.51181102362204722" footer="0.51181102362204722"/>
  <pageSetup paperSize="9" scale="97" firstPageNumber="14" fitToHeight="0" orientation="landscape" r:id="rId1"/>
  <headerFooter alignWithMargins="0">
    <oddHeader>&amp;L&amp;"Arial,Fett"MIP 2013 - 2016&amp;C&amp;"Arial,Fett"Investitionsplanung&amp;R&amp;"Arial,Fett"Sonderrechnungen
&amp;"Arial,Standard"&amp;8Beträge in  Franken</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7"/>
  <sheetViews>
    <sheetView zoomScaleNormal="100" workbookViewId="0"/>
  </sheetViews>
  <sheetFormatPr baseColWidth="10" defaultRowHeight="11.25"/>
  <cols>
    <col min="1" max="1" width="4.42578125" style="396" customWidth="1"/>
    <col min="2" max="2" width="8.42578125" style="396" bestFit="1" customWidth="1"/>
    <col min="3" max="3" width="37.42578125" style="396" bestFit="1" customWidth="1"/>
    <col min="4" max="4" width="3.7109375" style="396" bestFit="1" customWidth="1"/>
    <col min="5" max="5" width="10.5703125" style="525" bestFit="1" customWidth="1"/>
    <col min="6" max="6" width="9.7109375" style="525" customWidth="1"/>
    <col min="7" max="7" width="11" style="525" bestFit="1" customWidth="1"/>
    <col min="8" max="9" width="10.5703125" style="525" bestFit="1" customWidth="1"/>
    <col min="10" max="13" width="9.85546875" style="525" bestFit="1" customWidth="1"/>
    <col min="14" max="14" width="11.42578125" style="525"/>
    <col min="15" max="16384" width="11.42578125" style="396"/>
  </cols>
  <sheetData>
    <row r="1" spans="1:14" ht="22.5">
      <c r="A1" s="565" t="s">
        <v>1465</v>
      </c>
      <c r="B1" s="565" t="s">
        <v>1466</v>
      </c>
      <c r="C1" s="565" t="s">
        <v>1467</v>
      </c>
      <c r="D1" s="565" t="s">
        <v>1468</v>
      </c>
      <c r="E1" s="566" t="s">
        <v>1469</v>
      </c>
      <c r="F1" s="566" t="s">
        <v>1470</v>
      </c>
      <c r="G1" s="566" t="s">
        <v>1471</v>
      </c>
      <c r="H1" s="566" t="s">
        <v>1472</v>
      </c>
      <c r="I1" s="566" t="s">
        <v>1473</v>
      </c>
      <c r="J1" s="567" t="s">
        <v>1474</v>
      </c>
      <c r="K1" s="568" t="s">
        <v>1475</v>
      </c>
      <c r="L1" s="568" t="s">
        <v>1476</v>
      </c>
      <c r="M1" s="568" t="s">
        <v>1477</v>
      </c>
    </row>
    <row r="2" spans="1:14" ht="12.75" customHeight="1">
      <c r="A2" s="569"/>
      <c r="B2" s="569"/>
      <c r="C2" s="569"/>
      <c r="D2" s="569"/>
      <c r="E2" s="420"/>
      <c r="F2" s="420"/>
      <c r="G2" s="420"/>
      <c r="H2" s="420"/>
      <c r="I2" s="420"/>
      <c r="J2" s="570"/>
      <c r="K2" s="420"/>
      <c r="L2" s="420"/>
      <c r="M2" s="420"/>
      <c r="N2" s="396"/>
    </row>
    <row r="3" spans="1:14" ht="12.75" customHeight="1">
      <c r="A3" s="569"/>
      <c r="B3" s="569"/>
      <c r="C3" s="569"/>
      <c r="D3" s="569"/>
      <c r="E3" s="420"/>
      <c r="F3" s="420"/>
      <c r="G3" s="420"/>
      <c r="H3" s="420"/>
      <c r="I3" s="420"/>
      <c r="J3" s="570"/>
      <c r="K3" s="420"/>
      <c r="L3" s="420"/>
      <c r="M3" s="420"/>
      <c r="N3" s="396"/>
    </row>
    <row r="4" spans="1:14" ht="12.75" customHeight="1">
      <c r="A4" s="569"/>
      <c r="B4" s="569"/>
      <c r="C4" s="569"/>
      <c r="D4" s="569"/>
      <c r="E4" s="420"/>
      <c r="F4" s="420"/>
      <c r="G4" s="420"/>
      <c r="H4" s="420"/>
      <c r="I4" s="420"/>
      <c r="J4" s="570"/>
      <c r="K4" s="420"/>
      <c r="L4" s="420"/>
      <c r="M4" s="420"/>
      <c r="N4" s="396"/>
    </row>
    <row r="5" spans="1:14">
      <c r="A5" s="571" t="s">
        <v>1444</v>
      </c>
      <c r="B5" s="571"/>
      <c r="C5" s="571"/>
      <c r="D5" s="571"/>
      <c r="E5" s="290">
        <f>SUM(_DAT6)</f>
        <v>0</v>
      </c>
      <c r="F5" s="290">
        <f>SUM(_DAT7)</f>
        <v>0</v>
      </c>
      <c r="G5" s="290">
        <f>SUM(_DAT8)</f>
        <v>0</v>
      </c>
      <c r="H5" s="290">
        <f>SUM(_DAT9)</f>
        <v>0</v>
      </c>
      <c r="I5" s="290">
        <f>SUM(_DAT10)</f>
        <v>0</v>
      </c>
      <c r="J5" s="572">
        <f>SUM(_DAT11)</f>
        <v>0</v>
      </c>
      <c r="K5" s="290">
        <f>SUM(_DAT12)</f>
        <v>0</v>
      </c>
      <c r="L5" s="290">
        <f>SUM(_DAT13)</f>
        <v>0</v>
      </c>
      <c r="M5" s="290">
        <f>SUM(_DAT14)</f>
        <v>0</v>
      </c>
    </row>
    <row r="6" spans="1:14" ht="12.75" customHeight="1">
      <c r="E6" s="396"/>
      <c r="F6" s="396"/>
      <c r="G6" s="396"/>
      <c r="H6" s="396"/>
      <c r="I6" s="396"/>
      <c r="J6" s="396"/>
      <c r="K6" s="396"/>
      <c r="L6" s="396"/>
      <c r="M6" s="396"/>
      <c r="N6" s="396"/>
    </row>
    <row r="7" spans="1:14">
      <c r="A7" s="571" t="s">
        <v>2162</v>
      </c>
      <c r="B7" s="571"/>
      <c r="C7" s="571"/>
      <c r="D7" s="571"/>
      <c r="E7" s="290">
        <f>SUM(_DAT6)</f>
        <v>0</v>
      </c>
      <c r="F7" s="290">
        <f>SUM(_DAT7)</f>
        <v>0</v>
      </c>
      <c r="G7" s="290">
        <f>SUM(_DAT8)</f>
        <v>0</v>
      </c>
      <c r="H7" s="290">
        <f>SUM(_DAT9)</f>
        <v>0</v>
      </c>
      <c r="I7" s="290">
        <f>SUM(_DAT10)</f>
        <v>0</v>
      </c>
      <c r="J7" s="572">
        <f>SUM(_DAT11)</f>
        <v>0</v>
      </c>
      <c r="K7" s="290">
        <f>SUM(_DAT12)</f>
        <v>0</v>
      </c>
      <c r="L7" s="290">
        <f>SUM(_DAT13)</f>
        <v>0</v>
      </c>
      <c r="M7" s="290">
        <f>SUM(_DAT14)</f>
        <v>0</v>
      </c>
    </row>
  </sheetData>
  <pageMargins left="0.39370078740157483" right="0.39370078740157483" top="0.98425196850393704" bottom="0.98425196850393704" header="0.51181102362204722" footer="0.51181102362204722"/>
  <pageSetup paperSize="9" scale="97" firstPageNumber="15" fitToHeight="0" orientation="landscape" r:id="rId1"/>
  <headerFooter alignWithMargins="0">
    <oddHeader>&amp;L&amp;"Arial,Fett"MIP 2013 - 2016&amp;C&amp;"Arial,Fett"Investitionsplanung&amp;R&amp;"Arial,Fett"Liegenschaften im öffentlichen Interesse
&amp;"Arial,Standard"&amp;8Beträge in  Franken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dimension ref="A1:I38"/>
  <sheetViews>
    <sheetView zoomScaleNormal="100" workbookViewId="0"/>
  </sheetViews>
  <sheetFormatPr baseColWidth="10" defaultRowHeight="12.75" outlineLevelRow="1"/>
  <cols>
    <col min="1" max="1" width="31.42578125" customWidth="1"/>
    <col min="2" max="2" width="14.42578125" customWidth="1"/>
    <col min="3" max="3" width="14.42578125" hidden="1" customWidth="1"/>
    <col min="4" max="9" width="14.42578125" customWidth="1"/>
  </cols>
  <sheetData>
    <row r="1" spans="1:9" s="204" customFormat="1" ht="27" customHeight="1">
      <c r="A1" s="202"/>
      <c r="B1" s="203"/>
      <c r="C1" s="203"/>
      <c r="D1" s="203"/>
      <c r="E1" s="203"/>
      <c r="F1" s="203"/>
      <c r="G1" s="203"/>
      <c r="H1" s="203"/>
      <c r="I1" s="203"/>
    </row>
    <row r="2" spans="1:9" ht="20.25">
      <c r="A2" s="578" t="s">
        <v>475</v>
      </c>
      <c r="B2" s="578"/>
      <c r="C2" s="578"/>
      <c r="D2" s="578"/>
      <c r="E2" s="578"/>
      <c r="F2" s="578"/>
      <c r="G2" s="578"/>
      <c r="H2" s="578"/>
      <c r="I2" s="578"/>
    </row>
    <row r="3" spans="1:9" s="207" customFormat="1" ht="15.75">
      <c r="A3" s="205"/>
      <c r="B3" s="205"/>
      <c r="C3" s="206"/>
      <c r="D3" s="206"/>
      <c r="E3" s="206"/>
      <c r="F3" s="206"/>
      <c r="G3" s="206"/>
      <c r="H3" s="206"/>
      <c r="I3" s="206"/>
    </row>
    <row r="4" spans="1:9" s="204" customFormat="1" ht="13.5" thickBot="1">
      <c r="A4" s="202"/>
      <c r="B4" s="202"/>
      <c r="C4" s="202"/>
      <c r="D4" s="202"/>
      <c r="E4" s="202"/>
      <c r="F4" s="202"/>
      <c r="G4" s="202"/>
      <c r="H4" s="202"/>
      <c r="I4" s="202"/>
    </row>
    <row r="5" spans="1:9" s="204" customFormat="1">
      <c r="A5" s="208"/>
      <c r="B5" s="209" t="s">
        <v>132</v>
      </c>
      <c r="C5" s="209" t="s">
        <v>133</v>
      </c>
      <c r="D5" s="209" t="s">
        <v>473</v>
      </c>
      <c r="E5" s="209" t="s">
        <v>474</v>
      </c>
      <c r="F5" s="209" t="s">
        <v>375</v>
      </c>
      <c r="G5" s="209" t="s">
        <v>9</v>
      </c>
      <c r="H5" s="209" t="s">
        <v>131</v>
      </c>
      <c r="I5" s="210" t="s">
        <v>424</v>
      </c>
    </row>
    <row r="6" spans="1:9" s="204" customFormat="1">
      <c r="A6" s="211" t="s">
        <v>402</v>
      </c>
      <c r="B6" s="212">
        <v>1014831289.86</v>
      </c>
      <c r="C6" s="212">
        <v>986101422.45999992</v>
      </c>
      <c r="D6" s="212">
        <v>961719308.51999998</v>
      </c>
      <c r="E6" s="212">
        <v>1006771592.49</v>
      </c>
      <c r="F6" s="212">
        <v>1030385765.8376001</v>
      </c>
      <c r="G6" s="212">
        <v>1043123236.7297001</v>
      </c>
      <c r="H6" s="212">
        <v>1056939095.2375</v>
      </c>
      <c r="I6" s="213">
        <v>1076804364.2694001</v>
      </c>
    </row>
    <row r="7" spans="1:9" s="204" customFormat="1">
      <c r="A7" s="214" t="s">
        <v>403</v>
      </c>
      <c r="B7" s="215">
        <v>258571326</v>
      </c>
      <c r="C7" s="215">
        <v>264220966.31</v>
      </c>
      <c r="D7" s="215">
        <v>260680270.40000001</v>
      </c>
      <c r="E7" s="215">
        <v>269884081.35000002</v>
      </c>
      <c r="F7" s="215">
        <v>266738240.57260001</v>
      </c>
      <c r="G7" s="215">
        <v>267307730.79970002</v>
      </c>
      <c r="H7" s="215">
        <v>270946869.21749997</v>
      </c>
      <c r="I7" s="216">
        <v>272558132.08270001</v>
      </c>
    </row>
    <row r="8" spans="1:9" s="229" customFormat="1">
      <c r="A8" s="217" t="s">
        <v>404</v>
      </c>
      <c r="B8" s="218">
        <v>159900164.30000001</v>
      </c>
      <c r="C8" s="218">
        <v>160627655.47</v>
      </c>
      <c r="D8" s="218">
        <v>157003013.84</v>
      </c>
      <c r="E8" s="218">
        <v>159113059.18000001</v>
      </c>
      <c r="F8" s="218">
        <v>162276746.35499999</v>
      </c>
      <c r="G8" s="218">
        <v>165070480.34999999</v>
      </c>
      <c r="H8" s="218">
        <v>168872667.72</v>
      </c>
      <c r="I8" s="219">
        <v>169731609.89669999</v>
      </c>
    </row>
    <row r="9" spans="1:9" s="204" customFormat="1">
      <c r="A9" s="214" t="s">
        <v>405</v>
      </c>
      <c r="B9" s="215">
        <v>60275471.25</v>
      </c>
      <c r="C9" s="215">
        <v>67999000</v>
      </c>
      <c r="D9" s="215">
        <v>58299507.369999997</v>
      </c>
      <c r="E9" s="215">
        <v>61921223.07</v>
      </c>
      <c r="F9" s="215">
        <v>63653793</v>
      </c>
      <c r="G9" s="215">
        <v>67121259</v>
      </c>
      <c r="H9" s="215">
        <v>69591132</v>
      </c>
      <c r="I9" s="216">
        <v>70544866</v>
      </c>
    </row>
    <row r="10" spans="1:9" s="229" customFormat="1">
      <c r="A10" s="217" t="s">
        <v>406</v>
      </c>
      <c r="B10" s="218">
        <v>87330900.920000002</v>
      </c>
      <c r="C10" s="218">
        <v>51744926.310000002</v>
      </c>
      <c r="D10" s="218">
        <v>36723864.049999997</v>
      </c>
      <c r="E10" s="218">
        <v>40771307.640000001</v>
      </c>
      <c r="F10" s="218">
        <v>40435687.310000002</v>
      </c>
      <c r="G10" s="218">
        <v>38484700.969999999</v>
      </c>
      <c r="H10" s="218">
        <v>40785742.520000003</v>
      </c>
      <c r="I10" s="219">
        <v>51088587.560000002</v>
      </c>
    </row>
    <row r="11" spans="1:9" s="204" customFormat="1">
      <c r="A11" s="214" t="s">
        <v>407</v>
      </c>
      <c r="B11" s="215">
        <v>130581612.81999999</v>
      </c>
      <c r="C11" s="215">
        <v>136882522.47999999</v>
      </c>
      <c r="D11" s="215">
        <v>140310018.62</v>
      </c>
      <c r="E11" s="215">
        <v>147326636.56</v>
      </c>
      <c r="F11" s="215">
        <v>140753567</v>
      </c>
      <c r="G11" s="215">
        <v>144855421</v>
      </c>
      <c r="H11" s="215">
        <v>145932258</v>
      </c>
      <c r="I11" s="216">
        <v>147738572</v>
      </c>
    </row>
    <row r="12" spans="1:9" s="229" customFormat="1">
      <c r="A12" s="217" t="s">
        <v>408</v>
      </c>
      <c r="B12" s="218">
        <v>267108164.94</v>
      </c>
      <c r="C12" s="218">
        <v>257187620</v>
      </c>
      <c r="D12" s="218">
        <v>260922186.86000001</v>
      </c>
      <c r="E12" s="218">
        <v>286267289</v>
      </c>
      <c r="F12" s="218">
        <v>315549219.63999999</v>
      </c>
      <c r="G12" s="218">
        <v>318595196.63999999</v>
      </c>
      <c r="H12" s="218">
        <v>318573259.74000001</v>
      </c>
      <c r="I12" s="219">
        <v>323009573.24000001</v>
      </c>
    </row>
    <row r="13" spans="1:9" s="204" customFormat="1">
      <c r="A13" s="214" t="s">
        <v>409</v>
      </c>
      <c r="B13" s="215">
        <v>1787065.05</v>
      </c>
      <c r="C13" s="215">
        <v>1830620</v>
      </c>
      <c r="D13" s="215">
        <v>1818533.75</v>
      </c>
      <c r="E13" s="215">
        <v>1813500</v>
      </c>
      <c r="F13" s="215">
        <v>1843700</v>
      </c>
      <c r="G13" s="215">
        <v>1858700</v>
      </c>
      <c r="H13" s="215">
        <v>1874000</v>
      </c>
      <c r="I13" s="216">
        <v>1874000</v>
      </c>
    </row>
    <row r="14" spans="1:9" s="229" customFormat="1">
      <c r="A14" s="217" t="s">
        <v>410</v>
      </c>
      <c r="B14" s="218">
        <v>7771589.1200000001</v>
      </c>
      <c r="C14" s="218">
        <v>1481910</v>
      </c>
      <c r="D14" s="218">
        <v>8138091.2699999996</v>
      </c>
      <c r="E14" s="218">
        <v>2566702</v>
      </c>
      <c r="F14" s="218">
        <v>2325465</v>
      </c>
      <c r="G14" s="218">
        <v>2717565</v>
      </c>
      <c r="H14" s="218">
        <v>2694645</v>
      </c>
      <c r="I14" s="219">
        <v>2653745</v>
      </c>
    </row>
    <row r="15" spans="1:9" s="204" customFormat="1">
      <c r="A15" s="214" t="s">
        <v>411</v>
      </c>
      <c r="B15" s="215">
        <v>41504995.460000001</v>
      </c>
      <c r="C15" s="215">
        <v>44126201.890000001</v>
      </c>
      <c r="D15" s="215">
        <v>37823822.359999999</v>
      </c>
      <c r="E15" s="215">
        <v>37107793.689999998</v>
      </c>
      <c r="F15" s="215">
        <v>36809346.960000001</v>
      </c>
      <c r="G15" s="215">
        <v>37112182.969999999</v>
      </c>
      <c r="H15" s="215">
        <v>37668521.039999999</v>
      </c>
      <c r="I15" s="216">
        <v>37605278.490000002</v>
      </c>
    </row>
    <row r="16" spans="1:9" s="204" customFormat="1" ht="8.25" customHeight="1">
      <c r="A16" s="220"/>
      <c r="B16" s="221"/>
      <c r="C16" s="221"/>
      <c r="D16" s="221"/>
      <c r="E16" s="221"/>
      <c r="F16" s="221"/>
      <c r="G16" s="221"/>
      <c r="H16" s="221"/>
      <c r="I16" s="222"/>
    </row>
    <row r="17" spans="1:9" s="204" customFormat="1">
      <c r="A17" s="211" t="s">
        <v>412</v>
      </c>
      <c r="B17" s="212">
        <v>-1032388752.6800001</v>
      </c>
      <c r="C17" s="212">
        <v>-986101422.18000007</v>
      </c>
      <c r="D17" s="212">
        <v>-1000829762.59</v>
      </c>
      <c r="E17" s="212">
        <v>-1009146592.9700001</v>
      </c>
      <c r="F17" s="212">
        <v>-1018835765.3903</v>
      </c>
      <c r="G17" s="212">
        <v>-1024303087.3067</v>
      </c>
      <c r="H17" s="212">
        <v>-1032136906.2347</v>
      </c>
      <c r="I17" s="213">
        <v>-1049136301.2946999</v>
      </c>
    </row>
    <row r="18" spans="1:9" s="204" customFormat="1">
      <c r="A18" s="214" t="s">
        <v>413</v>
      </c>
      <c r="B18" s="215">
        <v>-450443877.47000003</v>
      </c>
      <c r="C18" s="215">
        <v>-404880000</v>
      </c>
      <c r="D18" s="215">
        <v>-426497676.89999998</v>
      </c>
      <c r="E18" s="215">
        <v>-419887000</v>
      </c>
      <c r="F18" s="215">
        <v>-423587000</v>
      </c>
      <c r="G18" s="215">
        <v>-432487000</v>
      </c>
      <c r="H18" s="215">
        <v>-440687000</v>
      </c>
      <c r="I18" s="216">
        <v>-449987000</v>
      </c>
    </row>
    <row r="19" spans="1:9" s="229" customFormat="1">
      <c r="A19" s="217" t="s">
        <v>414</v>
      </c>
      <c r="B19" s="218">
        <v>-11197215.42</v>
      </c>
      <c r="C19" s="218">
        <v>-10319000</v>
      </c>
      <c r="D19" s="218">
        <v>-10203609.4</v>
      </c>
      <c r="E19" s="218">
        <v>-10662750</v>
      </c>
      <c r="F19" s="218">
        <v>-10833250</v>
      </c>
      <c r="G19" s="218">
        <v>-10833250</v>
      </c>
      <c r="H19" s="218">
        <v>-10833250</v>
      </c>
      <c r="I19" s="219">
        <v>-10833250</v>
      </c>
    </row>
    <row r="20" spans="1:9" s="204" customFormat="1">
      <c r="A20" s="214" t="s">
        <v>415</v>
      </c>
      <c r="B20" s="215">
        <v>-58412757.780000001</v>
      </c>
      <c r="C20" s="215">
        <v>-69798210.200000003</v>
      </c>
      <c r="D20" s="215">
        <v>-60136584.189999998</v>
      </c>
      <c r="E20" s="215">
        <v>-70825275</v>
      </c>
      <c r="F20" s="215">
        <v>-75123341</v>
      </c>
      <c r="G20" s="215">
        <v>-85363862</v>
      </c>
      <c r="H20" s="215">
        <v>-87136861</v>
      </c>
      <c r="I20" s="216">
        <v>-89926113</v>
      </c>
    </row>
    <row r="21" spans="1:9" s="229" customFormat="1">
      <c r="A21" s="217" t="s">
        <v>416</v>
      </c>
      <c r="B21" s="218">
        <v>-153873390.62</v>
      </c>
      <c r="C21" s="218">
        <v>-147240364.28999999</v>
      </c>
      <c r="D21" s="218">
        <v>-160809532.68000001</v>
      </c>
      <c r="E21" s="218">
        <v>-151791052.99000001</v>
      </c>
      <c r="F21" s="218">
        <v>-160039826.10030001</v>
      </c>
      <c r="G21" s="218">
        <v>-160225171.0167</v>
      </c>
      <c r="H21" s="218">
        <v>-160592741.9447</v>
      </c>
      <c r="I21" s="219">
        <v>-160310370.00470001</v>
      </c>
    </row>
    <row r="22" spans="1:9" s="204" customFormat="1">
      <c r="A22" s="214" t="s">
        <v>417</v>
      </c>
      <c r="B22" s="215">
        <v>-34877563.149999999</v>
      </c>
      <c r="C22" s="215">
        <v>-36120000</v>
      </c>
      <c r="D22" s="215">
        <v>-35017088.5</v>
      </c>
      <c r="E22" s="215">
        <v>-66253600</v>
      </c>
      <c r="F22" s="215">
        <v>-66253600</v>
      </c>
      <c r="G22" s="215">
        <v>-66253600</v>
      </c>
      <c r="H22" s="215">
        <v>-66253600</v>
      </c>
      <c r="I22" s="216">
        <v>-66253600</v>
      </c>
    </row>
    <row r="23" spans="1:9" s="229" customFormat="1">
      <c r="A23" s="217" t="s">
        <v>418</v>
      </c>
      <c r="B23" s="218">
        <v>-170369297.47999999</v>
      </c>
      <c r="C23" s="218">
        <v>-166987820.19999999</v>
      </c>
      <c r="D23" s="218">
        <v>-158853297.58000001</v>
      </c>
      <c r="E23" s="218">
        <v>-166617148.69</v>
      </c>
      <c r="F23" s="218">
        <v>-169973199.53</v>
      </c>
      <c r="G23" s="218">
        <v>-170692587.53</v>
      </c>
      <c r="H23" s="218">
        <v>-170963198.53</v>
      </c>
      <c r="I23" s="219">
        <v>-171138187.53</v>
      </c>
    </row>
    <row r="24" spans="1:9" s="204" customFormat="1">
      <c r="A24" s="214" t="s">
        <v>419</v>
      </c>
      <c r="B24" s="215">
        <v>-104544506.02</v>
      </c>
      <c r="C24" s="215">
        <v>-98520206</v>
      </c>
      <c r="D24" s="215">
        <v>-99931847.340000004</v>
      </c>
      <c r="E24" s="215">
        <v>-81843987</v>
      </c>
      <c r="F24" s="215">
        <v>-72886502</v>
      </c>
      <c r="G24" s="215">
        <v>-58087734</v>
      </c>
      <c r="H24" s="215">
        <v>-54087734</v>
      </c>
      <c r="I24" s="216">
        <v>-52036502</v>
      </c>
    </row>
    <row r="25" spans="1:9" s="229" customFormat="1">
      <c r="A25" s="217" t="s">
        <v>420</v>
      </c>
      <c r="B25" s="218">
        <v>-1787065.05</v>
      </c>
      <c r="C25" s="218">
        <v>-1830620</v>
      </c>
      <c r="D25" s="218">
        <v>-1818533.75</v>
      </c>
      <c r="E25" s="218">
        <v>-1813500</v>
      </c>
      <c r="F25" s="218">
        <v>-1843700</v>
      </c>
      <c r="G25" s="218">
        <v>-1858700</v>
      </c>
      <c r="H25" s="218">
        <v>-1874000</v>
      </c>
      <c r="I25" s="219">
        <v>-1874000</v>
      </c>
    </row>
    <row r="26" spans="1:9" s="204" customFormat="1">
      <c r="A26" s="214" t="s">
        <v>421</v>
      </c>
      <c r="B26" s="215">
        <v>-5378084.7300000004</v>
      </c>
      <c r="C26" s="215">
        <v>-6279000</v>
      </c>
      <c r="D26" s="215">
        <v>-9737769.75</v>
      </c>
      <c r="E26" s="215">
        <v>-2344486.2000000002</v>
      </c>
      <c r="F26" s="215">
        <v>-1486000</v>
      </c>
      <c r="G26" s="215">
        <v>-1389000</v>
      </c>
      <c r="H26" s="215">
        <v>-2040000</v>
      </c>
      <c r="I26" s="216">
        <v>-9172000</v>
      </c>
    </row>
    <row r="27" spans="1:9" s="229" customFormat="1">
      <c r="A27" s="217" t="s">
        <v>422</v>
      </c>
      <c r="B27" s="218">
        <v>-41504994.960000001</v>
      </c>
      <c r="C27" s="218">
        <v>-44126201.490000002</v>
      </c>
      <c r="D27" s="218">
        <v>-37823822.5</v>
      </c>
      <c r="E27" s="218">
        <v>-37107793.090000004</v>
      </c>
      <c r="F27" s="218">
        <v>-36809346.759999998</v>
      </c>
      <c r="G27" s="218">
        <v>-37112182.759999998</v>
      </c>
      <c r="H27" s="218">
        <v>-37668520.759999998</v>
      </c>
      <c r="I27" s="219">
        <v>-37605278.759999998</v>
      </c>
    </row>
    <row r="28" spans="1:9" s="204" customFormat="1" ht="8.25" customHeight="1">
      <c r="A28" s="223"/>
      <c r="B28" s="224"/>
      <c r="C28" s="224"/>
      <c r="D28" s="224"/>
      <c r="E28" s="224"/>
      <c r="F28" s="224"/>
      <c r="G28" s="224"/>
      <c r="H28" s="224"/>
      <c r="I28" s="225"/>
    </row>
    <row r="29" spans="1:9" s="1" customFormat="1" ht="13.5" thickBot="1">
      <c r="A29" s="226" t="s">
        <v>88</v>
      </c>
      <c r="B29" s="227">
        <v>-17557462.820000052</v>
      </c>
      <c r="C29" s="227">
        <v>0.27999985218048096</v>
      </c>
      <c r="D29" s="227">
        <v>-39110454.070000052</v>
      </c>
      <c r="E29" s="227">
        <v>-2375000.4800001383</v>
      </c>
      <c r="F29" s="227">
        <v>11550000.447300076</v>
      </c>
      <c r="G29" s="227">
        <v>18820149.423000097</v>
      </c>
      <c r="H29" s="227">
        <v>24802189.002799988</v>
      </c>
      <c r="I29" s="228">
        <v>27668062.974700212</v>
      </c>
    </row>
    <row r="30" spans="1:9" s="204" customFormat="1" ht="14.25" customHeight="1" outlineLevel="1">
      <c r="A30" s="223"/>
      <c r="B30" s="224"/>
      <c r="C30" s="224"/>
      <c r="D30" s="224"/>
      <c r="E30" s="224"/>
      <c r="F30" s="224"/>
      <c r="G30" s="224"/>
      <c r="H30" s="224"/>
      <c r="I30" s="225"/>
    </row>
    <row r="31" spans="1:9" s="229" customFormat="1" outlineLevel="1">
      <c r="A31" s="217" t="s">
        <v>89</v>
      </c>
      <c r="B31" s="218">
        <v>0</v>
      </c>
      <c r="C31" s="218">
        <v>0</v>
      </c>
      <c r="D31" s="218">
        <v>0</v>
      </c>
      <c r="E31" s="218">
        <v>0</v>
      </c>
      <c r="F31" s="218">
        <v>-5800000</v>
      </c>
      <c r="G31" s="218">
        <v>0</v>
      </c>
      <c r="H31" s="218">
        <v>0</v>
      </c>
      <c r="I31" s="219">
        <v>0</v>
      </c>
    </row>
    <row r="32" spans="1:9" s="229" customFormat="1" ht="25.5" outlineLevel="1">
      <c r="A32" s="417" t="s">
        <v>577</v>
      </c>
      <c r="B32" s="415">
        <v>0</v>
      </c>
      <c r="C32" s="415"/>
      <c r="D32" s="415">
        <v>0</v>
      </c>
      <c r="E32" s="415">
        <v>0</v>
      </c>
      <c r="F32" s="415">
        <v>-5750000</v>
      </c>
      <c r="G32" s="415">
        <v>-26091858</v>
      </c>
      <c r="H32" s="415">
        <v>-27684074</v>
      </c>
      <c r="I32" s="416">
        <v>-27758735</v>
      </c>
    </row>
    <row r="33" spans="1:9" s="230" customFormat="1" ht="13.5" outlineLevel="1" thickBot="1">
      <c r="A33" s="226" t="s">
        <v>90</v>
      </c>
      <c r="B33" s="227">
        <v>-17557462.820000052</v>
      </c>
      <c r="C33" s="227">
        <v>0.27999985218048096</v>
      </c>
      <c r="D33" s="227">
        <v>-39110454.070000052</v>
      </c>
      <c r="E33" s="227">
        <v>-2375000.4800001383</v>
      </c>
      <c r="F33" s="227">
        <v>0.44730007648468018</v>
      </c>
      <c r="G33" s="227">
        <v>-7271708.5769999027</v>
      </c>
      <c r="H33" s="227">
        <v>-2881884.9972000122</v>
      </c>
      <c r="I33" s="228">
        <v>-90672.025299787521</v>
      </c>
    </row>
    <row r="35" spans="1:9">
      <c r="E35" s="111"/>
      <c r="F35" s="111"/>
      <c r="G35" s="111"/>
      <c r="H35" s="111"/>
      <c r="I35" s="111"/>
    </row>
    <row r="38" spans="1:9">
      <c r="A38" t="s">
        <v>129</v>
      </c>
      <c r="B38" s="314">
        <v>-1.7300868622628075E-2</v>
      </c>
      <c r="C38" s="314">
        <v>2.8394630187427691E-10</v>
      </c>
      <c r="D38" s="314">
        <v>-4.0667223506396628E-2</v>
      </c>
      <c r="E38" s="314">
        <v>-2.3590261164661624E-3</v>
      </c>
      <c r="F38" s="314">
        <v>1.1209394413471041E-2</v>
      </c>
      <c r="G38" s="314">
        <v>1.8042115025644741E-2</v>
      </c>
      <c r="H38" s="314">
        <v>2.3466053166693396E-2</v>
      </c>
      <c r="I38" s="314">
        <v>2.5694605160216533E-2</v>
      </c>
    </row>
  </sheetData>
  <mergeCells count="1">
    <mergeCell ref="A2:I2"/>
  </mergeCells>
  <phoneticPr fontId="18" type="noConversion"/>
  <pageMargins left="0.78740157480314965" right="0.59055118110236227" top="0.64583333333333337" bottom="0.59055118110236227" header="0.78740157480314965" footer="0.51181102362204722"/>
  <pageSetup paperSize="9"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87"/>
  <sheetViews>
    <sheetView zoomScaleNormal="100" workbookViewId="0">
      <pane xSplit="2" ySplit="6" topLeftCell="D7" activePane="bottomRight" state="frozen"/>
      <selection pane="topRight" activeCell="C1" sqref="C1"/>
      <selection pane="bottomLeft" activeCell="A6" sqref="A6"/>
      <selection pane="bottomRight" activeCell="D7" sqref="D7"/>
    </sheetView>
  </sheetViews>
  <sheetFormatPr baseColWidth="10" defaultRowHeight="12.75"/>
  <cols>
    <col min="1" max="1" width="6.140625" style="324" customWidth="1"/>
    <col min="2" max="2" width="39.28515625" style="324" customWidth="1"/>
    <col min="3" max="3" width="8" style="327" hidden="1" customWidth="1"/>
    <col min="4" max="10" width="8" style="327" customWidth="1"/>
    <col min="11" max="16384" width="11.42578125" style="324"/>
  </cols>
  <sheetData>
    <row r="1" spans="1:10" ht="15">
      <c r="A1" s="579" t="s">
        <v>476</v>
      </c>
      <c r="B1" s="579"/>
      <c r="C1" s="579"/>
      <c r="D1" s="579"/>
      <c r="E1" s="579"/>
      <c r="F1" s="579"/>
      <c r="G1" s="579"/>
      <c r="H1" s="579"/>
      <c r="I1" s="579"/>
      <c r="J1" s="579"/>
    </row>
    <row r="2" spans="1:10" ht="5.25" customHeight="1">
      <c r="A2" s="323"/>
      <c r="B2" s="323"/>
      <c r="C2" s="325"/>
      <c r="D2" s="325"/>
      <c r="E2" s="325"/>
      <c r="F2" s="325"/>
      <c r="G2" s="325"/>
      <c r="H2" s="325"/>
      <c r="I2" s="325"/>
      <c r="J2" s="325"/>
    </row>
    <row r="3" spans="1:10" ht="15">
      <c r="A3" s="326" t="s">
        <v>17</v>
      </c>
      <c r="B3" s="323"/>
      <c r="C3" s="325"/>
      <c r="D3" s="325"/>
      <c r="E3" s="325"/>
      <c r="F3" s="325"/>
      <c r="G3" s="325"/>
      <c r="H3" s="325"/>
      <c r="I3" s="325"/>
      <c r="J3" s="325"/>
    </row>
    <row r="4" spans="1:10" ht="15">
      <c r="A4" s="326" t="s">
        <v>18</v>
      </c>
      <c r="B4" s="323"/>
      <c r="C4" s="325"/>
      <c r="D4" s="325"/>
      <c r="E4" s="325"/>
      <c r="F4" s="325"/>
      <c r="G4" s="325"/>
      <c r="H4" s="325"/>
      <c r="I4" s="325"/>
      <c r="J4" s="325"/>
    </row>
    <row r="5" spans="1:10" ht="5.25" customHeight="1"/>
    <row r="6" spans="1:10" s="331" customFormat="1" ht="15" customHeight="1">
      <c r="A6" s="328"/>
      <c r="B6" s="329" t="s">
        <v>19</v>
      </c>
      <c r="C6" s="330" t="s">
        <v>11</v>
      </c>
      <c r="D6" s="330" t="s">
        <v>132</v>
      </c>
      <c r="E6" s="330" t="s">
        <v>473</v>
      </c>
      <c r="F6" s="330" t="s">
        <v>474</v>
      </c>
      <c r="G6" s="330" t="s">
        <v>375</v>
      </c>
      <c r="H6" s="330" t="s">
        <v>9</v>
      </c>
      <c r="I6" s="330" t="s">
        <v>131</v>
      </c>
      <c r="J6" s="330" t="s">
        <v>424</v>
      </c>
    </row>
    <row r="7" spans="1:10" ht="7.5" customHeight="1">
      <c r="A7" s="332"/>
      <c r="B7" s="333"/>
      <c r="C7" s="334"/>
      <c r="D7" s="334"/>
      <c r="E7" s="334"/>
      <c r="F7" s="335"/>
      <c r="G7" s="335"/>
      <c r="H7" s="335"/>
      <c r="I7" s="335"/>
      <c r="J7" s="335"/>
    </row>
    <row r="8" spans="1:10">
      <c r="A8" s="336">
        <v>10</v>
      </c>
      <c r="B8" s="333" t="s">
        <v>20</v>
      </c>
      <c r="C8" s="337">
        <v>5.86</v>
      </c>
      <c r="D8" s="363">
        <f>5.15+0.89</f>
        <v>6.04</v>
      </c>
      <c r="E8" s="363">
        <f>4.45+0.86</f>
        <v>5.3100000000000005</v>
      </c>
      <c r="F8" s="364">
        <v>5.88</v>
      </c>
      <c r="G8" s="364">
        <v>5.88</v>
      </c>
      <c r="H8" s="364">
        <v>5.88</v>
      </c>
      <c r="I8" s="364">
        <v>5.88</v>
      </c>
      <c r="J8" s="364">
        <v>5.88</v>
      </c>
    </row>
    <row r="9" spans="1:10">
      <c r="A9" s="336">
        <v>20</v>
      </c>
      <c r="B9" s="333" t="s">
        <v>21</v>
      </c>
      <c r="C9" s="338">
        <v>1.5</v>
      </c>
      <c r="D9" s="312">
        <v>1.5</v>
      </c>
      <c r="E9" s="312">
        <v>1.6</v>
      </c>
      <c r="F9" s="312">
        <v>1.7</v>
      </c>
      <c r="G9" s="312">
        <v>1.7</v>
      </c>
      <c r="H9" s="312">
        <v>1.7</v>
      </c>
      <c r="I9" s="312">
        <v>1.7</v>
      </c>
      <c r="J9" s="312">
        <v>1.7</v>
      </c>
    </row>
    <row r="10" spans="1:10">
      <c r="A10" s="336">
        <v>30</v>
      </c>
      <c r="B10" s="333" t="s">
        <v>185</v>
      </c>
      <c r="C10" s="338">
        <v>0</v>
      </c>
      <c r="D10" s="312">
        <v>0</v>
      </c>
      <c r="E10" s="312">
        <v>0</v>
      </c>
      <c r="F10" s="312">
        <v>0</v>
      </c>
      <c r="G10" s="312">
        <v>0</v>
      </c>
      <c r="H10" s="312">
        <v>0</v>
      </c>
      <c r="I10" s="312">
        <v>0</v>
      </c>
      <c r="J10" s="312">
        <v>0</v>
      </c>
    </row>
    <row r="11" spans="1:10">
      <c r="A11" s="336">
        <v>40</v>
      </c>
      <c r="B11" s="333" t="s">
        <v>140</v>
      </c>
      <c r="C11" s="338">
        <v>25.22</v>
      </c>
      <c r="D11" s="312">
        <f>25.7+4.99-6.04</f>
        <v>24.65</v>
      </c>
      <c r="E11" s="312">
        <f>22.45+2.58-5.31</f>
        <v>19.720000000000002</v>
      </c>
      <c r="F11" s="312">
        <v>19.5</v>
      </c>
      <c r="G11" s="312">
        <v>20.5</v>
      </c>
      <c r="H11" s="312">
        <v>20.5</v>
      </c>
      <c r="I11" s="312">
        <v>20.5</v>
      </c>
      <c r="J11" s="312">
        <v>20.5</v>
      </c>
    </row>
    <row r="12" spans="1:10">
      <c r="A12" s="336">
        <v>50</v>
      </c>
      <c r="B12" s="333" t="s">
        <v>22</v>
      </c>
      <c r="C12" s="338">
        <v>4.4000000000000004</v>
      </c>
      <c r="D12" s="312">
        <v>4.9000000000000004</v>
      </c>
      <c r="E12" s="312">
        <f>5.2</f>
        <v>5.2</v>
      </c>
      <c r="F12" s="312">
        <v>4.9000000000000004</v>
      </c>
      <c r="G12" s="312">
        <v>4.9000000000000004</v>
      </c>
      <c r="H12" s="312">
        <v>4.9000000000000004</v>
      </c>
      <c r="I12" s="312">
        <v>4.9000000000000004</v>
      </c>
      <c r="J12" s="312">
        <v>4.9000000000000004</v>
      </c>
    </row>
    <row r="13" spans="1:10">
      <c r="A13" s="336">
        <v>60</v>
      </c>
      <c r="B13" s="333" t="s">
        <v>478</v>
      </c>
      <c r="C13" s="338">
        <v>8.6999999999999993</v>
      </c>
      <c r="D13" s="338">
        <v>8.1</v>
      </c>
      <c r="E13" s="338">
        <v>8.1</v>
      </c>
      <c r="F13" s="362" t="s">
        <v>2</v>
      </c>
      <c r="G13" s="362" t="s">
        <v>2</v>
      </c>
      <c r="H13" s="362" t="s">
        <v>2</v>
      </c>
      <c r="I13" s="362" t="s">
        <v>2</v>
      </c>
      <c r="J13" s="362" t="s">
        <v>2</v>
      </c>
    </row>
    <row r="14" spans="1:10">
      <c r="A14" s="339">
        <v>1000</v>
      </c>
      <c r="B14" s="340" t="s">
        <v>363</v>
      </c>
      <c r="C14" s="341">
        <f t="shared" ref="C14:J14" si="0">SUM(C8:C13)</f>
        <v>45.679999999999993</v>
      </c>
      <c r="D14" s="341">
        <f t="shared" si="0"/>
        <v>45.19</v>
      </c>
      <c r="E14" s="341">
        <f t="shared" si="0"/>
        <v>39.93</v>
      </c>
      <c r="F14" s="341">
        <f t="shared" si="0"/>
        <v>31.979999999999997</v>
      </c>
      <c r="G14" s="341">
        <f t="shared" si="0"/>
        <v>32.979999999999997</v>
      </c>
      <c r="H14" s="341">
        <f t="shared" si="0"/>
        <v>32.979999999999997</v>
      </c>
      <c r="I14" s="341">
        <f t="shared" si="0"/>
        <v>32.979999999999997</v>
      </c>
      <c r="J14" s="341">
        <f t="shared" si="0"/>
        <v>32.979999999999997</v>
      </c>
    </row>
    <row r="15" spans="1:10">
      <c r="A15" s="342">
        <v>1000</v>
      </c>
      <c r="B15" s="343" t="s">
        <v>23</v>
      </c>
      <c r="C15" s="344">
        <v>0</v>
      </c>
      <c r="D15" s="344">
        <v>0</v>
      </c>
      <c r="E15" s="344">
        <v>0</v>
      </c>
      <c r="F15" s="344">
        <v>0</v>
      </c>
      <c r="G15" s="344">
        <v>0</v>
      </c>
      <c r="H15" s="344">
        <v>0</v>
      </c>
      <c r="I15" s="344">
        <v>0</v>
      </c>
      <c r="J15" s="344">
        <v>0</v>
      </c>
    </row>
    <row r="16" spans="1:10" ht="7.5" customHeight="1">
      <c r="A16" s="332"/>
      <c r="B16" s="333"/>
      <c r="C16" s="334"/>
      <c r="D16" s="334"/>
      <c r="E16" s="334"/>
      <c r="F16" s="335"/>
      <c r="G16" s="335"/>
      <c r="H16" s="335"/>
      <c r="I16" s="335"/>
      <c r="J16" s="335"/>
    </row>
    <row r="17" spans="1:10">
      <c r="A17" s="332">
        <v>100</v>
      </c>
      <c r="B17" s="333" t="s">
        <v>24</v>
      </c>
      <c r="C17" s="334">
        <v>14.67</v>
      </c>
      <c r="D17" s="310">
        <f>6.6+0.07+5.2+0.03+2.1</f>
        <v>14</v>
      </c>
      <c r="E17" s="310">
        <f>6.6+0.06+5.05+0.04+2.1</f>
        <v>13.849999999999998</v>
      </c>
      <c r="F17" s="311">
        <v>14.2</v>
      </c>
      <c r="G17" s="311">
        <v>14.2</v>
      </c>
      <c r="H17" s="311">
        <v>14.2</v>
      </c>
      <c r="I17" s="311">
        <v>14.2</v>
      </c>
      <c r="J17" s="311">
        <v>14.2</v>
      </c>
    </row>
    <row r="18" spans="1:10">
      <c r="A18" s="332">
        <v>110</v>
      </c>
      <c r="B18" s="333" t="s">
        <v>142</v>
      </c>
      <c r="C18" s="334">
        <v>8.3800000000000008</v>
      </c>
      <c r="D18" s="310">
        <f>4.8+0.6</f>
        <v>5.3999999999999995</v>
      </c>
      <c r="E18" s="310">
        <f>4.8+1.38</f>
        <v>6.18</v>
      </c>
      <c r="F18" s="311">
        <v>5.9</v>
      </c>
      <c r="G18" s="311">
        <v>5.9</v>
      </c>
      <c r="H18" s="311">
        <v>5.9</v>
      </c>
      <c r="I18" s="311">
        <v>5.9</v>
      </c>
      <c r="J18" s="311">
        <v>5.9</v>
      </c>
    </row>
    <row r="19" spans="1:10">
      <c r="A19" s="332">
        <v>120</v>
      </c>
      <c r="B19" s="333" t="s">
        <v>205</v>
      </c>
      <c r="C19" s="334">
        <v>4.5999999999999996</v>
      </c>
      <c r="D19" s="310">
        <v>4</v>
      </c>
      <c r="E19" s="310">
        <f>4.2</f>
        <v>4.2</v>
      </c>
      <c r="F19" s="311">
        <v>4</v>
      </c>
      <c r="G19" s="311">
        <v>4</v>
      </c>
      <c r="H19" s="311">
        <v>4</v>
      </c>
      <c r="I19" s="311">
        <v>4.3</v>
      </c>
      <c r="J19" s="311">
        <v>4.3</v>
      </c>
    </row>
    <row r="20" spans="1:10">
      <c r="A20" s="332">
        <v>130</v>
      </c>
      <c r="B20" s="333" t="s">
        <v>25</v>
      </c>
      <c r="C20" s="334">
        <v>12.9</v>
      </c>
      <c r="D20" s="310">
        <f>12.1+0.2</f>
        <v>12.299999999999999</v>
      </c>
      <c r="E20" s="310">
        <f>10.9+1</f>
        <v>11.9</v>
      </c>
      <c r="F20" s="311">
        <v>11.8</v>
      </c>
      <c r="G20" s="311">
        <v>11.8</v>
      </c>
      <c r="H20" s="311">
        <v>11.8</v>
      </c>
      <c r="I20" s="311">
        <v>11.8</v>
      </c>
      <c r="J20" s="311">
        <v>11.8</v>
      </c>
    </row>
    <row r="21" spans="1:10">
      <c r="A21" s="332">
        <v>150</v>
      </c>
      <c r="B21" s="333" t="s">
        <v>26</v>
      </c>
      <c r="C21" s="334">
        <v>20.74</v>
      </c>
      <c r="D21" s="310">
        <f>18.2+1.4</f>
        <v>19.599999999999998</v>
      </c>
      <c r="E21" s="310">
        <f>19.1+1</f>
        <v>20.100000000000001</v>
      </c>
      <c r="F21" s="311">
        <v>20.5</v>
      </c>
      <c r="G21" s="311">
        <v>20.5</v>
      </c>
      <c r="H21" s="311">
        <v>20.5</v>
      </c>
      <c r="I21" s="311">
        <v>20.5</v>
      </c>
      <c r="J21" s="311">
        <v>20.5</v>
      </c>
    </row>
    <row r="22" spans="1:10">
      <c r="A22" s="332">
        <v>170</v>
      </c>
      <c r="B22" s="333" t="s">
        <v>144</v>
      </c>
      <c r="C22" s="334">
        <v>21.15</v>
      </c>
      <c r="D22" s="310">
        <f>20.55+0.5</f>
        <v>21.05</v>
      </c>
      <c r="E22" s="310">
        <f>20.65+1.5</f>
        <v>22.15</v>
      </c>
      <c r="F22" s="311">
        <v>22.65</v>
      </c>
      <c r="G22" s="311">
        <v>22.65</v>
      </c>
      <c r="H22" s="311">
        <v>22.65</v>
      </c>
      <c r="I22" s="311">
        <v>22.65</v>
      </c>
      <c r="J22" s="311">
        <v>22.65</v>
      </c>
    </row>
    <row r="23" spans="1:10">
      <c r="A23" s="339">
        <v>1100</v>
      </c>
      <c r="B23" s="340" t="s">
        <v>27</v>
      </c>
      <c r="C23" s="341">
        <f t="shared" ref="C23:J23" si="1">SUM(C17:C22)</f>
        <v>82.44</v>
      </c>
      <c r="D23" s="400">
        <f t="shared" si="1"/>
        <v>76.349999999999994</v>
      </c>
      <c r="E23" s="400">
        <f t="shared" si="1"/>
        <v>78.38</v>
      </c>
      <c r="F23" s="341">
        <f t="shared" si="1"/>
        <v>79.050000000000011</v>
      </c>
      <c r="G23" s="341">
        <f t="shared" si="1"/>
        <v>79.050000000000011</v>
      </c>
      <c r="H23" s="341">
        <f t="shared" si="1"/>
        <v>79.050000000000011</v>
      </c>
      <c r="I23" s="341">
        <f t="shared" si="1"/>
        <v>79.349999999999994</v>
      </c>
      <c r="J23" s="341">
        <f t="shared" si="1"/>
        <v>79.349999999999994</v>
      </c>
    </row>
    <row r="24" spans="1:10">
      <c r="A24" s="342">
        <v>1100</v>
      </c>
      <c r="B24" s="343" t="s">
        <v>28</v>
      </c>
      <c r="C24" s="344">
        <v>15</v>
      </c>
      <c r="D24" s="344">
        <v>18</v>
      </c>
      <c r="E24" s="344">
        <v>17</v>
      </c>
      <c r="F24" s="344">
        <v>18</v>
      </c>
      <c r="G24" s="344">
        <v>18</v>
      </c>
      <c r="H24" s="344">
        <v>18</v>
      </c>
      <c r="I24" s="344">
        <v>18</v>
      </c>
      <c r="J24" s="344">
        <v>18</v>
      </c>
    </row>
    <row r="25" spans="1:10" ht="7.5" customHeight="1">
      <c r="A25" s="332"/>
      <c r="B25" s="333"/>
      <c r="C25" s="334"/>
      <c r="D25" s="334"/>
      <c r="E25" s="334"/>
      <c r="F25" s="335"/>
      <c r="G25" s="335"/>
      <c r="H25" s="335"/>
      <c r="I25" s="335"/>
      <c r="J25" s="335"/>
    </row>
    <row r="26" spans="1:10">
      <c r="A26" s="332">
        <v>200</v>
      </c>
      <c r="B26" s="333" t="s">
        <v>24</v>
      </c>
      <c r="C26" s="334">
        <v>17.899999999999999</v>
      </c>
      <c r="D26" s="334">
        <f>6.8+6+3.5</f>
        <v>16.3</v>
      </c>
      <c r="E26" s="334">
        <f>6.8+6+3.5+1.6</f>
        <v>17.900000000000002</v>
      </c>
      <c r="F26" s="311">
        <v>17.399999999999999</v>
      </c>
      <c r="G26" s="311">
        <v>17.399999999999999</v>
      </c>
      <c r="H26" s="311">
        <v>17.399999999999999</v>
      </c>
      <c r="I26" s="310">
        <v>17.399999999999999</v>
      </c>
      <c r="J26" s="310">
        <v>17.399999999999999</v>
      </c>
    </row>
    <row r="27" spans="1:10">
      <c r="A27" s="332">
        <v>220</v>
      </c>
      <c r="B27" s="333" t="s">
        <v>116</v>
      </c>
      <c r="C27" s="334">
        <v>24.3</v>
      </c>
      <c r="D27" s="334">
        <f>20.1+4.2</f>
        <v>24.3</v>
      </c>
      <c r="E27" s="334">
        <f>21+3.2</f>
        <v>24.2</v>
      </c>
      <c r="F27" s="311">
        <v>26.1</v>
      </c>
      <c r="G27" s="311">
        <v>26.1</v>
      </c>
      <c r="H27" s="311">
        <v>26.1</v>
      </c>
      <c r="I27" s="310">
        <v>26.1</v>
      </c>
      <c r="J27" s="310">
        <v>26.1</v>
      </c>
    </row>
    <row r="28" spans="1:10">
      <c r="A28" s="332">
        <v>230</v>
      </c>
      <c r="B28" s="333" t="s">
        <v>146</v>
      </c>
      <c r="C28" s="334">
        <v>91.53</v>
      </c>
      <c r="D28" s="334">
        <f>92.5+6.62</f>
        <v>99.12</v>
      </c>
      <c r="E28" s="334">
        <f>87.6+5.31</f>
        <v>92.91</v>
      </c>
      <c r="F28" s="311">
        <v>102.74</v>
      </c>
      <c r="G28" s="311">
        <v>102.74</v>
      </c>
      <c r="H28" s="311">
        <v>102.74</v>
      </c>
      <c r="I28" s="310">
        <v>102.74</v>
      </c>
      <c r="J28" s="310">
        <v>102.74</v>
      </c>
    </row>
    <row r="29" spans="1:10">
      <c r="A29" s="332">
        <v>240</v>
      </c>
      <c r="B29" s="333" t="s">
        <v>29</v>
      </c>
      <c r="C29" s="334">
        <v>124.53</v>
      </c>
      <c r="D29" s="334">
        <f>93.7+26.17</f>
        <v>119.87</v>
      </c>
      <c r="E29" s="334">
        <f>101.2+22.78</f>
        <v>123.98</v>
      </c>
      <c r="F29" s="311">
        <v>125</v>
      </c>
      <c r="G29" s="311">
        <v>125</v>
      </c>
      <c r="H29" s="311">
        <v>125</v>
      </c>
      <c r="I29" s="310">
        <v>125</v>
      </c>
      <c r="J29" s="310">
        <v>125</v>
      </c>
    </row>
    <row r="30" spans="1:10">
      <c r="A30" s="332">
        <v>250</v>
      </c>
      <c r="B30" s="333" t="s">
        <v>147</v>
      </c>
      <c r="C30" s="334">
        <v>119.67</v>
      </c>
      <c r="D30" s="334">
        <f>114+7.24</f>
        <v>121.24</v>
      </c>
      <c r="E30" s="334">
        <f>114.7+8.59</f>
        <v>123.29</v>
      </c>
      <c r="F30" s="311">
        <v>121.56</v>
      </c>
      <c r="G30" s="311">
        <v>122.56</v>
      </c>
      <c r="H30" s="311">
        <v>125.56</v>
      </c>
      <c r="I30" s="310">
        <v>123.56</v>
      </c>
      <c r="J30" s="310">
        <v>127.56</v>
      </c>
    </row>
    <row r="31" spans="1:10">
      <c r="A31" s="332">
        <v>260</v>
      </c>
      <c r="B31" s="333" t="s">
        <v>30</v>
      </c>
      <c r="C31" s="334">
        <v>5.4</v>
      </c>
      <c r="D31" s="334">
        <f>3.7+1.4</f>
        <v>5.0999999999999996</v>
      </c>
      <c r="E31" s="334">
        <f>5.5+0.6</f>
        <v>6.1</v>
      </c>
      <c r="F31" s="311">
        <v>6.1</v>
      </c>
      <c r="G31" s="311">
        <v>6.1</v>
      </c>
      <c r="H31" s="311">
        <v>6.1</v>
      </c>
      <c r="I31" s="310">
        <v>6.1</v>
      </c>
      <c r="J31" s="310">
        <v>6.1</v>
      </c>
    </row>
    <row r="32" spans="1:10">
      <c r="A32" s="332">
        <v>270</v>
      </c>
      <c r="B32" s="333" t="s">
        <v>240</v>
      </c>
      <c r="C32" s="334">
        <v>35.42</v>
      </c>
      <c r="D32" s="334">
        <f>33.4+1.71</f>
        <v>35.11</v>
      </c>
      <c r="E32" s="334">
        <f>33.8+2.72</f>
        <v>36.519999999999996</v>
      </c>
      <c r="F32" s="311">
        <v>36.130000000000003</v>
      </c>
      <c r="G32" s="311">
        <v>36.130000000000003</v>
      </c>
      <c r="H32" s="311">
        <v>36.130000000000003</v>
      </c>
      <c r="I32" s="310">
        <v>36.130000000000003</v>
      </c>
      <c r="J32" s="310">
        <v>36.130000000000003</v>
      </c>
    </row>
    <row r="33" spans="1:10">
      <c r="A33" s="332">
        <v>280</v>
      </c>
      <c r="B33" s="333" t="s">
        <v>148</v>
      </c>
      <c r="C33" s="334">
        <v>73.319999999999993</v>
      </c>
      <c r="D33" s="335">
        <f>77.5+2.95</f>
        <v>80.45</v>
      </c>
      <c r="E33" s="335">
        <f>79+2.42</f>
        <v>81.42</v>
      </c>
      <c r="F33" s="311">
        <f>E33+6+3</f>
        <v>90.42</v>
      </c>
      <c r="G33" s="311">
        <v>84.8</v>
      </c>
      <c r="H33" s="311">
        <v>86.3</v>
      </c>
      <c r="I33" s="310">
        <v>86.3</v>
      </c>
      <c r="J33" s="310">
        <v>86.3</v>
      </c>
    </row>
    <row r="34" spans="1:10">
      <c r="A34" s="339">
        <v>1200</v>
      </c>
      <c r="B34" s="340" t="s">
        <v>58</v>
      </c>
      <c r="C34" s="341">
        <f t="shared" ref="C34:J34" si="2">SUM(C26:C33)</f>
        <v>492.07</v>
      </c>
      <c r="D34" s="341">
        <f t="shared" si="2"/>
        <v>501.49000000000007</v>
      </c>
      <c r="E34" s="341">
        <f t="shared" si="2"/>
        <v>506.32000000000005</v>
      </c>
      <c r="F34" s="341">
        <f t="shared" si="2"/>
        <v>525.45000000000005</v>
      </c>
      <c r="G34" s="341">
        <f t="shared" si="2"/>
        <v>520.83000000000004</v>
      </c>
      <c r="H34" s="341">
        <f t="shared" si="2"/>
        <v>525.33000000000004</v>
      </c>
      <c r="I34" s="341">
        <f t="shared" si="2"/>
        <v>523.33000000000004</v>
      </c>
      <c r="J34" s="341">
        <f t="shared" si="2"/>
        <v>527.33000000000004</v>
      </c>
    </row>
    <row r="35" spans="1:10">
      <c r="A35" s="342">
        <v>1200</v>
      </c>
      <c r="B35" s="343" t="s">
        <v>31</v>
      </c>
      <c r="C35" s="344">
        <v>9</v>
      </c>
      <c r="D35" s="344">
        <v>9</v>
      </c>
      <c r="E35" s="344">
        <v>10</v>
      </c>
      <c r="F35" s="344">
        <v>9</v>
      </c>
      <c r="G35" s="344">
        <v>8</v>
      </c>
      <c r="H35" s="344">
        <v>8</v>
      </c>
      <c r="I35" s="344">
        <v>8</v>
      </c>
      <c r="J35" s="344">
        <v>8</v>
      </c>
    </row>
    <row r="36" spans="1:10" ht="7.5" customHeight="1">
      <c r="A36" s="332"/>
      <c r="B36" s="333"/>
      <c r="C36" s="334"/>
      <c r="D36" s="334"/>
      <c r="E36" s="334"/>
      <c r="F36" s="335"/>
      <c r="G36" s="335"/>
      <c r="H36" s="335"/>
      <c r="I36" s="335"/>
      <c r="J36" s="335"/>
    </row>
    <row r="37" spans="1:10">
      <c r="A37" s="332">
        <v>300</v>
      </c>
      <c r="B37" s="333" t="s">
        <v>24</v>
      </c>
      <c r="C37" s="334">
        <v>48.48</v>
      </c>
      <c r="D37" s="334">
        <f>8.4+6.5+5.1+15.5+1+10.4</f>
        <v>46.9</v>
      </c>
      <c r="E37" s="334">
        <f>7.9+1.6+4.7+6.39+15.6+10.4+1.02</f>
        <v>47.61</v>
      </c>
      <c r="F37" s="310">
        <f>8.3+10.9+12.4+15.9</f>
        <v>47.5</v>
      </c>
      <c r="G37" s="310">
        <f>8.3+10.9+12.4+15.9</f>
        <v>47.5</v>
      </c>
      <c r="H37" s="310">
        <f>8.3+10.9+12.4+15.9</f>
        <v>47.5</v>
      </c>
      <c r="I37" s="310">
        <f>8.3+10.9+12.4+15.9</f>
        <v>47.5</v>
      </c>
      <c r="J37" s="310">
        <v>47.5</v>
      </c>
    </row>
    <row r="38" spans="1:10">
      <c r="A38" s="332">
        <v>310</v>
      </c>
      <c r="B38" s="333" t="s">
        <v>32</v>
      </c>
      <c r="C38" s="334">
        <v>201.23</v>
      </c>
      <c r="D38" s="334">
        <f>180.3+22.94</f>
        <v>203.24</v>
      </c>
      <c r="E38" s="334">
        <f>171.15+19.19</f>
        <v>190.34</v>
      </c>
      <c r="F38" s="311">
        <v>199.72</v>
      </c>
      <c r="G38" s="311">
        <v>199.72</v>
      </c>
      <c r="H38" s="311">
        <v>199.72</v>
      </c>
      <c r="I38" s="311">
        <v>199.72</v>
      </c>
      <c r="J38" s="311">
        <v>199.72</v>
      </c>
    </row>
    <row r="39" spans="1:10">
      <c r="A39" s="332">
        <v>320</v>
      </c>
      <c r="B39" s="333" t="s">
        <v>151</v>
      </c>
      <c r="C39" s="334">
        <v>82.26</v>
      </c>
      <c r="D39" s="334">
        <f>52.73+27.78</f>
        <v>80.509999999999991</v>
      </c>
      <c r="E39" s="334">
        <f>51.12+37.05</f>
        <v>88.169999999999987</v>
      </c>
      <c r="F39" s="311">
        <f>80.51+2.5</f>
        <v>83.01</v>
      </c>
      <c r="G39" s="335">
        <f>$E$39+0.74</f>
        <v>88.909999999999982</v>
      </c>
      <c r="H39" s="335">
        <f>$E$39+0.74</f>
        <v>88.909999999999982</v>
      </c>
      <c r="I39" s="335">
        <f>$E$39+0.74</f>
        <v>88.909999999999982</v>
      </c>
      <c r="J39" s="335">
        <f>$E$39+0.74</f>
        <v>88.909999999999982</v>
      </c>
    </row>
    <row r="40" spans="1:10">
      <c r="A40" s="332">
        <v>330</v>
      </c>
      <c r="B40" s="333" t="s">
        <v>154</v>
      </c>
      <c r="C40" s="334">
        <v>270.39999999999998</v>
      </c>
      <c r="D40" s="334">
        <f>229.41+33.87</f>
        <v>263.27999999999997</v>
      </c>
      <c r="E40" s="334">
        <f>234.96+28.79</f>
        <v>263.75</v>
      </c>
      <c r="F40" s="311">
        <v>257</v>
      </c>
      <c r="G40" s="311">
        <v>260</v>
      </c>
      <c r="H40" s="311">
        <v>260</v>
      </c>
      <c r="I40" s="311">
        <v>260</v>
      </c>
      <c r="J40" s="311">
        <v>260</v>
      </c>
    </row>
    <row r="41" spans="1:10">
      <c r="A41" s="332">
        <v>350</v>
      </c>
      <c r="B41" s="333" t="s">
        <v>33</v>
      </c>
      <c r="C41" s="334">
        <v>176.58</v>
      </c>
      <c r="D41" s="334">
        <f>159.25+18.56</f>
        <v>177.81</v>
      </c>
      <c r="E41" s="334">
        <f>152.45+22.41</f>
        <v>174.85999999999999</v>
      </c>
      <c r="F41" s="311">
        <v>178</v>
      </c>
      <c r="G41" s="311">
        <v>178</v>
      </c>
      <c r="H41" s="311">
        <v>178</v>
      </c>
      <c r="I41" s="311">
        <v>178</v>
      </c>
      <c r="J41" s="311">
        <v>178</v>
      </c>
    </row>
    <row r="42" spans="1:10">
      <c r="A42" s="332">
        <v>360</v>
      </c>
      <c r="B42" s="333" t="s">
        <v>34</v>
      </c>
      <c r="C42" s="334">
        <v>29.17</v>
      </c>
      <c r="D42" s="334">
        <f>27.7+1</f>
        <v>28.7</v>
      </c>
      <c r="E42" s="334">
        <f>29.1+2</f>
        <v>31.1</v>
      </c>
      <c r="F42" s="311">
        <v>30.55</v>
      </c>
      <c r="G42" s="311">
        <v>30.55</v>
      </c>
      <c r="H42" s="311">
        <v>30.55</v>
      </c>
      <c r="I42" s="311">
        <v>30.55</v>
      </c>
      <c r="J42" s="311">
        <v>30.55</v>
      </c>
    </row>
    <row r="43" spans="1:10">
      <c r="A43" s="332">
        <v>370</v>
      </c>
      <c r="B43" s="333" t="s">
        <v>156</v>
      </c>
      <c r="C43" s="334">
        <v>30.9</v>
      </c>
      <c r="D43" s="334">
        <f>24.58+6.65</f>
        <v>31.229999999999997</v>
      </c>
      <c r="E43" s="334">
        <f>26.15+7</f>
        <v>33.15</v>
      </c>
      <c r="F43" s="311">
        <v>31.09</v>
      </c>
      <c r="G43" s="335">
        <v>37.700000000000003</v>
      </c>
      <c r="H43" s="335">
        <v>37.700000000000003</v>
      </c>
      <c r="I43" s="335">
        <v>37.700000000000003</v>
      </c>
      <c r="J43" s="335">
        <v>37.700000000000003</v>
      </c>
    </row>
    <row r="44" spans="1:10">
      <c r="A44" s="332">
        <v>380</v>
      </c>
      <c r="B44" s="333" t="s">
        <v>157</v>
      </c>
      <c r="C44" s="334">
        <v>82.55</v>
      </c>
      <c r="D44" s="334">
        <f>47.9+24.88</f>
        <v>72.78</v>
      </c>
      <c r="E44" s="334">
        <f>47.4+29.12</f>
        <v>76.52</v>
      </c>
      <c r="F44" s="311">
        <v>82.55</v>
      </c>
      <c r="G44" s="311">
        <v>82.55</v>
      </c>
      <c r="H44" s="311">
        <v>82.55</v>
      </c>
      <c r="I44" s="311">
        <v>82.55</v>
      </c>
      <c r="J44" s="311">
        <v>82.55</v>
      </c>
    </row>
    <row r="45" spans="1:10">
      <c r="A45" s="339">
        <v>1300</v>
      </c>
      <c r="B45" s="340" t="s">
        <v>35</v>
      </c>
      <c r="C45" s="341">
        <f t="shared" ref="C45:J45" si="3">SUM(C37:C44)</f>
        <v>921.56999999999982</v>
      </c>
      <c r="D45" s="341">
        <f t="shared" si="3"/>
        <v>904.45</v>
      </c>
      <c r="E45" s="341">
        <f t="shared" si="3"/>
        <v>905.5</v>
      </c>
      <c r="F45" s="341">
        <f t="shared" si="3"/>
        <v>909.42</v>
      </c>
      <c r="G45" s="341">
        <f t="shared" si="3"/>
        <v>924.93</v>
      </c>
      <c r="H45" s="341">
        <f t="shared" si="3"/>
        <v>924.93</v>
      </c>
      <c r="I45" s="341">
        <f t="shared" si="3"/>
        <v>924.93</v>
      </c>
      <c r="J45" s="341">
        <f t="shared" si="3"/>
        <v>924.93</v>
      </c>
    </row>
    <row r="46" spans="1:10">
      <c r="A46" s="342">
        <v>1300</v>
      </c>
      <c r="B46" s="343" t="s">
        <v>36</v>
      </c>
      <c r="C46" s="344">
        <v>150</v>
      </c>
      <c r="D46" s="344">
        <v>154</v>
      </c>
      <c r="E46" s="344">
        <v>154</v>
      </c>
      <c r="F46" s="344">
        <v>158</v>
      </c>
      <c r="G46" s="344">
        <v>160</v>
      </c>
      <c r="H46" s="344">
        <v>160</v>
      </c>
      <c r="I46" s="344">
        <v>160</v>
      </c>
      <c r="J46" s="344">
        <v>160</v>
      </c>
    </row>
    <row r="47" spans="1:10" ht="7.5" customHeight="1">
      <c r="A47" s="332"/>
      <c r="B47" s="333"/>
      <c r="C47" s="334"/>
      <c r="D47" s="334"/>
      <c r="E47" s="334"/>
      <c r="F47" s="335"/>
      <c r="G47" s="335"/>
      <c r="H47" s="335"/>
      <c r="I47" s="335"/>
      <c r="J47" s="335"/>
    </row>
    <row r="48" spans="1:10">
      <c r="A48" s="332">
        <v>500</v>
      </c>
      <c r="B48" s="333" t="s">
        <v>24</v>
      </c>
      <c r="C48" s="334">
        <v>16.739999999999998</v>
      </c>
      <c r="D48" s="345">
        <f>6.1+0.24+4.4+0.43+5.2+1</f>
        <v>17.37</v>
      </c>
      <c r="E48" s="345">
        <f>6.8+0.25+4.3+0.3+5.2+1</f>
        <v>17.850000000000001</v>
      </c>
      <c r="F48" s="335">
        <f>6+0.25+5.7+1+3.5+0.3+1</f>
        <v>17.75</v>
      </c>
      <c r="G48" s="335">
        <f>6+0.25+5.7+1+3.5+0.3+1</f>
        <v>17.75</v>
      </c>
      <c r="H48" s="335">
        <f>6+0.25+5.7+1+3.5+0.3+1</f>
        <v>17.75</v>
      </c>
      <c r="I48" s="335">
        <f>6+0.25+5.7+1+3.5+0.3+1</f>
        <v>17.75</v>
      </c>
      <c r="J48" s="335">
        <f>6+0.25+5.7+1+3.5+0.3+1</f>
        <v>17.75</v>
      </c>
    </row>
    <row r="49" spans="1:10">
      <c r="A49" s="332">
        <v>510</v>
      </c>
      <c r="B49" s="333" t="s">
        <v>127</v>
      </c>
      <c r="C49" s="334">
        <f>337.11-C70</f>
        <v>300.81</v>
      </c>
      <c r="D49" s="334">
        <f>329.15+11.54-38.37</f>
        <v>302.32</v>
      </c>
      <c r="E49" s="334">
        <f>335.35+6.61-36.3-1.88</f>
        <v>303.78000000000003</v>
      </c>
      <c r="F49" s="335">
        <v>303.06</v>
      </c>
      <c r="G49" s="335">
        <v>303.06</v>
      </c>
      <c r="H49" s="335">
        <v>303.06</v>
      </c>
      <c r="I49" s="335">
        <v>303.06</v>
      </c>
      <c r="J49" s="335">
        <v>303.06</v>
      </c>
    </row>
    <row r="50" spans="1:10">
      <c r="A50" s="332">
        <v>520</v>
      </c>
      <c r="B50" s="333" t="s">
        <v>37</v>
      </c>
      <c r="C50" s="334">
        <v>169.48</v>
      </c>
      <c r="D50" s="334">
        <f>165.3+2.43</f>
        <v>167.73000000000002</v>
      </c>
      <c r="E50" s="334">
        <f>164.19+7.51</f>
        <v>171.7</v>
      </c>
      <c r="F50" s="335">
        <f>176.5-1</f>
        <v>175.5</v>
      </c>
      <c r="G50" s="335">
        <f>176.5-1</f>
        <v>175.5</v>
      </c>
      <c r="H50" s="335">
        <f>176.5-1</f>
        <v>175.5</v>
      </c>
      <c r="I50" s="335">
        <f>176.6-1</f>
        <v>175.6</v>
      </c>
      <c r="J50" s="335">
        <f>176.6-1</f>
        <v>175.6</v>
      </c>
    </row>
    <row r="51" spans="1:10">
      <c r="A51" s="332">
        <v>570</v>
      </c>
      <c r="B51" s="333" t="s">
        <v>38</v>
      </c>
      <c r="C51" s="334">
        <v>27</v>
      </c>
      <c r="D51" s="334">
        <f>26.8</f>
        <v>26.8</v>
      </c>
      <c r="E51" s="334">
        <f>26.9</f>
        <v>26.9</v>
      </c>
      <c r="F51" s="335">
        <v>27.3</v>
      </c>
      <c r="G51" s="335">
        <v>27.3</v>
      </c>
      <c r="H51" s="335">
        <v>27.3</v>
      </c>
      <c r="I51" s="335">
        <v>27.3</v>
      </c>
      <c r="J51" s="335">
        <v>27.3</v>
      </c>
    </row>
    <row r="52" spans="1:10">
      <c r="A52" s="332">
        <v>580</v>
      </c>
      <c r="B52" s="333" t="s">
        <v>316</v>
      </c>
      <c r="C52" s="334">
        <v>11.9</v>
      </c>
      <c r="D52" s="334">
        <f>12.45</f>
        <v>12.45</v>
      </c>
      <c r="E52" s="334">
        <f>11.5</f>
        <v>11.5</v>
      </c>
      <c r="F52" s="335">
        <v>11.9</v>
      </c>
      <c r="G52" s="335">
        <f>11.9</f>
        <v>11.9</v>
      </c>
      <c r="H52" s="335">
        <f>11.9</f>
        <v>11.9</v>
      </c>
      <c r="I52" s="335">
        <f>11.9</f>
        <v>11.9</v>
      </c>
      <c r="J52" s="335">
        <f>11.9</f>
        <v>11.9</v>
      </c>
    </row>
    <row r="53" spans="1:10">
      <c r="A53" s="339">
        <v>1500</v>
      </c>
      <c r="B53" s="340" t="s">
        <v>39</v>
      </c>
      <c r="C53" s="341">
        <f t="shared" ref="C53:J53" si="4">SUM(C48:C52)</f>
        <v>525.92999999999995</v>
      </c>
      <c r="D53" s="341">
        <f t="shared" si="4"/>
        <v>526.67000000000007</v>
      </c>
      <c r="E53" s="341">
        <f t="shared" si="4"/>
        <v>531.73</v>
      </c>
      <c r="F53" s="341">
        <f t="shared" si="4"/>
        <v>535.51</v>
      </c>
      <c r="G53" s="341">
        <f t="shared" si="4"/>
        <v>535.51</v>
      </c>
      <c r="H53" s="341">
        <f t="shared" si="4"/>
        <v>535.51</v>
      </c>
      <c r="I53" s="341">
        <f t="shared" si="4"/>
        <v>535.6099999999999</v>
      </c>
      <c r="J53" s="341">
        <f t="shared" si="4"/>
        <v>535.6099999999999</v>
      </c>
    </row>
    <row r="54" spans="1:10">
      <c r="A54" s="342">
        <v>1500</v>
      </c>
      <c r="B54" s="343" t="s">
        <v>40</v>
      </c>
      <c r="C54" s="344">
        <v>28</v>
      </c>
      <c r="D54" s="344">
        <v>26</v>
      </c>
      <c r="E54" s="344">
        <v>23</v>
      </c>
      <c r="F54" s="344">
        <f>12+2+7+3</f>
        <v>24</v>
      </c>
      <c r="G54" s="344">
        <f>12+2+7+3</f>
        <v>24</v>
      </c>
      <c r="H54" s="344">
        <f>12+2+7+3</f>
        <v>24</v>
      </c>
      <c r="I54" s="344">
        <f>12+2+7+3</f>
        <v>24</v>
      </c>
      <c r="J54" s="344">
        <f>12+2+7+3</f>
        <v>24</v>
      </c>
    </row>
    <row r="55" spans="1:10" ht="7.5" customHeight="1">
      <c r="A55" s="332"/>
      <c r="B55" s="333"/>
      <c r="C55" s="334"/>
      <c r="D55" s="334"/>
      <c r="E55" s="334"/>
      <c r="F55" s="335"/>
      <c r="G55" s="335"/>
      <c r="H55" s="335"/>
      <c r="I55" s="335"/>
      <c r="J55" s="335"/>
    </row>
    <row r="56" spans="1:10">
      <c r="A56" s="332">
        <v>600</v>
      </c>
      <c r="B56" s="333" t="s">
        <v>24</v>
      </c>
      <c r="C56" s="334">
        <v>9</v>
      </c>
      <c r="D56" s="337">
        <f>9.55+0.32</f>
        <v>9.870000000000001</v>
      </c>
      <c r="E56" s="337">
        <f>7.95+0.5</f>
        <v>8.4499999999999993</v>
      </c>
      <c r="F56" s="311">
        <v>9.35</v>
      </c>
      <c r="G56" s="311">
        <v>9.35</v>
      </c>
      <c r="H56" s="311">
        <v>9.35</v>
      </c>
      <c r="I56" s="311">
        <v>9.35</v>
      </c>
      <c r="J56" s="311">
        <v>9.35</v>
      </c>
    </row>
    <row r="57" spans="1:10">
      <c r="A57" s="332">
        <v>610</v>
      </c>
      <c r="B57" s="333" t="s">
        <v>162</v>
      </c>
      <c r="C57" s="334">
        <v>10.3</v>
      </c>
      <c r="D57" s="337">
        <f>10.4</f>
        <v>10.4</v>
      </c>
      <c r="E57" s="337">
        <f>9.5</f>
        <v>9.5</v>
      </c>
      <c r="F57" s="311">
        <v>9.4</v>
      </c>
      <c r="G57" s="311">
        <v>9.4</v>
      </c>
      <c r="H57" s="311">
        <v>9.4</v>
      </c>
      <c r="I57" s="311">
        <v>9.4</v>
      </c>
      <c r="J57" s="311">
        <v>9.4</v>
      </c>
    </row>
    <row r="58" spans="1:10">
      <c r="A58" s="332">
        <v>621</v>
      </c>
      <c r="B58" s="333" t="s">
        <v>327</v>
      </c>
      <c r="C58" s="334">
        <v>8</v>
      </c>
      <c r="D58" s="337">
        <v>8</v>
      </c>
      <c r="E58" s="337">
        <v>7</v>
      </c>
      <c r="F58" s="310">
        <v>8</v>
      </c>
      <c r="G58" s="310">
        <v>7</v>
      </c>
      <c r="H58" s="310">
        <v>7</v>
      </c>
      <c r="I58" s="310">
        <v>7</v>
      </c>
      <c r="J58" s="310">
        <v>7</v>
      </c>
    </row>
    <row r="59" spans="1:10">
      <c r="A59" s="332">
        <v>630</v>
      </c>
      <c r="B59" s="333" t="s">
        <v>41</v>
      </c>
      <c r="C59" s="334">
        <v>64.099999999999994</v>
      </c>
      <c r="D59" s="337">
        <f>61.9+0.8</f>
        <v>62.699999999999996</v>
      </c>
      <c r="E59" s="337">
        <f>59.8+2</f>
        <v>61.8</v>
      </c>
      <c r="F59" s="311">
        <v>62.4</v>
      </c>
      <c r="G59" s="311">
        <v>63</v>
      </c>
      <c r="H59" s="311">
        <v>63</v>
      </c>
      <c r="I59" s="311">
        <v>63</v>
      </c>
      <c r="J59" s="311">
        <v>63</v>
      </c>
    </row>
    <row r="60" spans="1:10">
      <c r="A60" s="332">
        <v>640</v>
      </c>
      <c r="B60" s="333" t="s">
        <v>42</v>
      </c>
      <c r="C60" s="334">
        <f>25.46-7.3</f>
        <v>18.16</v>
      </c>
      <c r="D60" s="334">
        <f>24.85+1.62-7.3</f>
        <v>19.170000000000002</v>
      </c>
      <c r="E60" s="334">
        <f>25.3+1.63-7.5</f>
        <v>19.43</v>
      </c>
      <c r="F60" s="311">
        <v>20.3</v>
      </c>
      <c r="G60" s="311">
        <f>27.6-7.3-0.5+0.5</f>
        <v>20.3</v>
      </c>
      <c r="H60" s="311">
        <f>20.3-0.5</f>
        <v>19.8</v>
      </c>
      <c r="I60" s="311">
        <f>20.3-0.5</f>
        <v>19.8</v>
      </c>
      <c r="J60" s="311">
        <f>20.3-0.5</f>
        <v>19.8</v>
      </c>
    </row>
    <row r="61" spans="1:10">
      <c r="A61" s="332">
        <v>650</v>
      </c>
      <c r="B61" s="333" t="s">
        <v>43</v>
      </c>
      <c r="C61" s="334">
        <v>51.28</v>
      </c>
      <c r="D61" s="337">
        <f>48.05+1.52</f>
        <v>49.57</v>
      </c>
      <c r="E61" s="337">
        <f>50</f>
        <v>50</v>
      </c>
      <c r="F61" s="311">
        <v>52.1</v>
      </c>
      <c r="G61" s="311">
        <v>52.1</v>
      </c>
      <c r="H61" s="311">
        <v>52.1</v>
      </c>
      <c r="I61" s="311">
        <v>52.1</v>
      </c>
      <c r="J61" s="311">
        <v>52.1</v>
      </c>
    </row>
    <row r="62" spans="1:10">
      <c r="A62" s="332">
        <v>660</v>
      </c>
      <c r="B62" s="333" t="s">
        <v>44</v>
      </c>
      <c r="C62" s="334">
        <v>15.42</v>
      </c>
      <c r="D62" s="337">
        <f>14.3+0.54</f>
        <v>14.84</v>
      </c>
      <c r="E62" s="337">
        <f>14.3+1.58</f>
        <v>15.88</v>
      </c>
      <c r="F62" s="311">
        <v>15</v>
      </c>
      <c r="G62" s="311">
        <v>15</v>
      </c>
      <c r="H62" s="311">
        <v>15</v>
      </c>
      <c r="I62" s="311">
        <v>15</v>
      </c>
      <c r="J62" s="311">
        <v>15</v>
      </c>
    </row>
    <row r="63" spans="1:10">
      <c r="A63" s="332">
        <v>670</v>
      </c>
      <c r="B63" s="333" t="s">
        <v>477</v>
      </c>
      <c r="C63" s="334">
        <v>15.42</v>
      </c>
      <c r="D63" s="337" t="s">
        <v>0</v>
      </c>
      <c r="E63" s="337" t="s">
        <v>0</v>
      </c>
      <c r="F63" s="312">
        <v>9.1</v>
      </c>
      <c r="G63" s="312">
        <v>9.1</v>
      </c>
      <c r="H63" s="312">
        <v>7.1</v>
      </c>
      <c r="I63" s="312">
        <v>7.1</v>
      </c>
      <c r="J63" s="312">
        <v>7.1</v>
      </c>
    </row>
    <row r="64" spans="1:10">
      <c r="A64" s="339">
        <v>1600</v>
      </c>
      <c r="B64" s="340" t="s">
        <v>45</v>
      </c>
      <c r="C64" s="341">
        <f t="shared" ref="C64:J64" si="5">SUM(C56:C63)</f>
        <v>191.67999999999995</v>
      </c>
      <c r="D64" s="341">
        <f t="shared" si="5"/>
        <v>174.55</v>
      </c>
      <c r="E64" s="341">
        <f t="shared" si="5"/>
        <v>172.06</v>
      </c>
      <c r="F64" s="341">
        <f t="shared" si="5"/>
        <v>185.65</v>
      </c>
      <c r="G64" s="341">
        <f t="shared" si="5"/>
        <v>185.25</v>
      </c>
      <c r="H64" s="341">
        <f t="shared" si="5"/>
        <v>182.75</v>
      </c>
      <c r="I64" s="341">
        <f t="shared" si="5"/>
        <v>182.75</v>
      </c>
      <c r="J64" s="341">
        <f t="shared" si="5"/>
        <v>182.75</v>
      </c>
    </row>
    <row r="65" spans="1:10">
      <c r="A65" s="342">
        <v>1600</v>
      </c>
      <c r="B65" s="343" t="s">
        <v>46</v>
      </c>
      <c r="C65" s="344">
        <v>9</v>
      </c>
      <c r="D65" s="344">
        <v>11</v>
      </c>
      <c r="E65" s="344">
        <v>11</v>
      </c>
      <c r="F65" s="344">
        <v>11</v>
      </c>
      <c r="G65" s="344">
        <v>11</v>
      </c>
      <c r="H65" s="344">
        <v>11</v>
      </c>
      <c r="I65" s="344">
        <v>11</v>
      </c>
      <c r="J65" s="344">
        <v>11</v>
      </c>
    </row>
    <row r="66" spans="1:10" ht="7.5" customHeight="1">
      <c r="A66" s="342"/>
      <c r="B66" s="343"/>
      <c r="C66" s="344"/>
      <c r="D66" s="344"/>
      <c r="E66" s="344"/>
      <c r="F66" s="346"/>
      <c r="G66" s="346"/>
      <c r="H66" s="346"/>
      <c r="I66" s="346"/>
      <c r="J66" s="346"/>
    </row>
    <row r="67" spans="1:10">
      <c r="A67" s="347"/>
      <c r="B67" s="348" t="s">
        <v>47</v>
      </c>
      <c r="C67" s="349">
        <f t="shared" ref="C67:J68" si="6">C14+C23+C34+C45+C53+C64</f>
        <v>2259.3699999999994</v>
      </c>
      <c r="D67" s="349">
        <f t="shared" si="6"/>
        <v>2228.7000000000003</v>
      </c>
      <c r="E67" s="349">
        <f t="shared" si="6"/>
        <v>2233.92</v>
      </c>
      <c r="F67" s="349">
        <f t="shared" si="6"/>
        <v>2267.06</v>
      </c>
      <c r="G67" s="349">
        <f t="shared" si="6"/>
        <v>2278.5500000000002</v>
      </c>
      <c r="H67" s="349">
        <f t="shared" si="6"/>
        <v>2280.5500000000002</v>
      </c>
      <c r="I67" s="349">
        <f t="shared" si="6"/>
        <v>2278.9499999999998</v>
      </c>
      <c r="J67" s="349">
        <f t="shared" si="6"/>
        <v>2282.9499999999998</v>
      </c>
    </row>
    <row r="68" spans="1:10">
      <c r="A68" s="350"/>
      <c r="B68" s="351" t="s">
        <v>48</v>
      </c>
      <c r="C68" s="352">
        <f t="shared" si="6"/>
        <v>211</v>
      </c>
      <c r="D68" s="352">
        <f t="shared" si="6"/>
        <v>218</v>
      </c>
      <c r="E68" s="352">
        <f t="shared" si="6"/>
        <v>215</v>
      </c>
      <c r="F68" s="352">
        <f t="shared" si="6"/>
        <v>220</v>
      </c>
      <c r="G68" s="352">
        <f t="shared" si="6"/>
        <v>221</v>
      </c>
      <c r="H68" s="352">
        <f t="shared" si="6"/>
        <v>221</v>
      </c>
      <c r="I68" s="352">
        <f t="shared" si="6"/>
        <v>221</v>
      </c>
      <c r="J68" s="352">
        <f t="shared" si="6"/>
        <v>221</v>
      </c>
    </row>
    <row r="69" spans="1:10" ht="7.5" customHeight="1">
      <c r="A69" s="332"/>
      <c r="B69" s="333"/>
      <c r="C69" s="334"/>
      <c r="D69" s="334"/>
      <c r="E69" s="334"/>
      <c r="F69" s="335"/>
      <c r="G69" s="335"/>
      <c r="H69" s="335"/>
      <c r="I69" s="335"/>
      <c r="J69" s="335"/>
    </row>
    <row r="70" spans="1:10">
      <c r="A70" s="332">
        <v>850</v>
      </c>
      <c r="B70" s="333" t="s">
        <v>49</v>
      </c>
      <c r="C70" s="334">
        <v>36.299999999999997</v>
      </c>
      <c r="D70" s="337">
        <f>36.1+2.27</f>
        <v>38.370000000000005</v>
      </c>
      <c r="E70" s="337">
        <f>36.3+1.88</f>
        <v>38.18</v>
      </c>
      <c r="F70" s="335">
        <v>38</v>
      </c>
      <c r="G70" s="335">
        <v>38</v>
      </c>
      <c r="H70" s="335">
        <v>38</v>
      </c>
      <c r="I70" s="335">
        <v>38</v>
      </c>
      <c r="J70" s="335">
        <v>38</v>
      </c>
    </row>
    <row r="71" spans="1:10">
      <c r="A71" s="332">
        <v>860</v>
      </c>
      <c r="B71" s="333" t="s">
        <v>50</v>
      </c>
      <c r="C71" s="334">
        <f>49.45-C58</f>
        <v>41.45</v>
      </c>
      <c r="D71" s="337">
        <f>50+1.39-8</f>
        <v>43.39</v>
      </c>
      <c r="E71" s="337">
        <f>49+0.45-7</f>
        <v>42.45</v>
      </c>
      <c r="F71" s="335">
        <v>44</v>
      </c>
      <c r="G71" s="335">
        <v>44</v>
      </c>
      <c r="H71" s="335">
        <v>44</v>
      </c>
      <c r="I71" s="335">
        <v>44</v>
      </c>
      <c r="J71" s="335">
        <v>44</v>
      </c>
    </row>
    <row r="72" spans="1:10">
      <c r="A72" s="332">
        <v>870</v>
      </c>
      <c r="B72" s="333" t="s">
        <v>51</v>
      </c>
      <c r="C72" s="334">
        <v>102.59</v>
      </c>
      <c r="D72" s="334">
        <f>91.8+11.5</f>
        <v>103.3</v>
      </c>
      <c r="E72" s="334">
        <f>89.2+8.5</f>
        <v>97.7</v>
      </c>
      <c r="F72" s="335">
        <f>E72</f>
        <v>97.7</v>
      </c>
      <c r="G72" s="335">
        <f>F72</f>
        <v>97.7</v>
      </c>
      <c r="H72" s="335">
        <f>G72</f>
        <v>97.7</v>
      </c>
      <c r="I72" s="335">
        <f>G72</f>
        <v>97.7</v>
      </c>
      <c r="J72" s="335">
        <v>97.7</v>
      </c>
    </row>
    <row r="73" spans="1:10">
      <c r="A73" s="332">
        <v>640.1</v>
      </c>
      <c r="B73" s="333" t="s">
        <v>52</v>
      </c>
      <c r="C73" s="334">
        <v>7.3</v>
      </c>
      <c r="D73" s="334">
        <v>7.3</v>
      </c>
      <c r="E73" s="334">
        <v>7.5</v>
      </c>
      <c r="F73" s="335">
        <v>7.3</v>
      </c>
      <c r="G73" s="335">
        <v>0</v>
      </c>
      <c r="H73" s="335">
        <v>0</v>
      </c>
      <c r="I73" s="335">
        <v>0</v>
      </c>
      <c r="J73" s="335">
        <v>0</v>
      </c>
    </row>
    <row r="74" spans="1:10" ht="7.5" customHeight="1">
      <c r="A74" s="332"/>
      <c r="B74" s="333"/>
      <c r="C74" s="334"/>
      <c r="D74" s="334"/>
      <c r="E74" s="334"/>
      <c r="F74" s="335"/>
      <c r="G74" s="335"/>
      <c r="H74" s="335"/>
      <c r="I74" s="335"/>
      <c r="J74" s="335"/>
    </row>
    <row r="75" spans="1:10">
      <c r="A75" s="347"/>
      <c r="B75" s="348" t="s">
        <v>53</v>
      </c>
      <c r="C75" s="349">
        <f t="shared" ref="C75:J75" si="7">SUM(C70:C73)</f>
        <v>187.64000000000001</v>
      </c>
      <c r="D75" s="349">
        <f t="shared" si="7"/>
        <v>192.36</v>
      </c>
      <c r="E75" s="349">
        <f t="shared" si="7"/>
        <v>185.82999999999998</v>
      </c>
      <c r="F75" s="349">
        <f t="shared" si="7"/>
        <v>187</v>
      </c>
      <c r="G75" s="349">
        <f t="shared" si="7"/>
        <v>179.7</v>
      </c>
      <c r="H75" s="349">
        <f t="shared" si="7"/>
        <v>179.7</v>
      </c>
      <c r="I75" s="349">
        <f>SUM(I70:I73)</f>
        <v>179.7</v>
      </c>
      <c r="J75" s="349">
        <f t="shared" si="7"/>
        <v>179.7</v>
      </c>
    </row>
    <row r="76" spans="1:10" ht="7.5" customHeight="1">
      <c r="A76" s="353"/>
      <c r="B76" s="354"/>
      <c r="C76" s="355"/>
      <c r="D76" s="355"/>
      <c r="E76" s="355"/>
      <c r="F76" s="355"/>
      <c r="G76" s="355"/>
      <c r="H76" s="355"/>
      <c r="I76" s="355"/>
      <c r="J76" s="355"/>
    </row>
    <row r="77" spans="1:10">
      <c r="A77" s="356"/>
      <c r="B77" s="357" t="s">
        <v>136</v>
      </c>
      <c r="C77" s="358">
        <f t="shared" ref="C77:J77" si="8">C67+C75</f>
        <v>2447.0099999999993</v>
      </c>
      <c r="D77" s="358">
        <f t="shared" si="8"/>
        <v>2421.0600000000004</v>
      </c>
      <c r="E77" s="358">
        <f t="shared" si="8"/>
        <v>2419.75</v>
      </c>
      <c r="F77" s="358">
        <f t="shared" si="8"/>
        <v>2454.06</v>
      </c>
      <c r="G77" s="358">
        <f t="shared" si="8"/>
        <v>2458.25</v>
      </c>
      <c r="H77" s="358">
        <f t="shared" si="8"/>
        <v>2460.25</v>
      </c>
      <c r="I77" s="358">
        <f>I67+I75</f>
        <v>2458.6499999999996</v>
      </c>
      <c r="J77" s="358">
        <f t="shared" si="8"/>
        <v>2462.6499999999996</v>
      </c>
    </row>
    <row r="78" spans="1:10">
      <c r="A78" s="350"/>
      <c r="B78" s="351" t="s">
        <v>54</v>
      </c>
      <c r="C78" s="352">
        <f t="shared" ref="C78:J78" si="9">C68</f>
        <v>211</v>
      </c>
      <c r="D78" s="352">
        <f t="shared" si="9"/>
        <v>218</v>
      </c>
      <c r="E78" s="352">
        <f t="shared" si="9"/>
        <v>215</v>
      </c>
      <c r="F78" s="352">
        <f t="shared" si="9"/>
        <v>220</v>
      </c>
      <c r="G78" s="352">
        <f t="shared" si="9"/>
        <v>221</v>
      </c>
      <c r="H78" s="352">
        <f t="shared" si="9"/>
        <v>221</v>
      </c>
      <c r="I78" s="352">
        <f>I68</f>
        <v>221</v>
      </c>
      <c r="J78" s="352">
        <f t="shared" si="9"/>
        <v>221</v>
      </c>
    </row>
    <row r="79" spans="1:10">
      <c r="C79" s="359"/>
      <c r="D79" s="359"/>
      <c r="E79" s="359"/>
      <c r="F79" s="359"/>
      <c r="G79" s="359"/>
      <c r="H79" s="359"/>
      <c r="I79" s="359"/>
      <c r="J79" s="359"/>
    </row>
    <row r="80" spans="1:10" ht="14.25">
      <c r="A80" s="360"/>
    </row>
    <row r="81" spans="1:10">
      <c r="A81" s="324" t="s">
        <v>55</v>
      </c>
      <c r="C81" s="361">
        <f t="shared" ref="C81:J81" si="10">C77-C14-C23-C34-C45-C53-C64-C75</f>
        <v>-2.5579538487363607E-13</v>
      </c>
      <c r="D81" s="361">
        <f t="shared" si="10"/>
        <v>2.8421709430404007E-13</v>
      </c>
      <c r="E81" s="361">
        <f t="shared" si="10"/>
        <v>0</v>
      </c>
      <c r="F81" s="361">
        <f t="shared" si="10"/>
        <v>-2.5579538487363607E-13</v>
      </c>
      <c r="G81" s="361">
        <f t="shared" si="10"/>
        <v>0</v>
      </c>
      <c r="H81" s="361">
        <f t="shared" si="10"/>
        <v>0</v>
      </c>
      <c r="I81" s="361">
        <f>I77-I14-I23-I34-I45-I53-I64-I75</f>
        <v>0</v>
      </c>
      <c r="J81" s="361">
        <f t="shared" si="10"/>
        <v>0</v>
      </c>
    </row>
    <row r="82" spans="1:10">
      <c r="C82" s="361">
        <f t="shared" ref="C82:J82" si="11">((SUM(C8:C75)-C68-C68+C75)/3-C77)</f>
        <v>1.3642420526593924E-12</v>
      </c>
      <c r="D82" s="361">
        <f t="shared" si="11"/>
        <v>-4.5474735088646412E-13</v>
      </c>
      <c r="E82" s="361">
        <f t="shared" si="11"/>
        <v>0</v>
      </c>
      <c r="F82" s="361">
        <f t="shared" si="11"/>
        <v>0</v>
      </c>
      <c r="G82" s="361">
        <f t="shared" si="11"/>
        <v>4.5474735088646412E-13</v>
      </c>
      <c r="H82" s="361">
        <f t="shared" si="11"/>
        <v>4.5474735088646412E-13</v>
      </c>
      <c r="I82" s="361">
        <f>((SUM(I8:I75)-I68-I68+I75)/3-I77)</f>
        <v>4.5474735088646412E-13</v>
      </c>
      <c r="J82" s="361">
        <f t="shared" si="11"/>
        <v>4.5474735088646412E-13</v>
      </c>
    </row>
    <row r="84" spans="1:10">
      <c r="B84" s="324" t="s">
        <v>56</v>
      </c>
      <c r="C84" s="327">
        <f>2172.12+258.22</f>
        <v>2430.34</v>
      </c>
      <c r="D84" s="327">
        <f>2188.87+232.2</f>
        <v>2421.0699999999997</v>
      </c>
      <c r="E84" s="327">
        <f>2181.07+238.65</f>
        <v>2419.7200000000003</v>
      </c>
    </row>
    <row r="85" spans="1:10">
      <c r="C85" s="361">
        <f>C77-C84</f>
        <v>16.669999999999163</v>
      </c>
      <c r="D85" s="361">
        <f>D77-D84</f>
        <v>-9.999999999308784E-3</v>
      </c>
      <c r="E85" s="361">
        <f>E77-E84</f>
        <v>2.9999999999745341E-2</v>
      </c>
    </row>
    <row r="86" spans="1:10">
      <c r="B86" s="324" t="s">
        <v>57</v>
      </c>
      <c r="C86" s="327">
        <v>211</v>
      </c>
      <c r="D86" s="327">
        <v>218</v>
      </c>
      <c r="E86" s="327">
        <v>215</v>
      </c>
    </row>
    <row r="87" spans="1:10">
      <c r="C87" s="361">
        <f>C78-C86</f>
        <v>0</v>
      </c>
      <c r="D87" s="361">
        <f>D78-D86</f>
        <v>0</v>
      </c>
      <c r="E87" s="361">
        <f>E78-E86</f>
        <v>0</v>
      </c>
    </row>
  </sheetData>
  <mergeCells count="1">
    <mergeCell ref="A1:J1"/>
  </mergeCells>
  <pageMargins left="0.89" right="0.19685039370078741" top="0.46" bottom="0.25" header="0.11811023622047245" footer="0.25"/>
  <pageSetup paperSize="9" scale="8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
  <dimension ref="A1:P44"/>
  <sheetViews>
    <sheetView workbookViewId="0"/>
  </sheetViews>
  <sheetFormatPr baseColWidth="10" defaultRowHeight="12.75"/>
  <cols>
    <col min="1" max="1" width="30.42578125" customWidth="1"/>
    <col min="2" max="7" width="9.7109375" customWidth="1"/>
    <col min="8" max="8" width="3.7109375" customWidth="1"/>
    <col min="9" max="9" width="25.7109375" customWidth="1"/>
    <col min="10" max="14" width="9.7109375" customWidth="1"/>
    <col min="15" max="15" width="10.5703125" customWidth="1"/>
  </cols>
  <sheetData>
    <row r="1" spans="1:16">
      <c r="A1" s="231"/>
      <c r="B1" s="232" t="s">
        <v>60</v>
      </c>
      <c r="C1" s="232" t="s">
        <v>61</v>
      </c>
      <c r="D1" s="232" t="s">
        <v>61</v>
      </c>
      <c r="E1" s="232" t="s">
        <v>61</v>
      </c>
      <c r="F1" s="232" t="s">
        <v>61</v>
      </c>
      <c r="G1" s="233"/>
      <c r="H1" s="232"/>
      <c r="I1" s="233"/>
      <c r="J1" s="232" t="s">
        <v>60</v>
      </c>
      <c r="K1" s="232" t="s">
        <v>61</v>
      </c>
      <c r="L1" s="232" t="s">
        <v>61</v>
      </c>
      <c r="M1" s="232" t="s">
        <v>61</v>
      </c>
      <c r="N1" s="232" t="s">
        <v>61</v>
      </c>
      <c r="O1" s="233"/>
      <c r="P1" s="233"/>
    </row>
    <row r="2" spans="1:16">
      <c r="A2" s="231"/>
      <c r="B2" s="234">
        <v>2012</v>
      </c>
      <c r="C2" s="234">
        <v>2013</v>
      </c>
      <c r="D2" s="234">
        <v>2014</v>
      </c>
      <c r="E2" s="234">
        <v>2015</v>
      </c>
      <c r="F2" s="234">
        <v>2016</v>
      </c>
      <c r="G2" s="233"/>
      <c r="H2" s="234"/>
      <c r="I2" s="235"/>
      <c r="J2" s="234">
        <v>2012</v>
      </c>
      <c r="K2" s="234">
        <v>2013</v>
      </c>
      <c r="L2" s="234">
        <v>2014</v>
      </c>
      <c r="M2" s="234">
        <v>2015</v>
      </c>
      <c r="N2" s="234">
        <v>2016</v>
      </c>
      <c r="O2" s="233"/>
      <c r="P2" s="233"/>
    </row>
    <row r="3" spans="1:16">
      <c r="A3" s="236"/>
      <c r="B3" s="235"/>
      <c r="C3" s="235"/>
      <c r="D3" s="235"/>
      <c r="E3" s="235"/>
      <c r="F3" s="235"/>
      <c r="G3" s="235"/>
      <c r="H3" s="235"/>
      <c r="I3" s="235"/>
      <c r="J3" s="235"/>
      <c r="K3" s="235"/>
      <c r="L3" s="235"/>
      <c r="M3" s="235"/>
      <c r="N3" s="235"/>
      <c r="O3" s="233"/>
      <c r="P3" s="233"/>
    </row>
    <row r="4" spans="1:16" ht="15">
      <c r="A4" s="237" t="s">
        <v>91</v>
      </c>
      <c r="B4" s="238">
        <v>70.430000000000007</v>
      </c>
      <c r="C4" s="238">
        <v>73.489999999999995</v>
      </c>
      <c r="D4" s="238">
        <v>88.54</v>
      </c>
      <c r="E4" s="238">
        <v>82.26</v>
      </c>
      <c r="F4" s="238">
        <v>83.02</v>
      </c>
      <c r="G4" s="239"/>
      <c r="H4" s="239"/>
      <c r="I4" s="237" t="s">
        <v>92</v>
      </c>
      <c r="J4" s="238">
        <v>-0.7</v>
      </c>
      <c r="K4" s="238">
        <v>0.23</v>
      </c>
      <c r="L4" s="238">
        <v>0.01</v>
      </c>
      <c r="M4" s="238">
        <v>0.16</v>
      </c>
      <c r="N4" s="238">
        <v>0.34</v>
      </c>
      <c r="O4" s="239"/>
      <c r="P4" s="239"/>
    </row>
    <row r="5" spans="1:16" ht="15">
      <c r="A5" s="237" t="s">
        <v>93</v>
      </c>
      <c r="B5" s="238">
        <v>3.55</v>
      </c>
      <c r="C5" s="238">
        <v>3.46</v>
      </c>
      <c r="D5" s="238">
        <v>3.94</v>
      </c>
      <c r="E5" s="238">
        <v>3.64</v>
      </c>
      <c r="F5" s="238">
        <v>3.63</v>
      </c>
      <c r="G5" s="239"/>
      <c r="H5" s="239"/>
      <c r="I5" s="237" t="s">
        <v>94</v>
      </c>
      <c r="J5" s="238">
        <v>2.58</v>
      </c>
      <c r="K5" s="238">
        <v>3.6</v>
      </c>
      <c r="L5" s="238">
        <v>3.1</v>
      </c>
      <c r="M5" s="238">
        <v>3.45</v>
      </c>
      <c r="N5" s="238">
        <v>4.5999999999999996</v>
      </c>
      <c r="O5" s="239"/>
      <c r="P5" s="239"/>
    </row>
    <row r="6" spans="1:16" ht="14.25">
      <c r="A6" s="240"/>
      <c r="B6" s="233"/>
      <c r="C6" s="233"/>
      <c r="D6" s="233"/>
      <c r="E6" s="233"/>
      <c r="F6" s="233"/>
      <c r="G6" s="233"/>
      <c r="H6" s="233"/>
      <c r="I6" s="241"/>
      <c r="J6" s="242"/>
      <c r="K6" s="242"/>
      <c r="L6" s="242"/>
      <c r="M6" s="242"/>
      <c r="N6" s="242"/>
      <c r="O6" s="233"/>
      <c r="P6" s="233"/>
    </row>
    <row r="7" spans="1:16">
      <c r="A7" s="233"/>
      <c r="B7" s="233"/>
      <c r="C7" s="233"/>
      <c r="D7" s="233"/>
      <c r="E7" s="233"/>
      <c r="F7" s="233"/>
      <c r="G7" s="233"/>
      <c r="H7" s="233"/>
      <c r="I7" s="233"/>
      <c r="J7" s="233"/>
      <c r="K7" s="233"/>
      <c r="L7" s="233"/>
      <c r="M7" s="233"/>
      <c r="N7" s="233"/>
      <c r="O7" s="233"/>
      <c r="P7" s="233"/>
    </row>
    <row r="8" spans="1:16">
      <c r="A8" s="242"/>
      <c r="B8" s="242"/>
      <c r="C8" s="242"/>
      <c r="D8" s="242"/>
      <c r="E8" s="242"/>
      <c r="F8" s="242"/>
      <c r="G8" s="242"/>
      <c r="H8" s="242"/>
      <c r="I8" s="242"/>
      <c r="J8" s="242"/>
      <c r="K8" s="242"/>
      <c r="L8" s="242"/>
      <c r="M8" s="242"/>
      <c r="N8" s="242"/>
      <c r="O8" s="242"/>
      <c r="P8" s="242"/>
    </row>
    <row r="9" spans="1:16">
      <c r="A9" s="242"/>
      <c r="B9" s="242"/>
      <c r="C9" s="242"/>
      <c r="D9" s="242"/>
      <c r="E9" s="242"/>
      <c r="F9" s="242"/>
      <c r="G9" s="242"/>
      <c r="H9" s="242"/>
      <c r="I9" s="242"/>
      <c r="J9" s="242"/>
      <c r="K9" s="242"/>
      <c r="L9" s="242"/>
      <c r="M9" s="242"/>
      <c r="N9" s="242"/>
      <c r="O9" s="242"/>
      <c r="P9" s="242"/>
    </row>
    <row r="10" spans="1:16">
      <c r="A10" s="242"/>
      <c r="B10" s="242"/>
      <c r="C10" s="242"/>
      <c r="D10" s="242"/>
      <c r="E10" s="242"/>
      <c r="F10" s="242"/>
      <c r="G10" s="242"/>
      <c r="H10" s="242"/>
      <c r="I10" s="242"/>
      <c r="J10" s="242"/>
      <c r="K10" s="242"/>
      <c r="L10" s="242"/>
      <c r="M10" s="242"/>
      <c r="N10" s="242"/>
      <c r="O10" s="242"/>
      <c r="P10" s="242"/>
    </row>
    <row r="11" spans="1:16">
      <c r="A11" s="242"/>
      <c r="B11" s="242"/>
      <c r="C11" s="242"/>
      <c r="D11" s="242"/>
      <c r="E11" s="242"/>
      <c r="F11" s="242"/>
      <c r="G11" s="242"/>
      <c r="H11" s="242"/>
      <c r="I11" s="242"/>
      <c r="J11" s="242"/>
      <c r="K11" s="242"/>
      <c r="L11" s="242"/>
      <c r="M11" s="242"/>
      <c r="N11" s="242"/>
      <c r="O11" s="242"/>
      <c r="P11" s="242"/>
    </row>
    <row r="12" spans="1:16">
      <c r="A12" s="242"/>
      <c r="B12" s="242"/>
      <c r="C12" s="242"/>
      <c r="D12" s="242"/>
      <c r="E12" s="242"/>
      <c r="F12" s="242"/>
      <c r="G12" s="242"/>
      <c r="H12" s="242"/>
      <c r="I12" s="242"/>
      <c r="J12" s="242"/>
      <c r="K12" s="242"/>
      <c r="L12" s="242"/>
      <c r="M12" s="242"/>
      <c r="N12" s="242"/>
      <c r="O12" s="242"/>
      <c r="P12" s="242"/>
    </row>
    <row r="13" spans="1:16">
      <c r="A13" s="242"/>
      <c r="B13" s="242"/>
      <c r="C13" s="242"/>
      <c r="D13" s="242"/>
      <c r="E13" s="242"/>
      <c r="F13" s="242"/>
      <c r="G13" s="242"/>
      <c r="H13" s="242"/>
      <c r="I13" s="242"/>
      <c r="J13" s="242"/>
      <c r="K13" s="242"/>
      <c r="L13" s="242"/>
      <c r="M13" s="242"/>
      <c r="N13" s="242"/>
      <c r="O13" s="242"/>
      <c r="P13" s="242"/>
    </row>
    <row r="14" spans="1:16">
      <c r="A14" s="242"/>
      <c r="B14" s="242"/>
      <c r="C14" s="242"/>
      <c r="D14" s="242"/>
      <c r="E14" s="242"/>
      <c r="F14" s="242"/>
      <c r="G14" s="242"/>
      <c r="H14" s="242"/>
      <c r="I14" s="242"/>
      <c r="J14" s="242"/>
      <c r="K14" s="242"/>
      <c r="L14" s="242"/>
      <c r="M14" s="242"/>
      <c r="N14" s="242"/>
      <c r="O14" s="242"/>
      <c r="P14" s="242"/>
    </row>
    <row r="15" spans="1:16">
      <c r="A15" s="242"/>
      <c r="B15" s="242"/>
      <c r="C15" s="242"/>
      <c r="D15" s="242"/>
      <c r="E15" s="242"/>
      <c r="F15" s="242"/>
      <c r="G15" s="242"/>
      <c r="H15" s="242"/>
      <c r="I15" s="242"/>
      <c r="J15" s="242"/>
      <c r="K15" s="242"/>
      <c r="L15" s="242"/>
      <c r="M15" s="242"/>
      <c r="N15" s="242"/>
      <c r="O15" s="242"/>
      <c r="P15" s="242"/>
    </row>
    <row r="16" spans="1:16">
      <c r="A16" s="242"/>
      <c r="B16" s="242"/>
      <c r="C16" s="242"/>
      <c r="D16" s="242"/>
      <c r="E16" s="242"/>
      <c r="F16" s="242"/>
      <c r="G16" s="242"/>
      <c r="H16" s="242"/>
      <c r="I16" s="242"/>
      <c r="J16" s="242"/>
      <c r="K16" s="242"/>
      <c r="L16" s="242"/>
      <c r="M16" s="242"/>
      <c r="N16" s="242"/>
      <c r="O16" s="242"/>
      <c r="P16" s="242"/>
    </row>
    <row r="17" spans="1:16">
      <c r="A17" s="242"/>
      <c r="B17" s="242"/>
      <c r="C17" s="242"/>
      <c r="D17" s="242"/>
      <c r="E17" s="242"/>
      <c r="F17" s="242"/>
      <c r="G17" s="242"/>
      <c r="H17" s="242"/>
      <c r="I17" s="242"/>
      <c r="J17" s="242"/>
      <c r="K17" s="242"/>
      <c r="L17" s="242"/>
      <c r="M17" s="242"/>
      <c r="N17" s="242"/>
      <c r="O17" s="242"/>
      <c r="P17" s="242"/>
    </row>
    <row r="18" spans="1:16">
      <c r="A18" s="242"/>
      <c r="B18" s="242"/>
      <c r="C18" s="242"/>
      <c r="D18" s="242"/>
      <c r="E18" s="242"/>
      <c r="F18" s="242"/>
      <c r="G18" s="242"/>
      <c r="H18" s="242"/>
      <c r="I18" s="242"/>
      <c r="J18" s="242"/>
      <c r="K18" s="242"/>
      <c r="L18" s="242"/>
      <c r="M18" s="242"/>
      <c r="N18" s="242"/>
      <c r="O18" s="242"/>
      <c r="P18" s="242"/>
    </row>
    <row r="19" spans="1:16">
      <c r="A19" s="242"/>
      <c r="B19" s="242"/>
      <c r="C19" s="242"/>
      <c r="D19" s="242"/>
      <c r="E19" s="242"/>
      <c r="F19" s="242"/>
      <c r="G19" s="242"/>
      <c r="H19" s="242"/>
      <c r="I19" s="242"/>
      <c r="J19" s="242"/>
      <c r="K19" s="242"/>
      <c r="L19" s="242"/>
      <c r="M19" s="242"/>
      <c r="N19" s="242"/>
      <c r="O19" s="242"/>
      <c r="P19" s="242"/>
    </row>
    <row r="20" spans="1:16">
      <c r="A20" s="242"/>
      <c r="B20" s="242"/>
      <c r="C20" s="242"/>
      <c r="D20" s="242"/>
      <c r="E20" s="242"/>
      <c r="F20" s="242"/>
      <c r="G20" s="242"/>
      <c r="H20" s="242"/>
      <c r="I20" s="242"/>
      <c r="J20" s="242"/>
      <c r="K20" s="242"/>
      <c r="L20" s="242"/>
      <c r="M20" s="242"/>
      <c r="N20" s="242"/>
      <c r="O20" s="242"/>
      <c r="P20" s="242"/>
    </row>
    <row r="21" spans="1:16">
      <c r="A21" s="242"/>
      <c r="B21" s="242"/>
      <c r="C21" s="242"/>
      <c r="D21" s="242"/>
      <c r="E21" s="242"/>
      <c r="F21" s="242"/>
      <c r="G21" s="242"/>
      <c r="H21" s="242"/>
      <c r="I21" s="242"/>
      <c r="J21" s="242"/>
      <c r="K21" s="242"/>
      <c r="L21" s="242"/>
      <c r="M21" s="242"/>
      <c r="N21" s="242"/>
      <c r="O21" s="242"/>
      <c r="P21" s="242"/>
    </row>
    <row r="22" spans="1:16">
      <c r="A22" s="242"/>
      <c r="B22" s="242"/>
      <c r="C22" s="242"/>
      <c r="D22" s="242"/>
      <c r="E22" s="242"/>
      <c r="F22" s="242"/>
      <c r="G22" s="242"/>
      <c r="H22" s="242"/>
      <c r="I22" s="242"/>
      <c r="J22" s="242"/>
      <c r="K22" s="242"/>
      <c r="L22" s="242"/>
      <c r="M22" s="242"/>
      <c r="N22" s="242"/>
      <c r="O22" s="242"/>
      <c r="P22" s="242"/>
    </row>
    <row r="23" spans="1:16">
      <c r="A23" s="242"/>
      <c r="B23" s="242"/>
      <c r="C23" s="242"/>
      <c r="D23" s="242"/>
      <c r="E23" s="242"/>
      <c r="F23" s="242"/>
      <c r="G23" s="242"/>
      <c r="H23" s="242"/>
      <c r="I23" s="242"/>
      <c r="J23" s="242"/>
      <c r="K23" s="242"/>
      <c r="L23" s="242"/>
      <c r="M23" s="242"/>
      <c r="N23" s="242"/>
      <c r="O23" s="242"/>
      <c r="P23" s="242"/>
    </row>
    <row r="24" spans="1:16">
      <c r="A24" s="242"/>
      <c r="B24" s="242"/>
      <c r="C24" s="242"/>
      <c r="D24" s="242"/>
      <c r="E24" s="242"/>
      <c r="F24" s="242"/>
      <c r="G24" s="242"/>
      <c r="H24" s="242"/>
      <c r="I24" s="242"/>
      <c r="J24" s="242"/>
      <c r="K24" s="242"/>
      <c r="L24" s="242"/>
      <c r="M24" s="242"/>
      <c r="N24" s="242"/>
      <c r="O24" s="242"/>
      <c r="P24" s="242"/>
    </row>
    <row r="25" spans="1:16">
      <c r="A25" s="242"/>
      <c r="B25" s="242"/>
      <c r="C25" s="242"/>
      <c r="D25" s="242"/>
      <c r="E25" s="242"/>
      <c r="F25" s="242"/>
      <c r="G25" s="242"/>
      <c r="H25" s="242"/>
      <c r="I25" s="242"/>
      <c r="J25" s="242"/>
      <c r="K25" s="242"/>
      <c r="L25" s="242"/>
      <c r="M25" s="242"/>
      <c r="N25" s="242"/>
      <c r="O25" s="242"/>
      <c r="P25" s="242"/>
    </row>
    <row r="26" spans="1:16">
      <c r="A26" s="242"/>
      <c r="B26" s="242"/>
      <c r="C26" s="242"/>
      <c r="D26" s="242"/>
      <c r="E26" s="242"/>
      <c r="F26" s="242"/>
      <c r="G26" s="242"/>
      <c r="H26" s="242"/>
      <c r="I26" s="242"/>
      <c r="J26" s="242"/>
      <c r="K26" s="242"/>
      <c r="L26" s="242"/>
      <c r="M26" s="242"/>
      <c r="N26" s="242"/>
      <c r="O26" s="242"/>
      <c r="P26" s="242"/>
    </row>
    <row r="27" spans="1:16">
      <c r="A27" s="242"/>
      <c r="B27" s="242"/>
      <c r="C27" s="242"/>
      <c r="D27" s="242"/>
      <c r="E27" s="242"/>
      <c r="F27" s="242"/>
      <c r="G27" s="242"/>
      <c r="H27" s="242"/>
      <c r="I27" s="242"/>
      <c r="J27" s="242"/>
      <c r="K27" s="242"/>
      <c r="L27" s="242"/>
      <c r="M27" s="242"/>
      <c r="N27" s="242"/>
      <c r="O27" s="242"/>
      <c r="P27" s="242"/>
    </row>
    <row r="28" spans="1:16">
      <c r="A28" s="242"/>
      <c r="B28" s="242"/>
      <c r="C28" s="242"/>
      <c r="D28" s="242"/>
      <c r="E28" s="242"/>
      <c r="F28" s="242"/>
      <c r="G28" s="242"/>
      <c r="H28" s="242"/>
      <c r="I28" s="242"/>
      <c r="J28" s="242"/>
      <c r="K28" s="242"/>
      <c r="L28" s="242"/>
      <c r="M28" s="242"/>
      <c r="N28" s="242"/>
      <c r="O28" s="242"/>
      <c r="P28" s="242"/>
    </row>
    <row r="29" spans="1:16">
      <c r="A29" s="242"/>
      <c r="B29" s="242"/>
      <c r="C29" s="242"/>
      <c r="D29" s="242"/>
      <c r="E29" s="242"/>
      <c r="F29" s="242"/>
      <c r="G29" s="242"/>
      <c r="H29" s="242"/>
      <c r="I29" s="242"/>
      <c r="J29" s="242"/>
      <c r="K29" s="242"/>
      <c r="L29" s="242"/>
      <c r="M29" s="242"/>
      <c r="N29" s="242"/>
      <c r="O29" s="242"/>
      <c r="P29" s="242"/>
    </row>
    <row r="30" spans="1:16">
      <c r="A30" s="242"/>
      <c r="B30" s="242"/>
      <c r="C30" s="242"/>
      <c r="D30" s="242"/>
      <c r="E30" s="242"/>
      <c r="F30" s="242"/>
      <c r="G30" s="242"/>
      <c r="H30" s="242"/>
      <c r="I30" s="242"/>
      <c r="J30" s="242"/>
      <c r="K30" s="242"/>
      <c r="L30" s="242"/>
      <c r="M30" s="242"/>
      <c r="N30" s="242"/>
      <c r="O30" s="242"/>
      <c r="P30" s="242"/>
    </row>
    <row r="31" spans="1:16">
      <c r="A31" s="242"/>
      <c r="B31" s="242"/>
      <c r="C31" s="242"/>
      <c r="D31" s="242"/>
      <c r="E31" s="242"/>
      <c r="F31" s="242"/>
      <c r="G31" s="242"/>
      <c r="H31" s="242"/>
      <c r="I31" s="242"/>
      <c r="J31" s="242"/>
      <c r="K31" s="242"/>
      <c r="L31" s="242"/>
      <c r="M31" s="242"/>
      <c r="N31" s="242"/>
      <c r="O31" s="242"/>
      <c r="P31" s="242"/>
    </row>
    <row r="32" spans="1:16">
      <c r="A32" s="242"/>
      <c r="B32" s="242"/>
      <c r="C32" s="242"/>
      <c r="D32" s="242"/>
      <c r="E32" s="242"/>
      <c r="F32" s="242"/>
      <c r="G32" s="242"/>
      <c r="H32" s="242"/>
      <c r="I32" s="242"/>
      <c r="J32" s="242"/>
      <c r="K32" s="242"/>
      <c r="L32" s="242"/>
      <c r="M32" s="242"/>
      <c r="N32" s="242"/>
      <c r="O32" s="242"/>
      <c r="P32" s="242"/>
    </row>
    <row r="33" spans="1:16">
      <c r="A33" s="242"/>
      <c r="B33" s="242"/>
      <c r="C33" s="242"/>
      <c r="D33" s="242"/>
      <c r="E33" s="242"/>
      <c r="F33" s="242"/>
      <c r="G33" s="242"/>
      <c r="H33" s="242"/>
      <c r="I33" s="242"/>
      <c r="J33" s="242"/>
      <c r="K33" s="242"/>
      <c r="L33" s="242"/>
      <c r="M33" s="242"/>
      <c r="N33" s="242"/>
      <c r="O33" s="242"/>
      <c r="P33" s="242"/>
    </row>
    <row r="34" spans="1:16">
      <c r="A34" s="242"/>
      <c r="B34" s="242"/>
      <c r="C34" s="242"/>
      <c r="D34" s="242"/>
      <c r="E34" s="242"/>
      <c r="F34" s="242"/>
      <c r="G34" s="242"/>
      <c r="H34" s="242"/>
      <c r="I34" s="242"/>
      <c r="J34" s="242"/>
      <c r="K34" s="242"/>
      <c r="L34" s="242"/>
      <c r="M34" s="242"/>
      <c r="N34" s="242"/>
      <c r="O34" s="242"/>
      <c r="P34" s="242"/>
    </row>
    <row r="35" spans="1:16" ht="13.5" thickBot="1">
      <c r="A35" s="242"/>
      <c r="B35" s="242"/>
      <c r="C35" s="242"/>
      <c r="D35" s="242"/>
      <c r="E35" s="242"/>
      <c r="F35" s="242"/>
      <c r="G35" s="242"/>
      <c r="H35" s="242"/>
      <c r="I35" s="242"/>
      <c r="J35" s="242"/>
      <c r="K35" s="242"/>
      <c r="L35" s="242"/>
      <c r="M35" s="242"/>
      <c r="N35" s="242"/>
      <c r="O35" s="242"/>
      <c r="P35" s="242"/>
    </row>
    <row r="36" spans="1:16">
      <c r="A36" s="243" t="s">
        <v>95</v>
      </c>
      <c r="B36" s="244"/>
      <c r="C36" s="245" t="s">
        <v>96</v>
      </c>
      <c r="D36" s="244"/>
      <c r="E36" s="244"/>
      <c r="F36" s="244"/>
      <c r="G36" s="246"/>
      <c r="H36" s="247"/>
      <c r="I36" s="243" t="s">
        <v>97</v>
      </c>
      <c r="J36" s="244"/>
      <c r="K36" s="244"/>
      <c r="L36" s="245" t="s">
        <v>98</v>
      </c>
      <c r="M36" s="245"/>
      <c r="N36" s="244"/>
      <c r="O36" s="246"/>
      <c r="P36" s="248"/>
    </row>
    <row r="37" spans="1:16">
      <c r="A37" s="249" t="s">
        <v>99</v>
      </c>
      <c r="B37" s="250"/>
      <c r="C37" s="250" t="s">
        <v>100</v>
      </c>
      <c r="D37" s="250"/>
      <c r="E37" s="250"/>
      <c r="F37" s="250"/>
      <c r="G37" s="251"/>
      <c r="H37" s="250"/>
      <c r="I37" s="249" t="s">
        <v>101</v>
      </c>
      <c r="J37" s="250"/>
      <c r="K37" s="250"/>
      <c r="L37" s="250" t="s">
        <v>102</v>
      </c>
      <c r="M37" s="250"/>
      <c r="N37" s="250"/>
      <c r="O37" s="251"/>
      <c r="P37" s="252"/>
    </row>
    <row r="38" spans="1:16">
      <c r="A38" s="249" t="s">
        <v>103</v>
      </c>
      <c r="B38" s="250"/>
      <c r="C38" s="250" t="s">
        <v>104</v>
      </c>
      <c r="D38" s="250"/>
      <c r="E38" s="250"/>
      <c r="F38" s="250"/>
      <c r="G38" s="251"/>
      <c r="H38" s="250"/>
      <c r="I38" s="249" t="s">
        <v>105</v>
      </c>
      <c r="J38" s="250"/>
      <c r="K38" s="253"/>
      <c r="L38" s="250" t="s">
        <v>106</v>
      </c>
      <c r="M38" s="250"/>
      <c r="N38" s="250"/>
      <c r="O38" s="251"/>
      <c r="P38" s="252"/>
    </row>
    <row r="39" spans="1:16">
      <c r="A39" s="249"/>
      <c r="B39" s="250"/>
      <c r="C39" s="250" t="s">
        <v>107</v>
      </c>
      <c r="D39" s="250"/>
      <c r="E39" s="250"/>
      <c r="F39" s="250"/>
      <c r="G39" s="251"/>
      <c r="H39" s="250"/>
      <c r="I39" s="254"/>
      <c r="J39" s="253"/>
      <c r="K39" s="253"/>
      <c r="L39" s="250" t="s">
        <v>108</v>
      </c>
      <c r="M39" s="250"/>
      <c r="N39" s="250"/>
      <c r="O39" s="251"/>
      <c r="P39" s="255"/>
    </row>
    <row r="40" spans="1:16">
      <c r="A40" s="256"/>
      <c r="B40" s="233"/>
      <c r="C40" s="257"/>
      <c r="D40" s="257"/>
      <c r="E40" s="257"/>
      <c r="F40" s="257"/>
      <c r="G40" s="258"/>
      <c r="H40" s="233"/>
      <c r="I40" s="249"/>
      <c r="J40" s="250"/>
      <c r="K40" s="250"/>
      <c r="L40" s="233"/>
      <c r="M40" s="233"/>
      <c r="N40" s="233"/>
      <c r="O40" s="258"/>
      <c r="P40" s="248"/>
    </row>
    <row r="41" spans="1:16">
      <c r="A41" s="249" t="s">
        <v>340</v>
      </c>
      <c r="B41" s="250"/>
      <c r="C41" s="250" t="s">
        <v>342</v>
      </c>
      <c r="D41" s="250"/>
      <c r="E41" s="250"/>
      <c r="F41" s="250"/>
      <c r="G41" s="258"/>
      <c r="H41" s="233"/>
      <c r="I41" s="249" t="s">
        <v>344</v>
      </c>
      <c r="J41" s="250"/>
      <c r="K41" s="250"/>
      <c r="L41" s="250" t="s">
        <v>346</v>
      </c>
      <c r="M41" s="250"/>
      <c r="N41" s="250"/>
      <c r="O41" s="251"/>
      <c r="P41" s="259"/>
    </row>
    <row r="42" spans="1:16">
      <c r="A42" s="249" t="s">
        <v>341</v>
      </c>
      <c r="B42" s="250"/>
      <c r="C42" s="250" t="s">
        <v>343</v>
      </c>
      <c r="D42" s="250"/>
      <c r="E42" s="250"/>
      <c r="F42" s="250"/>
      <c r="G42" s="258"/>
      <c r="H42" s="233"/>
      <c r="I42" s="249" t="s">
        <v>345</v>
      </c>
      <c r="J42" s="250"/>
      <c r="K42" s="250"/>
      <c r="L42" s="250" t="s">
        <v>347</v>
      </c>
      <c r="M42" s="250"/>
      <c r="N42" s="250"/>
      <c r="O42" s="251"/>
      <c r="P42" s="259"/>
    </row>
    <row r="43" spans="1:16" ht="13.5" thickBot="1">
      <c r="A43" s="260"/>
      <c r="B43" s="261"/>
      <c r="C43" s="261"/>
      <c r="D43" s="261"/>
      <c r="E43" s="261"/>
      <c r="F43" s="261"/>
      <c r="G43" s="262"/>
      <c r="H43" s="247"/>
      <c r="I43" s="260"/>
      <c r="J43" s="261"/>
      <c r="K43" s="261"/>
      <c r="L43" s="263"/>
      <c r="M43" s="263"/>
      <c r="N43" s="263"/>
      <c r="O43" s="264"/>
      <c r="P43" s="259"/>
    </row>
    <row r="44" spans="1:16">
      <c r="A44" s="242"/>
      <c r="B44" s="242"/>
      <c r="C44" s="242"/>
      <c r="D44" s="242"/>
      <c r="E44" s="242"/>
      <c r="F44" s="242"/>
      <c r="G44" s="242"/>
      <c r="H44" s="242"/>
      <c r="I44" s="242"/>
      <c r="J44" s="242"/>
      <c r="K44" s="242"/>
      <c r="L44" s="242"/>
      <c r="M44" s="242"/>
      <c r="N44" s="242"/>
      <c r="O44" s="242"/>
      <c r="P44" s="242"/>
    </row>
  </sheetData>
  <phoneticPr fontId="18" type="noConversion"/>
  <printOptions horizontalCentered="1"/>
  <pageMargins left="0" right="0" top="1.1811023622047245" bottom="0.78740157480314965" header="0.78740157480314965" footer="0.31496062992125984"/>
  <pageSetup paperSize="9" scale="83" orientation="landscape" r:id="rId1"/>
  <headerFooter alignWithMargins="0">
    <oddHeader>&amp;C&amp;"Arial,Fett"&amp;18Finanzkennzahlen&amp;RTabelle 4</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dimension ref="A1:O43"/>
  <sheetViews>
    <sheetView workbookViewId="0"/>
  </sheetViews>
  <sheetFormatPr baseColWidth="10" defaultRowHeight="12.75"/>
  <cols>
    <col min="1" max="1" width="30" customWidth="1"/>
    <col min="2" max="6" width="9.5703125" customWidth="1"/>
    <col min="7" max="7" width="10.5703125" customWidth="1"/>
    <col min="8" max="8" width="2.7109375" customWidth="1"/>
    <col min="9" max="9" width="29.140625" customWidth="1"/>
  </cols>
  <sheetData>
    <row r="1" spans="1:15">
      <c r="A1" s="231"/>
      <c r="B1" s="232" t="s">
        <v>60</v>
      </c>
      <c r="C1" s="232" t="s">
        <v>61</v>
      </c>
      <c r="D1" s="232" t="s">
        <v>61</v>
      </c>
      <c r="E1" s="232" t="s">
        <v>61</v>
      </c>
      <c r="F1" s="232" t="s">
        <v>61</v>
      </c>
      <c r="G1" s="233"/>
      <c r="H1" s="232"/>
      <c r="I1" s="233"/>
      <c r="J1" s="232"/>
      <c r="K1" s="232"/>
      <c r="L1" s="232"/>
      <c r="M1" s="232"/>
      <c r="N1" s="233"/>
      <c r="O1" s="233"/>
    </row>
    <row r="2" spans="1:15">
      <c r="A2" s="231"/>
      <c r="B2" s="234">
        <v>2012</v>
      </c>
      <c r="C2" s="234">
        <v>2013</v>
      </c>
      <c r="D2" s="234">
        <v>2014</v>
      </c>
      <c r="E2" s="234">
        <v>2015</v>
      </c>
      <c r="F2" s="234">
        <v>2016</v>
      </c>
      <c r="G2" s="233"/>
      <c r="H2" s="234"/>
      <c r="I2" s="235"/>
      <c r="J2" s="234"/>
      <c r="K2" s="265"/>
      <c r="L2" s="265"/>
      <c r="M2" s="265"/>
      <c r="N2" s="233"/>
      <c r="O2" s="233"/>
    </row>
    <row r="3" spans="1:15">
      <c r="A3" s="236"/>
      <c r="B3" s="235"/>
      <c r="C3" s="235"/>
      <c r="D3" s="235"/>
      <c r="E3" s="235"/>
      <c r="F3" s="235"/>
      <c r="G3" s="235"/>
      <c r="H3" s="235"/>
      <c r="I3" s="235"/>
      <c r="J3" s="235"/>
      <c r="K3" s="235"/>
      <c r="L3" s="235"/>
      <c r="M3" s="235"/>
      <c r="N3" s="233"/>
      <c r="O3" s="233"/>
    </row>
    <row r="4" spans="1:15" ht="15">
      <c r="A4" s="237" t="s">
        <v>109</v>
      </c>
      <c r="B4" s="238">
        <v>104.22</v>
      </c>
      <c r="C4" s="238">
        <v>103.72</v>
      </c>
      <c r="D4" s="238">
        <v>101.6</v>
      </c>
      <c r="E4" s="238">
        <v>101.57</v>
      </c>
      <c r="F4" s="238">
        <v>101.32</v>
      </c>
      <c r="G4" s="239"/>
      <c r="H4" s="239"/>
      <c r="I4" s="237"/>
      <c r="J4" s="238"/>
      <c r="K4" s="238"/>
      <c r="L4" s="238"/>
      <c r="M4" s="238"/>
      <c r="N4" s="239"/>
      <c r="O4" s="239"/>
    </row>
    <row r="5" spans="1:15" ht="15">
      <c r="A5" s="237" t="s">
        <v>110</v>
      </c>
      <c r="B5" s="238">
        <v>5.35</v>
      </c>
      <c r="C5" s="238">
        <v>5.03</v>
      </c>
      <c r="D5" s="238">
        <v>4.8099999999999996</v>
      </c>
      <c r="E5" s="238">
        <v>4.76</v>
      </c>
      <c r="F5" s="238">
        <v>4.71</v>
      </c>
      <c r="G5" s="239"/>
      <c r="H5" s="239"/>
      <c r="I5" s="237"/>
      <c r="J5" s="238"/>
      <c r="K5" s="238"/>
      <c r="L5" s="238"/>
      <c r="M5" s="238"/>
      <c r="N5" s="239"/>
      <c r="O5" s="239"/>
    </row>
    <row r="6" spans="1:15" ht="14.25">
      <c r="A6" s="240"/>
      <c r="B6" s="233"/>
      <c r="C6" s="233"/>
      <c r="D6" s="233"/>
      <c r="E6" s="233"/>
      <c r="F6" s="233"/>
      <c r="G6" s="233"/>
      <c r="H6" s="233"/>
      <c r="I6" s="241"/>
      <c r="J6" s="242"/>
      <c r="K6" s="242"/>
      <c r="L6" s="242"/>
      <c r="M6" s="242"/>
      <c r="N6" s="233"/>
      <c r="O6" s="233"/>
    </row>
    <row r="7" spans="1:15">
      <c r="A7" s="233"/>
      <c r="B7" s="233"/>
      <c r="C7" s="233"/>
      <c r="D7" s="233"/>
      <c r="E7" s="233"/>
      <c r="F7" s="233"/>
      <c r="G7" s="233"/>
      <c r="H7" s="233"/>
      <c r="I7" s="233"/>
      <c r="J7" s="233"/>
      <c r="K7" s="233"/>
      <c r="L7" s="233"/>
      <c r="M7" s="233"/>
      <c r="N7" s="233"/>
      <c r="O7" s="233"/>
    </row>
    <row r="8" spans="1:15">
      <c r="A8" s="242"/>
      <c r="B8" s="242"/>
      <c r="C8" s="242"/>
      <c r="D8" s="242"/>
      <c r="E8" s="242"/>
      <c r="F8" s="242"/>
      <c r="G8" s="242"/>
      <c r="H8" s="242"/>
      <c r="I8" s="242"/>
      <c r="J8" s="242"/>
      <c r="K8" s="242"/>
      <c r="L8" s="242"/>
      <c r="M8" s="242"/>
      <c r="N8" s="242"/>
      <c r="O8" s="242"/>
    </row>
    <row r="9" spans="1:15">
      <c r="A9" s="242"/>
      <c r="B9" s="242"/>
      <c r="C9" s="242"/>
      <c r="D9" s="242"/>
      <c r="E9" s="242"/>
      <c r="F9" s="242"/>
      <c r="G9" s="242"/>
      <c r="H9" s="242"/>
      <c r="I9" s="242"/>
      <c r="J9" s="242"/>
      <c r="K9" s="242"/>
      <c r="L9" s="242"/>
      <c r="M9" s="242"/>
      <c r="N9" s="242"/>
      <c r="O9" s="242"/>
    </row>
    <row r="10" spans="1:15">
      <c r="A10" s="242"/>
      <c r="B10" s="242"/>
      <c r="C10" s="242"/>
      <c r="D10" s="242"/>
      <c r="E10" s="242"/>
      <c r="F10" s="242"/>
      <c r="G10" s="242"/>
      <c r="H10" s="242"/>
      <c r="I10" s="242"/>
      <c r="J10" s="242"/>
      <c r="K10" s="242"/>
      <c r="L10" s="242"/>
      <c r="M10" s="242"/>
      <c r="N10" s="242"/>
      <c r="O10" s="242"/>
    </row>
    <row r="11" spans="1:15">
      <c r="A11" s="242"/>
      <c r="B11" s="242"/>
      <c r="C11" s="242"/>
      <c r="D11" s="242"/>
      <c r="E11" s="242"/>
      <c r="F11" s="242"/>
      <c r="G11" s="242"/>
      <c r="H11" s="242"/>
      <c r="I11" s="242"/>
      <c r="J11" s="242"/>
      <c r="K11" s="242"/>
      <c r="L11" s="242"/>
      <c r="M11" s="242"/>
      <c r="N11" s="242"/>
      <c r="O11" s="242"/>
    </row>
    <row r="12" spans="1:15">
      <c r="A12" s="242"/>
      <c r="B12" s="242"/>
      <c r="C12" s="242"/>
      <c r="D12" s="242"/>
      <c r="E12" s="242"/>
      <c r="F12" s="242"/>
      <c r="G12" s="242"/>
      <c r="H12" s="242"/>
      <c r="I12" s="242"/>
      <c r="J12" s="242"/>
      <c r="K12" s="242"/>
      <c r="L12" s="242"/>
      <c r="M12" s="242"/>
      <c r="N12" s="242"/>
      <c r="O12" s="242"/>
    </row>
    <row r="13" spans="1:15">
      <c r="A13" s="242"/>
      <c r="B13" s="242"/>
      <c r="C13" s="242"/>
      <c r="D13" s="242"/>
      <c r="E13" s="242"/>
      <c r="F13" s="242"/>
      <c r="G13" s="242"/>
      <c r="H13" s="242"/>
      <c r="I13" s="242"/>
      <c r="J13" s="242"/>
      <c r="K13" s="242"/>
      <c r="L13" s="242"/>
      <c r="M13" s="242"/>
      <c r="N13" s="242"/>
      <c r="O13" s="242"/>
    </row>
    <row r="14" spans="1:15">
      <c r="A14" s="242"/>
      <c r="B14" s="242"/>
      <c r="C14" s="242"/>
      <c r="D14" s="242"/>
      <c r="E14" s="242"/>
      <c r="F14" s="242"/>
      <c r="G14" s="242"/>
      <c r="H14" s="242"/>
      <c r="I14" s="242"/>
      <c r="J14" s="242"/>
      <c r="K14" s="242"/>
      <c r="L14" s="242"/>
      <c r="M14" s="242"/>
      <c r="N14" s="242"/>
      <c r="O14" s="242"/>
    </row>
    <row r="15" spans="1:15">
      <c r="A15" s="242"/>
      <c r="B15" s="242"/>
      <c r="C15" s="242"/>
      <c r="D15" s="242"/>
      <c r="E15" s="242"/>
      <c r="F15" s="242"/>
      <c r="G15" s="242"/>
      <c r="H15" s="242"/>
      <c r="I15" s="242"/>
      <c r="J15" s="242"/>
      <c r="K15" s="242"/>
      <c r="L15" s="242"/>
      <c r="M15" s="242"/>
      <c r="N15" s="242"/>
      <c r="O15" s="242"/>
    </row>
    <row r="16" spans="1:15">
      <c r="A16" s="242"/>
      <c r="B16" s="242"/>
      <c r="C16" s="242"/>
      <c r="D16" s="242"/>
      <c r="E16" s="242"/>
      <c r="F16" s="242"/>
      <c r="G16" s="242"/>
      <c r="H16" s="242"/>
      <c r="I16" s="242"/>
      <c r="J16" s="242"/>
      <c r="K16" s="242"/>
      <c r="L16" s="242"/>
      <c r="M16" s="242"/>
      <c r="N16" s="242"/>
      <c r="O16" s="242"/>
    </row>
    <row r="17" spans="1:15">
      <c r="A17" s="242"/>
      <c r="B17" s="242"/>
      <c r="C17" s="242"/>
      <c r="D17" s="242"/>
      <c r="E17" s="242"/>
      <c r="F17" s="242"/>
      <c r="G17" s="242"/>
      <c r="H17" s="242"/>
      <c r="I17" s="242"/>
      <c r="J17" s="242"/>
      <c r="K17" s="242"/>
      <c r="L17" s="242"/>
      <c r="M17" s="242"/>
      <c r="N17" s="242"/>
      <c r="O17" s="242"/>
    </row>
    <row r="18" spans="1:15">
      <c r="A18" s="242"/>
      <c r="B18" s="242"/>
      <c r="C18" s="242"/>
      <c r="D18" s="242"/>
      <c r="E18" s="242"/>
      <c r="F18" s="242"/>
      <c r="G18" s="242"/>
      <c r="H18" s="242"/>
      <c r="I18" s="242"/>
      <c r="J18" s="242"/>
      <c r="K18" s="242"/>
      <c r="L18" s="242"/>
      <c r="M18" s="242"/>
      <c r="N18" s="242"/>
      <c r="O18" s="242"/>
    </row>
    <row r="19" spans="1:15">
      <c r="A19" s="242"/>
      <c r="B19" s="242"/>
      <c r="C19" s="242"/>
      <c r="D19" s="242"/>
      <c r="E19" s="242"/>
      <c r="F19" s="242"/>
      <c r="G19" s="242"/>
      <c r="H19" s="242"/>
      <c r="I19" s="242"/>
      <c r="J19" s="242"/>
      <c r="K19" s="242"/>
      <c r="L19" s="242"/>
      <c r="M19" s="242"/>
      <c r="N19" s="242"/>
      <c r="O19" s="242"/>
    </row>
    <row r="20" spans="1:15">
      <c r="A20" s="242"/>
      <c r="B20" s="242"/>
      <c r="C20" s="242"/>
      <c r="D20" s="242"/>
      <c r="E20" s="242"/>
      <c r="F20" s="242"/>
      <c r="G20" s="242"/>
      <c r="H20" s="242"/>
      <c r="I20" s="242"/>
      <c r="J20" s="242"/>
      <c r="K20" s="242"/>
      <c r="L20" s="242"/>
      <c r="M20" s="242"/>
      <c r="N20" s="242"/>
      <c r="O20" s="242"/>
    </row>
    <row r="21" spans="1:15">
      <c r="A21" s="242"/>
      <c r="B21" s="242"/>
      <c r="C21" s="242"/>
      <c r="D21" s="242"/>
      <c r="E21" s="242"/>
      <c r="F21" s="242"/>
      <c r="G21" s="242"/>
      <c r="H21" s="242"/>
      <c r="I21" s="242"/>
      <c r="J21" s="242"/>
      <c r="K21" s="242"/>
      <c r="L21" s="242"/>
      <c r="M21" s="242"/>
      <c r="N21" s="242"/>
      <c r="O21" s="242"/>
    </row>
    <row r="22" spans="1:15">
      <c r="A22" s="242"/>
      <c r="B22" s="242"/>
      <c r="C22" s="242"/>
      <c r="D22" s="242"/>
      <c r="E22" s="242"/>
      <c r="F22" s="242"/>
      <c r="G22" s="242"/>
      <c r="H22" s="242"/>
      <c r="I22" s="242"/>
      <c r="J22" s="242"/>
      <c r="K22" s="242"/>
      <c r="L22" s="242"/>
      <c r="M22" s="242"/>
      <c r="N22" s="242"/>
      <c r="O22" s="242"/>
    </row>
    <row r="23" spans="1:15">
      <c r="A23" s="242"/>
      <c r="B23" s="242"/>
      <c r="C23" s="242"/>
      <c r="D23" s="242"/>
      <c r="E23" s="242"/>
      <c r="F23" s="242"/>
      <c r="G23" s="242"/>
      <c r="H23" s="242"/>
      <c r="I23" s="242"/>
      <c r="J23" s="242"/>
      <c r="K23" s="242"/>
      <c r="L23" s="242"/>
      <c r="M23" s="242"/>
      <c r="N23" s="242"/>
      <c r="O23" s="242"/>
    </row>
    <row r="24" spans="1:15">
      <c r="A24" s="242"/>
      <c r="B24" s="242"/>
      <c r="C24" s="242"/>
      <c r="D24" s="242"/>
      <c r="E24" s="242"/>
      <c r="F24" s="242"/>
      <c r="G24" s="242"/>
      <c r="H24" s="242"/>
      <c r="I24" s="242"/>
      <c r="J24" s="242"/>
      <c r="K24" s="242"/>
      <c r="L24" s="242"/>
      <c r="M24" s="242"/>
      <c r="N24" s="242"/>
      <c r="O24" s="242"/>
    </row>
    <row r="25" spans="1:15">
      <c r="A25" s="242"/>
      <c r="B25" s="242"/>
      <c r="C25" s="242"/>
      <c r="D25" s="242"/>
      <c r="E25" s="242"/>
      <c r="F25" s="242"/>
      <c r="G25" s="242"/>
      <c r="H25" s="242"/>
      <c r="I25" s="242"/>
      <c r="J25" s="242"/>
      <c r="K25" s="242"/>
      <c r="L25" s="242"/>
      <c r="M25" s="242"/>
      <c r="N25" s="242"/>
      <c r="O25" s="242"/>
    </row>
    <row r="26" spans="1:15">
      <c r="A26" s="242"/>
      <c r="B26" s="242"/>
      <c r="C26" s="242"/>
      <c r="D26" s="242"/>
      <c r="E26" s="242"/>
      <c r="F26" s="242"/>
      <c r="G26" s="242"/>
      <c r="H26" s="242"/>
      <c r="I26" s="242"/>
      <c r="J26" s="242"/>
      <c r="K26" s="242"/>
      <c r="L26" s="242"/>
      <c r="M26" s="242"/>
      <c r="N26" s="242"/>
      <c r="O26" s="242"/>
    </row>
    <row r="27" spans="1:15">
      <c r="A27" s="242"/>
      <c r="B27" s="242"/>
      <c r="C27" s="242"/>
      <c r="D27" s="242"/>
      <c r="E27" s="242"/>
      <c r="F27" s="242"/>
      <c r="G27" s="242"/>
      <c r="H27" s="242"/>
      <c r="I27" s="242"/>
      <c r="J27" s="242"/>
      <c r="K27" s="242"/>
      <c r="L27" s="242"/>
      <c r="M27" s="242"/>
      <c r="N27" s="242"/>
      <c r="O27" s="242"/>
    </row>
    <row r="28" spans="1:15">
      <c r="A28" s="242"/>
      <c r="B28" s="242"/>
      <c r="C28" s="242"/>
      <c r="D28" s="242"/>
      <c r="E28" s="242"/>
      <c r="F28" s="242"/>
      <c r="G28" s="242"/>
      <c r="H28" s="242"/>
      <c r="I28" s="242"/>
      <c r="J28" s="242"/>
      <c r="K28" s="242"/>
      <c r="L28" s="242"/>
      <c r="M28" s="242"/>
      <c r="N28" s="242"/>
      <c r="O28" s="242"/>
    </row>
    <row r="29" spans="1:15">
      <c r="A29" s="242"/>
      <c r="B29" s="242"/>
      <c r="C29" s="242"/>
      <c r="D29" s="242"/>
      <c r="E29" s="242"/>
      <c r="F29" s="242"/>
      <c r="G29" s="242"/>
      <c r="H29" s="242"/>
      <c r="I29" s="242"/>
      <c r="J29" s="242"/>
      <c r="K29" s="242"/>
      <c r="L29" s="242"/>
      <c r="M29" s="242"/>
      <c r="N29" s="242"/>
      <c r="O29" s="242"/>
    </row>
    <row r="30" spans="1:15">
      <c r="A30" s="242"/>
      <c r="B30" s="242"/>
      <c r="C30" s="242"/>
      <c r="D30" s="242"/>
      <c r="E30" s="242"/>
      <c r="F30" s="242"/>
      <c r="G30" s="242"/>
      <c r="H30" s="242"/>
      <c r="I30" s="242"/>
      <c r="J30" s="242"/>
      <c r="K30" s="242"/>
      <c r="L30" s="242"/>
      <c r="M30" s="242"/>
      <c r="N30" s="242"/>
      <c r="O30" s="242"/>
    </row>
    <row r="31" spans="1:15">
      <c r="A31" s="242"/>
      <c r="B31" s="242"/>
      <c r="C31" s="242"/>
      <c r="D31" s="242"/>
      <c r="E31" s="242"/>
      <c r="F31" s="242"/>
      <c r="G31" s="242"/>
      <c r="H31" s="242"/>
      <c r="I31" s="242"/>
      <c r="J31" s="242"/>
      <c r="K31" s="242"/>
      <c r="L31" s="242"/>
      <c r="M31" s="242"/>
      <c r="N31" s="242"/>
      <c r="O31" s="242"/>
    </row>
    <row r="32" spans="1:15">
      <c r="A32" s="242"/>
      <c r="B32" s="242"/>
      <c r="C32" s="242"/>
      <c r="D32" s="242"/>
      <c r="E32" s="242"/>
      <c r="F32" s="242"/>
      <c r="G32" s="242"/>
      <c r="H32" s="242"/>
      <c r="I32" s="242"/>
      <c r="J32" s="242"/>
      <c r="K32" s="242"/>
      <c r="L32" s="242"/>
      <c r="M32" s="242"/>
      <c r="N32" s="242"/>
      <c r="O32" s="242"/>
    </row>
    <row r="33" spans="1:15">
      <c r="A33" s="242"/>
      <c r="B33" s="242"/>
      <c r="C33" s="242"/>
      <c r="D33" s="242"/>
      <c r="E33" s="242"/>
      <c r="F33" s="242"/>
      <c r="G33" s="242"/>
      <c r="H33" s="242"/>
      <c r="I33" s="242"/>
      <c r="J33" s="242"/>
      <c r="K33" s="242"/>
      <c r="L33" s="242"/>
      <c r="M33" s="242"/>
      <c r="N33" s="242"/>
      <c r="O33" s="242"/>
    </row>
    <row r="34" spans="1:15">
      <c r="A34" s="242"/>
      <c r="B34" s="242"/>
      <c r="C34" s="242"/>
      <c r="D34" s="242"/>
      <c r="E34" s="242"/>
      <c r="F34" s="242"/>
      <c r="G34" s="242"/>
      <c r="H34" s="242"/>
      <c r="I34" s="242"/>
      <c r="J34" s="242"/>
      <c r="K34" s="242"/>
      <c r="L34" s="242"/>
      <c r="M34" s="242"/>
      <c r="N34" s="242"/>
      <c r="O34" s="242"/>
    </row>
    <row r="35" spans="1:15" ht="13.5" thickBot="1">
      <c r="A35" s="242"/>
      <c r="B35" s="242"/>
      <c r="C35" s="242"/>
      <c r="D35" s="242"/>
      <c r="E35" s="242"/>
      <c r="F35" s="242"/>
      <c r="G35" s="242"/>
      <c r="H35" s="242"/>
      <c r="I35" s="242"/>
      <c r="J35" s="242"/>
      <c r="K35" s="242"/>
      <c r="L35" s="242"/>
      <c r="M35" s="242"/>
      <c r="N35" s="242"/>
      <c r="O35" s="242"/>
    </row>
    <row r="36" spans="1:15">
      <c r="A36" s="243" t="s">
        <v>111</v>
      </c>
      <c r="B36" s="244"/>
      <c r="C36" s="245" t="s">
        <v>112</v>
      </c>
      <c r="D36" s="244"/>
      <c r="E36" s="244"/>
      <c r="F36" s="244"/>
      <c r="G36" s="246"/>
      <c r="H36" s="247"/>
      <c r="I36" s="257"/>
      <c r="J36" s="233"/>
      <c r="K36" s="233"/>
      <c r="L36" s="257"/>
      <c r="M36" s="233"/>
      <c r="N36" s="233"/>
      <c r="O36" s="266"/>
    </row>
    <row r="37" spans="1:15">
      <c r="A37" s="249" t="s">
        <v>582</v>
      </c>
      <c r="B37" s="250"/>
      <c r="C37" s="250" t="s">
        <v>113</v>
      </c>
      <c r="D37" s="250"/>
      <c r="E37" s="250"/>
      <c r="F37" s="250"/>
      <c r="G37" s="251"/>
      <c r="H37" s="250"/>
      <c r="I37" s="267"/>
      <c r="J37" s="250"/>
      <c r="K37" s="250"/>
      <c r="L37" s="250"/>
      <c r="M37" s="250"/>
      <c r="N37" s="250"/>
      <c r="O37" s="268"/>
    </row>
    <row r="38" spans="1:15">
      <c r="A38" s="249" t="s">
        <v>583</v>
      </c>
      <c r="B38" s="250"/>
      <c r="C38" s="250" t="s">
        <v>114</v>
      </c>
      <c r="D38" s="250"/>
      <c r="E38" s="250"/>
      <c r="F38" s="250"/>
      <c r="G38" s="251"/>
      <c r="H38" s="250"/>
      <c r="I38" s="267"/>
      <c r="J38" s="250"/>
      <c r="K38" s="253"/>
      <c r="L38" s="250"/>
      <c r="M38" s="250"/>
      <c r="N38" s="250"/>
      <c r="O38" s="268"/>
    </row>
    <row r="39" spans="1:15">
      <c r="A39" s="249" t="s">
        <v>584</v>
      </c>
      <c r="B39" s="250"/>
      <c r="C39" s="250"/>
      <c r="D39" s="250"/>
      <c r="E39" s="250"/>
      <c r="F39" s="250"/>
      <c r="G39" s="251"/>
      <c r="H39" s="250"/>
      <c r="I39" s="269"/>
      <c r="J39" s="253"/>
      <c r="K39" s="253"/>
      <c r="L39" s="250"/>
      <c r="M39" s="250"/>
      <c r="N39" s="250"/>
      <c r="O39" s="270"/>
    </row>
    <row r="40" spans="1:15">
      <c r="A40" s="256"/>
      <c r="B40" s="233"/>
      <c r="C40" s="257"/>
      <c r="D40" s="257"/>
      <c r="E40" s="257"/>
      <c r="F40" s="257"/>
      <c r="G40" s="258"/>
      <c r="H40" s="233"/>
      <c r="I40" s="267"/>
      <c r="J40" s="250"/>
      <c r="K40" s="250"/>
      <c r="L40" s="233"/>
      <c r="M40" s="233"/>
      <c r="N40" s="233"/>
      <c r="O40" s="266"/>
    </row>
    <row r="41" spans="1:15" ht="33.75">
      <c r="A41" s="271" t="s">
        <v>348</v>
      </c>
      <c r="B41" s="250"/>
      <c r="C41" s="580" t="s">
        <v>349</v>
      </c>
      <c r="D41" s="581"/>
      <c r="E41" s="581"/>
      <c r="F41" s="581"/>
      <c r="G41" s="582"/>
      <c r="H41" s="233"/>
      <c r="I41" s="267"/>
      <c r="J41" s="250"/>
      <c r="K41" s="250"/>
      <c r="L41" s="250"/>
      <c r="M41" s="250"/>
      <c r="N41" s="250"/>
      <c r="O41" s="272"/>
    </row>
    <row r="42" spans="1:15" ht="13.5" thickBot="1">
      <c r="A42" s="260"/>
      <c r="B42" s="261"/>
      <c r="C42" s="261"/>
      <c r="D42" s="261"/>
      <c r="E42" s="261"/>
      <c r="F42" s="261"/>
      <c r="G42" s="262"/>
      <c r="H42" s="247"/>
      <c r="I42" s="233"/>
      <c r="J42" s="233"/>
      <c r="K42" s="233"/>
      <c r="L42" s="250"/>
      <c r="M42" s="250"/>
      <c r="N42" s="250"/>
      <c r="O42" s="272"/>
    </row>
    <row r="43" spans="1:15">
      <c r="A43" s="242"/>
      <c r="B43" s="242"/>
      <c r="C43" s="242"/>
      <c r="D43" s="242"/>
      <c r="E43" s="242"/>
      <c r="F43" s="242"/>
      <c r="G43" s="242"/>
      <c r="H43" s="242"/>
      <c r="I43" s="242"/>
      <c r="J43" s="242"/>
      <c r="K43" s="242"/>
      <c r="L43" s="242"/>
      <c r="M43" s="242"/>
      <c r="N43" s="242"/>
      <c r="O43" s="273"/>
    </row>
  </sheetData>
  <mergeCells count="1">
    <mergeCell ref="C41:G41"/>
  </mergeCells>
  <phoneticPr fontId="18" type="noConversion"/>
  <printOptions horizontalCentered="1"/>
  <pageMargins left="0" right="0" top="1.1811023622047245" bottom="0.78740157480314965" header="0.78740157480314965" footer="0.31496062992125984"/>
  <pageSetup paperSize="9" scale="83" orientation="landscape" r:id="rId1"/>
  <headerFooter alignWithMargins="0">
    <oddHeader>&amp;C&amp;"Arial,Fett"&amp;18Finanzkennzahlen &amp;12(Fortsetzung)&amp;RTabelle 5</oddHeader>
    <oddFooter xml:space="preserve">&amp;C&amp;"Arial,Fett"&amp;12 </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2"/>
  <dimension ref="A1:Q412"/>
  <sheetViews>
    <sheetView zoomScaleNormal="100" workbookViewId="0">
      <pane ySplit="5" topLeftCell="A6" activePane="bottomLeft" state="frozen"/>
      <selection pane="bottomLeft" activeCell="A6" sqref="A6"/>
    </sheetView>
  </sheetViews>
  <sheetFormatPr baseColWidth="10" defaultRowHeight="11.25"/>
  <cols>
    <col min="1" max="1" width="56.42578125" style="108" customWidth="1"/>
    <col min="2" max="2" width="4.28515625" style="277" customWidth="1"/>
    <col min="3" max="6" width="10.5703125" style="109" customWidth="1"/>
    <col min="7" max="16384" width="11.42578125" style="108"/>
  </cols>
  <sheetData>
    <row r="1" spans="1:17" ht="18">
      <c r="A1" s="276" t="s">
        <v>134</v>
      </c>
    </row>
    <row r="2" spans="1:17">
      <c r="A2" s="278"/>
      <c r="C2" s="279"/>
      <c r="D2" s="279"/>
      <c r="E2" s="279"/>
      <c r="F2" s="279"/>
    </row>
    <row r="3" spans="1:17">
      <c r="A3" s="280"/>
      <c r="B3" s="281" t="s">
        <v>135</v>
      </c>
      <c r="C3" s="282" t="s">
        <v>375</v>
      </c>
      <c r="D3" s="282" t="s">
        <v>9</v>
      </c>
      <c r="E3" s="283" t="s">
        <v>131</v>
      </c>
      <c r="F3" s="283" t="s">
        <v>424</v>
      </c>
    </row>
    <row r="4" spans="1:17" s="135" customFormat="1" ht="15">
      <c r="A4" s="284" t="s">
        <v>136</v>
      </c>
      <c r="B4" s="285"/>
      <c r="C4" s="286">
        <f>C6+C11+C30+C56+C108+C127</f>
        <v>7850689</v>
      </c>
      <c r="D4" s="286">
        <f>D6+D11+D30+D56+D108+D127</f>
        <v>9773613</v>
      </c>
      <c r="E4" s="286">
        <f>E6+E11+E30+E56+E108+E127</f>
        <v>13926125</v>
      </c>
      <c r="F4" s="286">
        <f>F6+F11+F30+F56+F108+F127</f>
        <v>15020643</v>
      </c>
      <c r="G4" s="113">
        <v>7850689</v>
      </c>
      <c r="H4" s="113">
        <v>9773613</v>
      </c>
      <c r="I4" s="113">
        <v>13926125</v>
      </c>
      <c r="J4" s="315">
        <v>15020643</v>
      </c>
      <c r="K4" s="135" t="s">
        <v>137</v>
      </c>
    </row>
    <row r="5" spans="1:17" s="135" customFormat="1" ht="15">
      <c r="A5" s="288"/>
      <c r="B5" s="281"/>
      <c r="C5" s="287"/>
      <c r="D5" s="287"/>
      <c r="E5" s="287"/>
      <c r="F5" s="287"/>
      <c r="G5" s="289">
        <f>C4-G4</f>
        <v>0</v>
      </c>
      <c r="H5" s="289">
        <f>D4-H4</f>
        <v>0</v>
      </c>
      <c r="I5" s="289">
        <f>E4-I4</f>
        <v>0</v>
      </c>
      <c r="J5" s="289">
        <f>F4-J4</f>
        <v>0</v>
      </c>
      <c r="K5" s="135" t="s">
        <v>138</v>
      </c>
    </row>
    <row r="6" spans="1:17" s="135" customFormat="1" ht="15">
      <c r="A6" s="288" t="s">
        <v>139</v>
      </c>
      <c r="B6" s="281"/>
      <c r="C6" s="290">
        <f t="shared" ref="C6:F7" si="0">C7</f>
        <v>181400</v>
      </c>
      <c r="D6" s="290">
        <f t="shared" si="0"/>
        <v>181400</v>
      </c>
      <c r="E6" s="290">
        <f t="shared" si="0"/>
        <v>183360</v>
      </c>
      <c r="F6" s="290">
        <f t="shared" si="0"/>
        <v>184060</v>
      </c>
    </row>
    <row r="7" spans="1:17" ht="12.75">
      <c r="A7" s="291" t="s">
        <v>140</v>
      </c>
      <c r="B7" s="293"/>
      <c r="C7" s="294">
        <f t="shared" si="0"/>
        <v>181400</v>
      </c>
      <c r="D7" s="294">
        <f t="shared" si="0"/>
        <v>181400</v>
      </c>
      <c r="E7" s="294">
        <f t="shared" si="0"/>
        <v>183360</v>
      </c>
      <c r="F7" s="294">
        <f t="shared" si="0"/>
        <v>184060</v>
      </c>
      <c r="G7" s="135"/>
      <c r="H7" s="135"/>
      <c r="I7" s="135"/>
      <c r="J7" s="135"/>
      <c r="K7" s="135"/>
      <c r="L7" s="135"/>
      <c r="M7" s="135"/>
      <c r="N7" s="135"/>
      <c r="O7" s="135"/>
      <c r="P7" s="135"/>
      <c r="Q7" s="135"/>
    </row>
    <row r="8" spans="1:17">
      <c r="A8" s="401" t="s">
        <v>179</v>
      </c>
      <c r="B8" s="283"/>
      <c r="C8" s="294">
        <f>SUM(C9:C9)</f>
        <v>181400</v>
      </c>
      <c r="D8" s="294">
        <f>SUM(D9:D9)</f>
        <v>181400</v>
      </c>
      <c r="E8" s="294">
        <f>SUM(E9:E9)</f>
        <v>183360</v>
      </c>
      <c r="F8" s="294">
        <f>SUM(F9:F9)</f>
        <v>184060</v>
      </c>
      <c r="G8" s="135"/>
      <c r="H8" s="135"/>
      <c r="I8" s="135"/>
      <c r="J8" s="135"/>
      <c r="K8" s="135"/>
      <c r="L8" s="135"/>
      <c r="M8" s="135"/>
      <c r="N8" s="135"/>
      <c r="O8" s="135"/>
      <c r="P8" s="135"/>
      <c r="Q8" s="135"/>
    </row>
    <row r="9" spans="1:17">
      <c r="A9" s="315" t="s">
        <v>166</v>
      </c>
      <c r="B9" s="317"/>
      <c r="C9" s="113">
        <v>181400</v>
      </c>
      <c r="D9" s="113">
        <v>181400</v>
      </c>
      <c r="E9" s="113">
        <v>183360</v>
      </c>
      <c r="F9" s="113">
        <v>184060</v>
      </c>
      <c r="G9" s="135"/>
      <c r="H9" s="135"/>
      <c r="I9" s="135"/>
      <c r="J9" s="135"/>
      <c r="K9" s="135"/>
      <c r="L9" s="135"/>
      <c r="M9" s="135"/>
      <c r="N9" s="135"/>
      <c r="O9" s="135"/>
      <c r="P9" s="135"/>
      <c r="Q9" s="135"/>
    </row>
    <row r="10" spans="1:17">
      <c r="A10" s="280"/>
      <c r="B10" s="293"/>
      <c r="C10" s="294"/>
      <c r="D10" s="294"/>
      <c r="E10" s="294"/>
      <c r="F10" s="294"/>
      <c r="G10" s="135"/>
      <c r="H10" s="135"/>
      <c r="I10" s="135"/>
      <c r="J10" s="135"/>
      <c r="K10" s="135"/>
      <c r="L10" s="135"/>
      <c r="M10" s="135"/>
      <c r="N10" s="135"/>
      <c r="O10" s="135"/>
      <c r="P10" s="135"/>
      <c r="Q10" s="135"/>
    </row>
    <row r="11" spans="1:17" s="135" customFormat="1" ht="15">
      <c r="A11" s="288" t="s">
        <v>141</v>
      </c>
      <c r="B11" s="281"/>
      <c r="C11" s="290">
        <f>C12+C15+C18+C23+C26</f>
        <v>214250</v>
      </c>
      <c r="D11" s="290">
        <f>D12+D15+D18+D23+D26</f>
        <v>464250</v>
      </c>
      <c r="E11" s="290">
        <f>E12+E15+E18+E23+E26</f>
        <v>722080</v>
      </c>
      <c r="F11" s="290">
        <f>F12+F15+F18+F23+F26</f>
        <v>472930</v>
      </c>
    </row>
    <row r="12" spans="1:17" s="278" customFormat="1" ht="12.75">
      <c r="A12" s="291" t="s">
        <v>142</v>
      </c>
      <c r="B12" s="293"/>
      <c r="C12" s="294">
        <f>C13</f>
        <v>0</v>
      </c>
      <c r="D12" s="294">
        <f>D13</f>
        <v>0</v>
      </c>
      <c r="E12" s="294">
        <f>E13</f>
        <v>200000</v>
      </c>
      <c r="F12" s="294">
        <f>F13</f>
        <v>200000</v>
      </c>
      <c r="G12" s="135"/>
      <c r="H12" s="135"/>
      <c r="I12" s="135"/>
      <c r="J12" s="135"/>
      <c r="K12" s="135"/>
      <c r="L12" s="135"/>
      <c r="M12" s="135"/>
      <c r="N12" s="135"/>
      <c r="O12" s="135"/>
      <c r="P12" s="135"/>
      <c r="Q12" s="135"/>
    </row>
    <row r="13" spans="1:17" s="278" customFormat="1">
      <c r="A13" s="292" t="s">
        <v>202</v>
      </c>
      <c r="B13" s="293"/>
      <c r="C13" s="294">
        <f>SUM(C14:C14)</f>
        <v>0</v>
      </c>
      <c r="D13" s="294">
        <f>SUM(D14:D14)</f>
        <v>0</v>
      </c>
      <c r="E13" s="294">
        <f>SUM(E14:E14)</f>
        <v>200000</v>
      </c>
      <c r="F13" s="294">
        <f>SUM(F14:F14)</f>
        <v>200000</v>
      </c>
      <c r="G13" s="135"/>
      <c r="H13" s="135"/>
      <c r="I13" s="135"/>
      <c r="J13" s="135"/>
      <c r="K13" s="135"/>
      <c r="L13" s="135"/>
      <c r="M13" s="135"/>
      <c r="N13" s="135"/>
      <c r="O13" s="135"/>
      <c r="P13" s="135"/>
      <c r="Q13" s="135"/>
    </row>
    <row r="14" spans="1:17" s="278" customFormat="1">
      <c r="A14" s="315" t="s">
        <v>143</v>
      </c>
      <c r="B14" s="317"/>
      <c r="C14" s="113">
        <v>0</v>
      </c>
      <c r="D14" s="113">
        <v>0</v>
      </c>
      <c r="E14" s="113">
        <v>200000</v>
      </c>
      <c r="F14" s="113">
        <v>200000</v>
      </c>
      <c r="G14" s="135"/>
      <c r="H14" s="135"/>
      <c r="I14" s="135"/>
      <c r="J14" s="135"/>
      <c r="K14" s="135"/>
      <c r="L14" s="135"/>
      <c r="M14" s="135"/>
      <c r="N14" s="135"/>
      <c r="O14" s="135"/>
      <c r="P14" s="135"/>
      <c r="Q14" s="135"/>
    </row>
    <row r="15" spans="1:17" ht="12.75">
      <c r="A15" s="291" t="s">
        <v>205</v>
      </c>
      <c r="B15" s="293"/>
      <c r="C15" s="294">
        <f>C16</f>
        <v>0</v>
      </c>
      <c r="D15" s="294">
        <f>D16</f>
        <v>0</v>
      </c>
      <c r="E15" s="294">
        <f>E16</f>
        <v>46080</v>
      </c>
      <c r="F15" s="294">
        <f>F16</f>
        <v>46305</v>
      </c>
      <c r="G15" s="135"/>
      <c r="H15" s="135"/>
      <c r="I15" s="135"/>
      <c r="J15" s="135"/>
      <c r="K15" s="135"/>
      <c r="L15" s="135"/>
      <c r="M15" s="135"/>
      <c r="N15" s="135"/>
      <c r="O15" s="135"/>
      <c r="P15" s="135"/>
      <c r="Q15" s="135"/>
    </row>
    <row r="16" spans="1:17">
      <c r="A16" s="292" t="s">
        <v>204</v>
      </c>
      <c r="B16" s="293"/>
      <c r="C16" s="294">
        <f>SUM(C17:C17)</f>
        <v>0</v>
      </c>
      <c r="D16" s="294">
        <f>SUM(D17:D17)</f>
        <v>0</v>
      </c>
      <c r="E16" s="294">
        <f>SUM(E17:E17)</f>
        <v>46080</v>
      </c>
      <c r="F16" s="294">
        <f>SUM(F17:F17)</f>
        <v>46305</v>
      </c>
      <c r="G16" s="135"/>
      <c r="H16" s="135"/>
      <c r="I16" s="135"/>
      <c r="J16" s="135"/>
      <c r="K16" s="135"/>
      <c r="L16" s="135"/>
      <c r="M16" s="135"/>
      <c r="N16" s="135"/>
      <c r="O16" s="135"/>
      <c r="P16" s="135"/>
      <c r="Q16" s="135"/>
    </row>
    <row r="17" spans="1:17">
      <c r="A17" s="315" t="s">
        <v>425</v>
      </c>
      <c r="B17" s="317"/>
      <c r="C17" s="113">
        <v>0</v>
      </c>
      <c r="D17" s="113">
        <v>0</v>
      </c>
      <c r="E17" s="113">
        <v>46080</v>
      </c>
      <c r="F17" s="113">
        <v>46305</v>
      </c>
      <c r="G17" s="135"/>
      <c r="H17" s="135"/>
      <c r="I17" s="135"/>
      <c r="J17" s="135"/>
      <c r="K17" s="135"/>
      <c r="L17" s="135"/>
      <c r="M17" s="135"/>
      <c r="N17" s="135"/>
      <c r="O17" s="135"/>
      <c r="P17" s="135"/>
      <c r="Q17" s="135"/>
    </row>
    <row r="18" spans="1:17" s="316" customFormat="1" ht="12.75">
      <c r="A18" s="291" t="s">
        <v>25</v>
      </c>
      <c r="B18" s="318"/>
      <c r="C18" s="294">
        <f>C19</f>
        <v>80000</v>
      </c>
      <c r="D18" s="294">
        <f>D19</f>
        <v>80000</v>
      </c>
      <c r="E18" s="294">
        <f>E19</f>
        <v>90000</v>
      </c>
      <c r="F18" s="294">
        <f>F19</f>
        <v>90000</v>
      </c>
    </row>
    <row r="19" spans="1:17" s="316" customFormat="1">
      <c r="A19" s="292" t="s">
        <v>365</v>
      </c>
      <c r="B19" s="283"/>
      <c r="C19" s="294">
        <f>SUM(C20:C22)</f>
        <v>80000</v>
      </c>
      <c r="D19" s="294">
        <f>SUM(D20:D22)</f>
        <v>80000</v>
      </c>
      <c r="E19" s="294">
        <f>SUM(E20:E22)</f>
        <v>90000</v>
      </c>
      <c r="F19" s="294">
        <f>SUM(F20:F22)</f>
        <v>90000</v>
      </c>
    </row>
    <row r="20" spans="1:17" s="316" customFormat="1">
      <c r="A20" s="315" t="s">
        <v>426</v>
      </c>
      <c r="B20" s="317"/>
      <c r="C20" s="113">
        <v>40000</v>
      </c>
      <c r="D20" s="113">
        <v>40000</v>
      </c>
      <c r="E20" s="113">
        <v>40000</v>
      </c>
      <c r="F20" s="113">
        <v>40000</v>
      </c>
    </row>
    <row r="21" spans="1:17" s="316" customFormat="1">
      <c r="A21" s="315" t="s">
        <v>427</v>
      </c>
      <c r="B21" s="317"/>
      <c r="C21" s="113">
        <v>0</v>
      </c>
      <c r="D21" s="113">
        <v>0</v>
      </c>
      <c r="E21" s="113">
        <v>50000</v>
      </c>
      <c r="F21" s="113">
        <v>50000</v>
      </c>
    </row>
    <row r="22" spans="1:17" s="316" customFormat="1">
      <c r="A22" s="315" t="s">
        <v>428</v>
      </c>
      <c r="B22" s="317"/>
      <c r="C22" s="113">
        <v>40000</v>
      </c>
      <c r="D22" s="113">
        <v>40000</v>
      </c>
      <c r="E22" s="113">
        <v>0</v>
      </c>
      <c r="F22" s="113">
        <v>0</v>
      </c>
    </row>
    <row r="23" spans="1:17" s="316" customFormat="1" ht="12.75">
      <c r="A23" s="291" t="s">
        <v>26</v>
      </c>
      <c r="B23" s="318"/>
      <c r="C23" s="294">
        <f>C24</f>
        <v>134250</v>
      </c>
      <c r="D23" s="294">
        <f>D24</f>
        <v>134250</v>
      </c>
      <c r="E23" s="294">
        <f>E24</f>
        <v>136000</v>
      </c>
      <c r="F23" s="294">
        <f>F24</f>
        <v>136625</v>
      </c>
    </row>
    <row r="24" spans="1:17" s="316" customFormat="1">
      <c r="A24" s="292" t="s">
        <v>208</v>
      </c>
      <c r="B24" s="283"/>
      <c r="C24" s="294">
        <f>SUM(C25:C25)</f>
        <v>134250</v>
      </c>
      <c r="D24" s="294">
        <f>SUM(D25:D25)</f>
        <v>134250</v>
      </c>
      <c r="E24" s="294">
        <f>SUM(E25:E25)</f>
        <v>136000</v>
      </c>
      <c r="F24" s="294">
        <f>SUM(F25:F25)</f>
        <v>136625</v>
      </c>
    </row>
    <row r="25" spans="1:17" s="316" customFormat="1">
      <c r="A25" s="315" t="s">
        <v>429</v>
      </c>
      <c r="B25" s="317"/>
      <c r="C25" s="113">
        <v>134250</v>
      </c>
      <c r="D25" s="113">
        <v>134250</v>
      </c>
      <c r="E25" s="113">
        <v>136000</v>
      </c>
      <c r="F25" s="113">
        <v>136625</v>
      </c>
    </row>
    <row r="26" spans="1:17" ht="12.75">
      <c r="A26" s="291" t="s">
        <v>144</v>
      </c>
      <c r="B26" s="293"/>
      <c r="C26" s="294">
        <f>C27</f>
        <v>0</v>
      </c>
      <c r="D26" s="294">
        <f>D27</f>
        <v>250000</v>
      </c>
      <c r="E26" s="294">
        <f>E27</f>
        <v>250000</v>
      </c>
      <c r="F26" s="294">
        <f>F27</f>
        <v>0</v>
      </c>
      <c r="G26" s="135"/>
      <c r="H26" s="135"/>
      <c r="I26" s="135"/>
      <c r="J26" s="135"/>
      <c r="K26" s="135"/>
      <c r="L26" s="135"/>
      <c r="M26" s="135"/>
      <c r="N26" s="135"/>
      <c r="O26" s="135"/>
      <c r="P26" s="135"/>
      <c r="Q26" s="135"/>
    </row>
    <row r="27" spans="1:17">
      <c r="A27" s="292" t="s">
        <v>212</v>
      </c>
      <c r="B27" s="293"/>
      <c r="C27" s="294">
        <f>SUM(C28:C28)</f>
        <v>0</v>
      </c>
      <c r="D27" s="294">
        <f>SUM(D28:D28)</f>
        <v>250000</v>
      </c>
      <c r="E27" s="294">
        <f>SUM(E28:E28)</f>
        <v>250000</v>
      </c>
      <c r="F27" s="294">
        <f>SUM(F28:F28)</f>
        <v>0</v>
      </c>
      <c r="G27" s="135"/>
      <c r="H27" s="135"/>
      <c r="I27" s="135"/>
      <c r="J27" s="135"/>
      <c r="K27" s="135"/>
      <c r="L27" s="135"/>
      <c r="M27" s="135"/>
      <c r="N27" s="135"/>
      <c r="O27" s="135"/>
      <c r="P27" s="135"/>
      <c r="Q27" s="135"/>
    </row>
    <row r="28" spans="1:17" s="278" customFormat="1">
      <c r="A28" s="315" t="s">
        <v>430</v>
      </c>
      <c r="B28" s="317"/>
      <c r="C28" s="113">
        <v>0</v>
      </c>
      <c r="D28" s="113">
        <v>250000</v>
      </c>
      <c r="E28" s="113">
        <v>250000</v>
      </c>
      <c r="F28" s="113">
        <v>0</v>
      </c>
      <c r="G28" s="135"/>
      <c r="H28" s="135"/>
      <c r="I28" s="135"/>
      <c r="J28" s="135"/>
      <c r="K28" s="135"/>
      <c r="L28" s="135"/>
      <c r="M28" s="135"/>
      <c r="N28" s="135"/>
      <c r="O28" s="135"/>
      <c r="P28" s="135"/>
      <c r="Q28" s="135"/>
    </row>
    <row r="29" spans="1:17" s="278" customFormat="1">
      <c r="A29" s="280"/>
      <c r="B29" s="293"/>
      <c r="C29" s="294"/>
      <c r="D29" s="294"/>
      <c r="E29" s="294"/>
      <c r="F29" s="294"/>
      <c r="G29" s="135"/>
      <c r="H29" s="135"/>
      <c r="I29" s="135"/>
      <c r="J29" s="135"/>
      <c r="K29" s="135"/>
      <c r="L29" s="135"/>
      <c r="M29" s="135"/>
      <c r="N29" s="135"/>
      <c r="O29" s="135"/>
      <c r="P29" s="135"/>
      <c r="Q29" s="135"/>
    </row>
    <row r="30" spans="1:17" s="135" customFormat="1" ht="15">
      <c r="A30" s="288" t="s">
        <v>145</v>
      </c>
      <c r="B30" s="282"/>
      <c r="C30" s="290">
        <f>C31+C34+C38+C41+C44+C49+C52</f>
        <v>1876803</v>
      </c>
      <c r="D30" s="290">
        <f>D31+D34+D38+D41+D44+D49+D52</f>
        <v>2435767</v>
      </c>
      <c r="E30" s="290">
        <f>E31+E34+E38+E41+E44+E49+E52</f>
        <v>3451268</v>
      </c>
      <c r="F30" s="290">
        <f>F31+F34+F38+F41+F44+F49+F52</f>
        <v>2962229</v>
      </c>
    </row>
    <row r="31" spans="1:17" ht="12.75">
      <c r="A31" s="291" t="s">
        <v>362</v>
      </c>
      <c r="B31" s="319"/>
      <c r="C31" s="294">
        <f t="shared" ref="C31:F32" si="1">C32</f>
        <v>978770</v>
      </c>
      <c r="D31" s="294">
        <f t="shared" si="1"/>
        <v>987213</v>
      </c>
      <c r="E31" s="294">
        <f t="shared" si="1"/>
        <v>996603</v>
      </c>
      <c r="F31" s="294">
        <f t="shared" si="1"/>
        <v>1006084</v>
      </c>
      <c r="G31" s="135"/>
      <c r="H31" s="135"/>
      <c r="I31" s="135"/>
      <c r="J31" s="135"/>
      <c r="K31" s="135"/>
      <c r="L31" s="135"/>
      <c r="M31" s="135"/>
      <c r="N31" s="135"/>
      <c r="O31" s="135"/>
      <c r="P31" s="135"/>
      <c r="Q31" s="135"/>
    </row>
    <row r="32" spans="1:17">
      <c r="A32" s="292" t="s">
        <v>218</v>
      </c>
      <c r="B32" s="319"/>
      <c r="C32" s="294">
        <f t="shared" si="1"/>
        <v>978770</v>
      </c>
      <c r="D32" s="294">
        <f t="shared" si="1"/>
        <v>987213</v>
      </c>
      <c r="E32" s="294">
        <f t="shared" si="1"/>
        <v>996603</v>
      </c>
      <c r="F32" s="294">
        <f t="shared" si="1"/>
        <v>1006084</v>
      </c>
      <c r="G32" s="135"/>
      <c r="H32" s="135"/>
      <c r="I32" s="135"/>
      <c r="J32" s="135"/>
      <c r="K32" s="135"/>
      <c r="L32" s="135"/>
      <c r="M32" s="135"/>
      <c r="N32" s="135"/>
      <c r="O32" s="135"/>
      <c r="P32" s="135"/>
      <c r="Q32" s="135"/>
    </row>
    <row r="33" spans="1:17">
      <c r="A33" s="315" t="s">
        <v>431</v>
      </c>
      <c r="B33" s="317"/>
      <c r="C33" s="113">
        <v>978770</v>
      </c>
      <c r="D33" s="113">
        <v>987213</v>
      </c>
      <c r="E33" s="113">
        <v>996603</v>
      </c>
      <c r="F33" s="113">
        <v>1006084</v>
      </c>
      <c r="G33" s="135"/>
      <c r="H33" s="135"/>
      <c r="I33" s="135"/>
      <c r="J33" s="135"/>
      <c r="K33" s="135"/>
      <c r="L33" s="135"/>
      <c r="M33" s="135"/>
      <c r="N33" s="135"/>
      <c r="O33" s="135"/>
      <c r="P33" s="135"/>
      <c r="Q33" s="135"/>
    </row>
    <row r="34" spans="1:17" ht="12.75">
      <c r="A34" s="291" t="s">
        <v>116</v>
      </c>
      <c r="B34" s="319"/>
      <c r="C34" s="294">
        <f>C35</f>
        <v>0</v>
      </c>
      <c r="D34" s="294">
        <f>D35</f>
        <v>153933</v>
      </c>
      <c r="E34" s="294">
        <f>E35</f>
        <v>155900</v>
      </c>
      <c r="F34" s="294">
        <f>F35</f>
        <v>155900</v>
      </c>
      <c r="G34" s="135"/>
      <c r="H34" s="135"/>
      <c r="I34" s="135"/>
      <c r="J34" s="135"/>
      <c r="K34" s="135"/>
      <c r="L34" s="135"/>
      <c r="M34" s="135"/>
      <c r="N34" s="135"/>
      <c r="O34" s="135"/>
      <c r="P34" s="135"/>
      <c r="Q34" s="135"/>
    </row>
    <row r="35" spans="1:17">
      <c r="A35" s="292" t="s">
        <v>219</v>
      </c>
      <c r="B35" s="319"/>
      <c r="C35" s="294">
        <f>SUM(C36:C37)</f>
        <v>0</v>
      </c>
      <c r="D35" s="294">
        <f>SUM(D36:D37)</f>
        <v>153933</v>
      </c>
      <c r="E35" s="294">
        <f>SUM(E36:E37)</f>
        <v>155900</v>
      </c>
      <c r="F35" s="294">
        <f>SUM(F36:F37)</f>
        <v>155900</v>
      </c>
      <c r="G35" s="135"/>
      <c r="H35" s="135"/>
      <c r="I35" s="135"/>
      <c r="J35" s="135"/>
      <c r="K35" s="135"/>
      <c r="L35" s="135"/>
      <c r="M35" s="135"/>
      <c r="N35" s="135"/>
      <c r="O35" s="135"/>
      <c r="P35" s="135"/>
      <c r="Q35" s="135"/>
    </row>
    <row r="36" spans="1:17" s="278" customFormat="1">
      <c r="A36" s="315" t="s">
        <v>117</v>
      </c>
      <c r="B36" s="317"/>
      <c r="C36" s="113">
        <v>0</v>
      </c>
      <c r="D36" s="113">
        <v>50000</v>
      </c>
      <c r="E36" s="113">
        <v>0</v>
      </c>
      <c r="F36" s="113">
        <v>0</v>
      </c>
      <c r="G36" s="135"/>
      <c r="H36" s="135"/>
      <c r="I36" s="135"/>
      <c r="J36" s="135"/>
      <c r="K36" s="135"/>
      <c r="L36" s="135"/>
      <c r="M36" s="135"/>
      <c r="N36" s="135"/>
      <c r="O36" s="135"/>
      <c r="P36" s="135"/>
      <c r="Q36" s="135"/>
    </row>
    <row r="37" spans="1:17" s="278" customFormat="1">
      <c r="A37" s="315" t="s">
        <v>432</v>
      </c>
      <c r="B37" s="317"/>
      <c r="C37" s="113">
        <v>0</v>
      </c>
      <c r="D37" s="113">
        <v>103933</v>
      </c>
      <c r="E37" s="113">
        <v>155900</v>
      </c>
      <c r="F37" s="113">
        <v>155900</v>
      </c>
      <c r="G37" s="135"/>
      <c r="H37" s="135"/>
      <c r="I37" s="135"/>
      <c r="J37" s="135"/>
      <c r="K37" s="135"/>
      <c r="L37" s="135"/>
      <c r="M37" s="135"/>
      <c r="N37" s="135"/>
      <c r="O37" s="135"/>
      <c r="P37" s="135"/>
      <c r="Q37" s="135"/>
    </row>
    <row r="38" spans="1:17" s="278" customFormat="1" ht="12.75">
      <c r="A38" s="291" t="s">
        <v>146</v>
      </c>
      <c r="B38" s="293"/>
      <c r="C38" s="294">
        <f>C39</f>
        <v>114793</v>
      </c>
      <c r="D38" s="294">
        <f>D39</f>
        <v>131901</v>
      </c>
      <c r="E38" s="294">
        <f>E39</f>
        <v>131901</v>
      </c>
      <c r="F38" s="294">
        <f>F39</f>
        <v>131901</v>
      </c>
      <c r="G38" s="135"/>
      <c r="H38" s="135"/>
      <c r="I38" s="135"/>
      <c r="J38" s="135"/>
      <c r="K38" s="135"/>
      <c r="L38" s="135"/>
      <c r="M38" s="135"/>
      <c r="N38" s="135"/>
      <c r="O38" s="135"/>
      <c r="P38" s="135"/>
      <c r="Q38" s="135"/>
    </row>
    <row r="39" spans="1:17" s="295" customFormat="1">
      <c r="A39" s="292" t="s">
        <v>225</v>
      </c>
      <c r="B39" s="281"/>
      <c r="C39" s="294">
        <f>SUM(C40:C40)</f>
        <v>114793</v>
      </c>
      <c r="D39" s="294">
        <f>SUM(D40:D40)</f>
        <v>131901</v>
      </c>
      <c r="E39" s="294">
        <f>SUM(E40:E40)</f>
        <v>131901</v>
      </c>
      <c r="F39" s="294">
        <f>SUM(F40:F40)</f>
        <v>131901</v>
      </c>
      <c r="G39" s="135"/>
      <c r="H39" s="135"/>
      <c r="I39" s="135"/>
      <c r="J39" s="135"/>
      <c r="K39" s="135"/>
      <c r="L39" s="135"/>
      <c r="M39" s="135"/>
      <c r="N39" s="135"/>
      <c r="O39" s="135"/>
      <c r="P39" s="135"/>
      <c r="Q39" s="135"/>
    </row>
    <row r="40" spans="1:17" s="278" customFormat="1">
      <c r="A40" s="315" t="s">
        <v>433</v>
      </c>
      <c r="B40" s="317"/>
      <c r="C40" s="113">
        <v>114793</v>
      </c>
      <c r="D40" s="113">
        <v>131901</v>
      </c>
      <c r="E40" s="113">
        <v>131901</v>
      </c>
      <c r="F40" s="113">
        <v>131901</v>
      </c>
      <c r="G40" s="135"/>
      <c r="H40" s="135"/>
      <c r="I40" s="135"/>
      <c r="J40" s="135"/>
      <c r="K40" s="135"/>
      <c r="L40" s="135"/>
      <c r="M40" s="135"/>
      <c r="N40" s="135"/>
      <c r="O40" s="135"/>
      <c r="P40" s="135"/>
      <c r="Q40" s="135"/>
    </row>
    <row r="41" spans="1:17" s="278" customFormat="1" ht="12.75">
      <c r="A41" s="291" t="s">
        <v>147</v>
      </c>
      <c r="B41" s="293"/>
      <c r="C41" s="294">
        <f t="shared" ref="C41:F44" si="2">C42</f>
        <v>0</v>
      </c>
      <c r="D41" s="294">
        <f t="shared" si="2"/>
        <v>500000</v>
      </c>
      <c r="E41" s="294">
        <f t="shared" si="2"/>
        <v>1500000</v>
      </c>
      <c r="F41" s="294">
        <f t="shared" si="2"/>
        <v>1000000</v>
      </c>
      <c r="G41" s="135"/>
      <c r="H41" s="135"/>
      <c r="I41" s="135"/>
      <c r="J41" s="135"/>
      <c r="K41" s="135"/>
      <c r="L41" s="135"/>
      <c r="M41" s="135"/>
      <c r="N41" s="135"/>
      <c r="O41" s="135"/>
      <c r="P41" s="135"/>
      <c r="Q41" s="135"/>
    </row>
    <row r="42" spans="1:17">
      <c r="A42" s="292" t="s">
        <v>231</v>
      </c>
      <c r="B42" s="319"/>
      <c r="C42" s="294">
        <f>SUM(C43:C43)</f>
        <v>0</v>
      </c>
      <c r="D42" s="294">
        <f>SUM(D43:D43)</f>
        <v>500000</v>
      </c>
      <c r="E42" s="294">
        <f>SUM(E43:E43)</f>
        <v>1500000</v>
      </c>
      <c r="F42" s="294">
        <f>SUM(F43:F43)</f>
        <v>1000000</v>
      </c>
      <c r="G42" s="135"/>
      <c r="H42" s="135"/>
      <c r="I42" s="135"/>
      <c r="J42" s="135"/>
      <c r="K42" s="135"/>
      <c r="L42" s="135"/>
      <c r="M42" s="135"/>
      <c r="N42" s="135"/>
      <c r="O42" s="135"/>
      <c r="P42" s="135"/>
      <c r="Q42" s="135"/>
    </row>
    <row r="43" spans="1:17">
      <c r="A43" s="280" t="s">
        <v>121</v>
      </c>
      <c r="B43" s="319"/>
      <c r="C43" s="113">
        <v>0</v>
      </c>
      <c r="D43" s="113">
        <v>500000</v>
      </c>
      <c r="E43" s="113">
        <v>1500000</v>
      </c>
      <c r="F43" s="113">
        <v>1000000</v>
      </c>
      <c r="G43" s="135"/>
      <c r="H43" s="135"/>
      <c r="I43" s="135"/>
      <c r="J43" s="135"/>
      <c r="K43" s="135"/>
      <c r="L43" s="135"/>
      <c r="M43" s="135"/>
      <c r="N43" s="135"/>
      <c r="O43" s="135"/>
      <c r="P43" s="135"/>
      <c r="Q43" s="135"/>
    </row>
    <row r="44" spans="1:17" ht="12.75">
      <c r="A44" s="291" t="s">
        <v>30</v>
      </c>
      <c r="B44" s="318"/>
      <c r="C44" s="294">
        <f t="shared" si="2"/>
        <v>339000</v>
      </c>
      <c r="D44" s="294">
        <f t="shared" si="2"/>
        <v>39000</v>
      </c>
      <c r="E44" s="294">
        <f t="shared" si="2"/>
        <v>39000</v>
      </c>
      <c r="F44" s="294">
        <f t="shared" si="2"/>
        <v>39000</v>
      </c>
      <c r="G44" s="135"/>
      <c r="H44" s="135"/>
      <c r="I44" s="135"/>
      <c r="J44" s="135"/>
      <c r="K44" s="135"/>
      <c r="L44" s="135"/>
      <c r="M44" s="135"/>
      <c r="N44" s="135"/>
      <c r="O44" s="135"/>
      <c r="P44" s="135"/>
      <c r="Q44" s="135"/>
    </row>
    <row r="45" spans="1:17">
      <c r="A45" s="292" t="s">
        <v>434</v>
      </c>
      <c r="B45" s="283"/>
      <c r="C45" s="294">
        <f>SUM(C46:C48)</f>
        <v>339000</v>
      </c>
      <c r="D45" s="294">
        <f>SUM(D46:D48)</f>
        <v>39000</v>
      </c>
      <c r="E45" s="294">
        <f>SUM(E46:E48)</f>
        <v>39000</v>
      </c>
      <c r="F45" s="294">
        <f>SUM(F46:F48)</f>
        <v>39000</v>
      </c>
      <c r="G45" s="135"/>
      <c r="H45" s="135"/>
      <c r="I45" s="135"/>
      <c r="J45" s="135"/>
      <c r="K45" s="135"/>
      <c r="L45" s="135"/>
      <c r="M45" s="135"/>
      <c r="N45" s="135"/>
      <c r="O45" s="135"/>
      <c r="P45" s="135"/>
      <c r="Q45" s="135"/>
    </row>
    <row r="46" spans="1:17">
      <c r="A46" s="315" t="s">
        <v>435</v>
      </c>
      <c r="B46" s="317"/>
      <c r="C46" s="113">
        <v>300000</v>
      </c>
      <c r="D46" s="113">
        <v>0</v>
      </c>
      <c r="E46" s="113">
        <v>0</v>
      </c>
      <c r="F46" s="113">
        <v>0</v>
      </c>
      <c r="G46" s="135"/>
      <c r="H46" s="135"/>
      <c r="I46" s="135"/>
      <c r="J46" s="135"/>
      <c r="K46" s="135"/>
      <c r="L46" s="135"/>
      <c r="M46" s="135"/>
      <c r="N46" s="135"/>
      <c r="O46" s="135"/>
      <c r="P46" s="135"/>
      <c r="Q46" s="135"/>
    </row>
    <row r="47" spans="1:17">
      <c r="A47" s="315" t="s">
        <v>436</v>
      </c>
      <c r="B47" s="317"/>
      <c r="C47" s="113">
        <v>25000</v>
      </c>
      <c r="D47" s="113">
        <v>25000</v>
      </c>
      <c r="E47" s="113">
        <v>25000</v>
      </c>
      <c r="F47" s="113">
        <v>25000</v>
      </c>
      <c r="G47" s="135"/>
      <c r="H47" s="135"/>
      <c r="I47" s="135"/>
      <c r="J47" s="135"/>
      <c r="K47" s="135"/>
      <c r="L47" s="135"/>
      <c r="M47" s="135"/>
      <c r="N47" s="135"/>
      <c r="O47" s="135"/>
      <c r="P47" s="135"/>
      <c r="Q47" s="135"/>
    </row>
    <row r="48" spans="1:17">
      <c r="A48" s="315" t="s">
        <v>522</v>
      </c>
      <c r="B48" s="317"/>
      <c r="C48" s="113">
        <v>14000</v>
      </c>
      <c r="D48" s="113">
        <v>14000</v>
      </c>
      <c r="E48" s="113">
        <v>14000</v>
      </c>
      <c r="F48" s="113">
        <v>14000</v>
      </c>
      <c r="G48" s="135"/>
      <c r="H48" s="135"/>
      <c r="I48" s="135"/>
      <c r="J48" s="135"/>
      <c r="K48" s="135"/>
      <c r="L48" s="135"/>
      <c r="M48" s="135"/>
      <c r="N48" s="135"/>
      <c r="O48" s="135"/>
      <c r="P48" s="135"/>
      <c r="Q48" s="135"/>
    </row>
    <row r="49" spans="1:17" ht="12.75">
      <c r="A49" s="291" t="s">
        <v>240</v>
      </c>
      <c r="B49" s="293"/>
      <c r="C49" s="294">
        <f>C50</f>
        <v>264760</v>
      </c>
      <c r="D49" s="294">
        <f>D50</f>
        <v>264760</v>
      </c>
      <c r="E49" s="294">
        <f>E50</f>
        <v>264760</v>
      </c>
      <c r="F49" s="294">
        <f>F50</f>
        <v>264760</v>
      </c>
      <c r="G49" s="135"/>
      <c r="H49" s="135"/>
      <c r="I49" s="135"/>
      <c r="J49" s="135"/>
      <c r="K49" s="135"/>
      <c r="L49" s="135"/>
      <c r="M49" s="135"/>
      <c r="N49" s="135"/>
      <c r="O49" s="135"/>
      <c r="P49" s="135"/>
      <c r="Q49" s="135"/>
    </row>
    <row r="50" spans="1:17">
      <c r="A50" s="292" t="s">
        <v>239</v>
      </c>
      <c r="B50" s="293"/>
      <c r="C50" s="294">
        <f>SUM(C51:C51)</f>
        <v>264760</v>
      </c>
      <c r="D50" s="294">
        <f>SUM(D51:D51)</f>
        <v>264760</v>
      </c>
      <c r="E50" s="294">
        <f>SUM(E51:E51)</f>
        <v>264760</v>
      </c>
      <c r="F50" s="294">
        <f>SUM(F51:F51)</f>
        <v>264760</v>
      </c>
      <c r="G50" s="135"/>
      <c r="H50" s="135"/>
      <c r="I50" s="135"/>
      <c r="J50" s="135"/>
      <c r="K50" s="135"/>
      <c r="L50" s="135"/>
      <c r="M50" s="135"/>
      <c r="N50" s="135"/>
      <c r="O50" s="135"/>
      <c r="P50" s="135"/>
      <c r="Q50" s="135"/>
    </row>
    <row r="51" spans="1:17">
      <c r="A51" s="315" t="s">
        <v>122</v>
      </c>
      <c r="B51" s="317"/>
      <c r="C51" s="113">
        <v>264760</v>
      </c>
      <c r="D51" s="113">
        <v>264760</v>
      </c>
      <c r="E51" s="113">
        <v>264760</v>
      </c>
      <c r="F51" s="113">
        <v>264760</v>
      </c>
      <c r="G51" s="135"/>
      <c r="H51" s="135"/>
      <c r="I51" s="135"/>
      <c r="J51" s="135"/>
      <c r="K51" s="135"/>
      <c r="L51" s="135"/>
      <c r="M51" s="135"/>
      <c r="N51" s="135"/>
      <c r="O51" s="135"/>
      <c r="P51" s="135"/>
      <c r="Q51" s="135"/>
    </row>
    <row r="52" spans="1:17" ht="12.75">
      <c r="A52" s="291" t="s">
        <v>148</v>
      </c>
      <c r="B52" s="293"/>
      <c r="C52" s="294">
        <f>C53</f>
        <v>179480</v>
      </c>
      <c r="D52" s="294">
        <f>D53</f>
        <v>358960</v>
      </c>
      <c r="E52" s="294">
        <f>E53</f>
        <v>363104</v>
      </c>
      <c r="F52" s="294">
        <f>F53</f>
        <v>364584</v>
      </c>
      <c r="G52" s="135"/>
      <c r="H52" s="135"/>
      <c r="I52" s="135"/>
      <c r="J52" s="135"/>
      <c r="K52" s="135"/>
      <c r="L52" s="135"/>
      <c r="M52" s="135"/>
      <c r="N52" s="135"/>
      <c r="O52" s="135"/>
      <c r="P52" s="135"/>
      <c r="Q52" s="135"/>
    </row>
    <row r="53" spans="1:17">
      <c r="A53" s="292" t="s">
        <v>372</v>
      </c>
      <c r="B53" s="293"/>
      <c r="C53" s="294">
        <f>SUM(C54:C54)</f>
        <v>179480</v>
      </c>
      <c r="D53" s="294">
        <f>SUM(D54:D54)</f>
        <v>358960</v>
      </c>
      <c r="E53" s="294">
        <f>SUM(E54:E54)</f>
        <v>363104</v>
      </c>
      <c r="F53" s="294">
        <f>SUM(F54:F54)</f>
        <v>364584</v>
      </c>
      <c r="G53" s="135"/>
      <c r="H53" s="135"/>
      <c r="I53" s="135"/>
      <c r="J53" s="135"/>
      <c r="K53" s="135"/>
      <c r="L53" s="135"/>
      <c r="M53" s="135"/>
      <c r="N53" s="135"/>
      <c r="O53" s="135"/>
      <c r="P53" s="135"/>
      <c r="Q53" s="135"/>
    </row>
    <row r="54" spans="1:17">
      <c r="A54" s="315" t="s">
        <v>437</v>
      </c>
      <c r="B54" s="317" t="s">
        <v>149</v>
      </c>
      <c r="C54" s="113">
        <v>179480</v>
      </c>
      <c r="D54" s="113">
        <v>358960</v>
      </c>
      <c r="E54" s="113">
        <v>363104</v>
      </c>
      <c r="F54" s="113">
        <v>364584</v>
      </c>
      <c r="G54" s="135"/>
      <c r="H54" s="135"/>
      <c r="I54" s="135"/>
      <c r="J54" s="135"/>
      <c r="K54" s="135"/>
      <c r="L54" s="135"/>
      <c r="M54" s="135"/>
      <c r="N54" s="135"/>
      <c r="O54" s="135"/>
      <c r="P54" s="135"/>
      <c r="Q54" s="135"/>
    </row>
    <row r="55" spans="1:17">
      <c r="A55" s="280"/>
      <c r="B55" s="293"/>
      <c r="C55" s="294"/>
      <c r="D55" s="294"/>
      <c r="E55" s="294"/>
      <c r="F55" s="294"/>
      <c r="G55" s="135"/>
      <c r="H55" s="135"/>
      <c r="I55" s="135"/>
      <c r="J55" s="135"/>
      <c r="K55" s="135"/>
      <c r="L55" s="135"/>
      <c r="M55" s="135"/>
      <c r="N55" s="135"/>
      <c r="O55" s="135"/>
      <c r="P55" s="135"/>
      <c r="Q55" s="135"/>
    </row>
    <row r="56" spans="1:17" s="135" customFormat="1" ht="15">
      <c r="A56" s="288" t="s">
        <v>150</v>
      </c>
      <c r="B56" s="282"/>
      <c r="C56" s="290">
        <f>C57+C60+C72+C81+C84+C89</f>
        <v>4015681</v>
      </c>
      <c r="D56" s="290">
        <f>D57+D60+D72+D81+D84+D89</f>
        <v>5210691</v>
      </c>
      <c r="E56" s="290">
        <f>E57+E60+E72+E81+E84+E89</f>
        <v>7207907</v>
      </c>
      <c r="F56" s="290">
        <f>F57+F60+F72+F81+F84+F89</f>
        <v>9027814</v>
      </c>
    </row>
    <row r="57" spans="1:17" s="135" customFormat="1" ht="25.5">
      <c r="A57" s="418" t="s">
        <v>579</v>
      </c>
      <c r="B57" s="419"/>
      <c r="C57" s="420">
        <f t="shared" ref="C57:F58" si="3">C58</f>
        <v>25250</v>
      </c>
      <c r="D57" s="420">
        <f t="shared" si="3"/>
        <v>25250</v>
      </c>
      <c r="E57" s="420">
        <f t="shared" si="3"/>
        <v>25600</v>
      </c>
      <c r="F57" s="420">
        <f t="shared" si="3"/>
        <v>25725</v>
      </c>
    </row>
    <row r="58" spans="1:17" s="135" customFormat="1">
      <c r="A58" s="292" t="s">
        <v>246</v>
      </c>
      <c r="B58" s="293"/>
      <c r="C58" s="420">
        <f t="shared" si="3"/>
        <v>25250</v>
      </c>
      <c r="D58" s="420">
        <f t="shared" si="3"/>
        <v>25250</v>
      </c>
      <c r="E58" s="420">
        <f t="shared" si="3"/>
        <v>25600</v>
      </c>
      <c r="F58" s="420">
        <f t="shared" si="3"/>
        <v>25725</v>
      </c>
    </row>
    <row r="59" spans="1:17" s="135" customFormat="1">
      <c r="A59" s="315" t="s">
        <v>580</v>
      </c>
      <c r="B59" s="315"/>
      <c r="C59" s="113">
        <v>25250</v>
      </c>
      <c r="D59" s="113">
        <v>25250</v>
      </c>
      <c r="E59" s="113">
        <v>25600</v>
      </c>
      <c r="F59" s="113">
        <v>25725</v>
      </c>
    </row>
    <row r="60" spans="1:17" ht="12.75">
      <c r="A60" s="291" t="s">
        <v>151</v>
      </c>
      <c r="B60" s="319"/>
      <c r="C60" s="294">
        <f>C61+C69</f>
        <v>679385</v>
      </c>
      <c r="D60" s="294">
        <f>D61+D69</f>
        <v>1012597</v>
      </c>
      <c r="E60" s="294">
        <f>E61+E69</f>
        <v>2536186</v>
      </c>
      <c r="F60" s="294">
        <f>F61+F69</f>
        <v>3372448</v>
      </c>
      <c r="G60" s="135"/>
      <c r="H60" s="135"/>
      <c r="I60" s="135"/>
      <c r="J60" s="135"/>
      <c r="K60" s="135"/>
      <c r="L60" s="135"/>
      <c r="M60" s="135"/>
      <c r="N60" s="135"/>
      <c r="O60" s="135"/>
      <c r="P60" s="135"/>
      <c r="Q60" s="135"/>
    </row>
    <row r="61" spans="1:17">
      <c r="A61" s="292" t="s">
        <v>254</v>
      </c>
      <c r="B61" s="319"/>
      <c r="C61" s="294">
        <f>SUM(C62:C68)</f>
        <v>628605</v>
      </c>
      <c r="D61" s="294">
        <f>SUM(D62:D68)</f>
        <v>911058</v>
      </c>
      <c r="E61" s="294">
        <f>SUM(E62:E68)</f>
        <v>2383938</v>
      </c>
      <c r="F61" s="294">
        <f>SUM(F62:F68)</f>
        <v>3062656</v>
      </c>
      <c r="G61" s="135"/>
      <c r="H61" s="135"/>
      <c r="I61" s="135"/>
      <c r="J61" s="135"/>
      <c r="K61" s="135"/>
      <c r="L61" s="135"/>
      <c r="M61" s="135"/>
      <c r="N61" s="135"/>
      <c r="O61" s="135"/>
      <c r="P61" s="135"/>
      <c r="Q61" s="135"/>
    </row>
    <row r="62" spans="1:17">
      <c r="A62" s="315" t="s">
        <v>438</v>
      </c>
      <c r="B62" s="315"/>
      <c r="C62" s="113">
        <v>84914</v>
      </c>
      <c r="D62" s="113">
        <v>363200</v>
      </c>
      <c r="E62" s="113">
        <v>1590247</v>
      </c>
      <c r="F62" s="113">
        <v>2287170</v>
      </c>
      <c r="G62" s="135"/>
      <c r="H62" s="135"/>
      <c r="I62" s="135"/>
      <c r="J62" s="135"/>
      <c r="K62" s="135"/>
      <c r="L62" s="135"/>
      <c r="M62" s="135"/>
      <c r="N62" s="135"/>
      <c r="O62" s="135"/>
      <c r="P62" s="135"/>
      <c r="Q62" s="135"/>
    </row>
    <row r="63" spans="1:17">
      <c r="A63" s="315" t="s">
        <v>123</v>
      </c>
      <c r="B63" s="315"/>
      <c r="C63" s="113">
        <v>200000</v>
      </c>
      <c r="D63" s="113">
        <v>300000</v>
      </c>
      <c r="E63" s="113">
        <v>300000</v>
      </c>
      <c r="F63" s="113">
        <v>300000</v>
      </c>
      <c r="G63" s="135"/>
      <c r="H63" s="135"/>
      <c r="I63" s="135"/>
      <c r="J63" s="135"/>
      <c r="K63" s="135"/>
      <c r="L63" s="135"/>
      <c r="M63" s="135"/>
      <c r="N63" s="135"/>
      <c r="O63" s="135"/>
      <c r="P63" s="135"/>
      <c r="Q63" s="135"/>
    </row>
    <row r="64" spans="1:17">
      <c r="A64" s="315" t="s">
        <v>124</v>
      </c>
      <c r="B64" s="315"/>
      <c r="C64" s="113">
        <v>100000</v>
      </c>
      <c r="D64" s="113">
        <v>100000</v>
      </c>
      <c r="E64" s="113">
        <v>100000</v>
      </c>
      <c r="F64" s="113">
        <v>100000</v>
      </c>
      <c r="G64" s="135"/>
      <c r="H64" s="135"/>
      <c r="I64" s="135"/>
      <c r="J64" s="135"/>
      <c r="K64" s="135"/>
      <c r="L64" s="135"/>
      <c r="M64" s="135"/>
      <c r="N64" s="135"/>
      <c r="O64" s="135"/>
      <c r="P64" s="135"/>
      <c r="Q64" s="135"/>
    </row>
    <row r="65" spans="1:17">
      <c r="A65" s="315" t="s">
        <v>439</v>
      </c>
      <c r="B65" s="315"/>
      <c r="C65" s="113">
        <v>200000</v>
      </c>
      <c r="D65" s="113">
        <v>0</v>
      </c>
      <c r="E65" s="113">
        <v>0</v>
      </c>
      <c r="F65" s="113">
        <v>0</v>
      </c>
      <c r="G65" s="135"/>
      <c r="H65" s="135"/>
      <c r="I65" s="135"/>
      <c r="J65" s="135"/>
      <c r="K65" s="135"/>
      <c r="L65" s="135"/>
      <c r="M65" s="135"/>
      <c r="N65" s="135"/>
      <c r="O65" s="135"/>
      <c r="P65" s="135"/>
      <c r="Q65" s="135"/>
    </row>
    <row r="66" spans="1:17">
      <c r="A66" s="315" t="s">
        <v>440</v>
      </c>
      <c r="B66" s="315"/>
      <c r="C66" s="113">
        <v>0</v>
      </c>
      <c r="D66" s="113">
        <v>104167</v>
      </c>
      <c r="E66" s="113">
        <v>250000</v>
      </c>
      <c r="F66" s="113">
        <v>250000</v>
      </c>
      <c r="G66" s="135"/>
      <c r="H66" s="135"/>
      <c r="I66" s="135"/>
      <c r="J66" s="135"/>
      <c r="K66" s="135"/>
      <c r="L66" s="135"/>
      <c r="M66" s="135"/>
      <c r="N66" s="135"/>
      <c r="O66" s="135"/>
      <c r="P66" s="135"/>
      <c r="Q66" s="135"/>
    </row>
    <row r="67" spans="1:17">
      <c r="A67" s="315" t="s">
        <v>152</v>
      </c>
      <c r="B67" s="315"/>
      <c r="C67" s="113">
        <v>0</v>
      </c>
      <c r="D67" s="113">
        <v>0</v>
      </c>
      <c r="E67" s="113">
        <v>100000</v>
      </c>
      <c r="F67" s="113">
        <v>100000</v>
      </c>
      <c r="G67" s="135"/>
      <c r="H67" s="135"/>
      <c r="I67" s="135"/>
      <c r="J67" s="135"/>
      <c r="K67" s="135"/>
      <c r="L67" s="135"/>
      <c r="M67" s="135"/>
      <c r="N67" s="135"/>
      <c r="O67" s="135"/>
      <c r="P67" s="135"/>
      <c r="Q67" s="135"/>
    </row>
    <row r="68" spans="1:17">
      <c r="A68" s="315" t="s">
        <v>544</v>
      </c>
      <c r="B68" s="315"/>
      <c r="C68" s="113">
        <v>43691</v>
      </c>
      <c r="D68" s="113">
        <v>43691</v>
      </c>
      <c r="E68" s="113">
        <v>43691</v>
      </c>
      <c r="F68" s="113">
        <v>25486</v>
      </c>
      <c r="G68" s="135"/>
      <c r="H68" s="135"/>
      <c r="I68" s="135"/>
      <c r="J68" s="135"/>
      <c r="K68" s="135"/>
      <c r="L68" s="135"/>
      <c r="M68" s="135"/>
      <c r="N68" s="135"/>
      <c r="O68" s="135"/>
      <c r="P68" s="135"/>
      <c r="Q68" s="135"/>
    </row>
    <row r="69" spans="1:17">
      <c r="A69" s="292" t="s">
        <v>256</v>
      </c>
      <c r="B69" s="293"/>
      <c r="C69" s="294">
        <f>SUM(C70:C71)</f>
        <v>50780</v>
      </c>
      <c r="D69" s="294">
        <f>SUM(D70:D71)</f>
        <v>101539</v>
      </c>
      <c r="E69" s="294">
        <f>SUM(E70:E71)</f>
        <v>152248</v>
      </c>
      <c r="F69" s="294">
        <f>SUM(F70:F71)</f>
        <v>309792</v>
      </c>
      <c r="G69" s="135"/>
      <c r="H69" s="135"/>
      <c r="I69" s="135"/>
      <c r="J69" s="135"/>
      <c r="K69" s="135"/>
      <c r="L69" s="135"/>
      <c r="M69" s="135"/>
      <c r="N69" s="135"/>
      <c r="O69" s="135"/>
      <c r="P69" s="135"/>
      <c r="Q69" s="135"/>
    </row>
    <row r="70" spans="1:17">
      <c r="A70" s="315" t="s">
        <v>153</v>
      </c>
      <c r="B70" s="293" t="s">
        <v>130</v>
      </c>
      <c r="C70" s="113">
        <v>50780</v>
      </c>
      <c r="D70" s="113">
        <v>101539</v>
      </c>
      <c r="E70" s="113">
        <v>152248</v>
      </c>
      <c r="F70" s="113">
        <v>203125</v>
      </c>
      <c r="G70" s="135"/>
      <c r="H70" s="135"/>
      <c r="I70" s="135"/>
      <c r="J70" s="135"/>
      <c r="K70" s="135"/>
      <c r="L70" s="135"/>
      <c r="M70" s="135"/>
      <c r="N70" s="135"/>
      <c r="O70" s="135"/>
      <c r="P70" s="135"/>
      <c r="Q70" s="135"/>
    </row>
    <row r="71" spans="1:17">
      <c r="A71" s="315" t="s">
        <v>441</v>
      </c>
      <c r="B71" s="315"/>
      <c r="C71" s="113">
        <v>0</v>
      </c>
      <c r="D71" s="113">
        <v>0</v>
      </c>
      <c r="E71" s="113">
        <v>0</v>
      </c>
      <c r="F71" s="113">
        <v>106667</v>
      </c>
      <c r="G71" s="135"/>
      <c r="H71" s="135"/>
      <c r="I71" s="135"/>
      <c r="J71" s="135"/>
      <c r="K71" s="135"/>
      <c r="L71" s="135"/>
      <c r="M71" s="135"/>
      <c r="N71" s="135"/>
      <c r="O71" s="135"/>
      <c r="P71" s="135"/>
      <c r="Q71" s="135"/>
    </row>
    <row r="72" spans="1:17" ht="12.75">
      <c r="A72" s="291" t="s">
        <v>154</v>
      </c>
      <c r="B72" s="293"/>
      <c r="C72" s="294">
        <f>C73+C75</f>
        <v>2390000</v>
      </c>
      <c r="D72" s="294">
        <f>D73+D75</f>
        <v>2440000</v>
      </c>
      <c r="E72" s="294">
        <f>E73+E75</f>
        <v>2487000</v>
      </c>
      <c r="F72" s="294">
        <f>F73+F75</f>
        <v>2547750</v>
      </c>
      <c r="G72" s="135"/>
      <c r="H72" s="135"/>
      <c r="I72" s="135"/>
      <c r="J72" s="135"/>
      <c r="K72" s="135"/>
      <c r="L72" s="135"/>
      <c r="M72" s="135"/>
      <c r="N72" s="135"/>
      <c r="O72" s="135"/>
      <c r="P72" s="135"/>
      <c r="Q72" s="135"/>
    </row>
    <row r="73" spans="1:17">
      <c r="A73" s="292" t="s">
        <v>260</v>
      </c>
      <c r="B73" s="293"/>
      <c r="C73" s="294">
        <f>SUM(C74:C74)</f>
        <v>40000</v>
      </c>
      <c r="D73" s="294">
        <f>SUM(D74:D74)</f>
        <v>40000</v>
      </c>
      <c r="E73" s="294">
        <f>SUM(E74:E74)</f>
        <v>40000</v>
      </c>
      <c r="F73" s="294">
        <f>SUM(F74:F74)</f>
        <v>40000</v>
      </c>
      <c r="G73" s="135"/>
      <c r="H73" s="135"/>
      <c r="I73" s="135"/>
      <c r="J73" s="135"/>
      <c r="K73" s="135"/>
      <c r="L73" s="135"/>
      <c r="M73" s="135"/>
      <c r="N73" s="135"/>
      <c r="O73" s="135"/>
      <c r="P73" s="135"/>
      <c r="Q73" s="135"/>
    </row>
    <row r="74" spans="1:17">
      <c r="A74" s="315" t="s">
        <v>442</v>
      </c>
      <c r="B74" s="317" t="s">
        <v>149</v>
      </c>
      <c r="C74" s="113">
        <v>40000</v>
      </c>
      <c r="D74" s="113">
        <v>40000</v>
      </c>
      <c r="E74" s="113">
        <v>40000</v>
      </c>
      <c r="F74" s="113">
        <v>40000</v>
      </c>
      <c r="G74" s="135"/>
      <c r="H74" s="135"/>
      <c r="I74" s="135"/>
      <c r="J74" s="135"/>
      <c r="K74" s="135"/>
      <c r="L74" s="135"/>
      <c r="M74" s="135"/>
      <c r="N74" s="135"/>
      <c r="O74" s="135"/>
      <c r="P74" s="135"/>
      <c r="Q74" s="135"/>
    </row>
    <row r="75" spans="1:17">
      <c r="A75" s="292" t="s">
        <v>264</v>
      </c>
      <c r="B75" s="293"/>
      <c r="C75" s="294">
        <f>SUM(C76:C80)</f>
        <v>2350000</v>
      </c>
      <c r="D75" s="294">
        <f>SUM(D76:D80)</f>
        <v>2400000</v>
      </c>
      <c r="E75" s="294">
        <f>SUM(E76:E80)</f>
        <v>2447000</v>
      </c>
      <c r="F75" s="294">
        <f>SUM(F76:F80)</f>
        <v>2507750</v>
      </c>
      <c r="G75" s="135"/>
      <c r="H75" s="135"/>
      <c r="I75" s="135"/>
      <c r="J75" s="135"/>
      <c r="K75" s="135"/>
      <c r="L75" s="135"/>
      <c r="M75" s="135"/>
      <c r="N75" s="135"/>
      <c r="O75" s="135"/>
      <c r="P75" s="135"/>
      <c r="Q75" s="135"/>
    </row>
    <row r="76" spans="1:17">
      <c r="A76" s="315" t="s">
        <v>443</v>
      </c>
      <c r="B76" s="315"/>
      <c r="C76" s="113">
        <v>2300000</v>
      </c>
      <c r="D76" s="113">
        <v>2300000</v>
      </c>
      <c r="E76" s="113">
        <v>2300000</v>
      </c>
      <c r="F76" s="113">
        <v>2300000</v>
      </c>
      <c r="G76" s="135"/>
      <c r="H76" s="135"/>
      <c r="I76" s="135"/>
      <c r="J76" s="135"/>
      <c r="K76" s="135"/>
      <c r="L76" s="135"/>
      <c r="M76" s="135"/>
      <c r="N76" s="135"/>
      <c r="O76" s="135"/>
      <c r="P76" s="135"/>
      <c r="Q76" s="135"/>
    </row>
    <row r="77" spans="1:17">
      <c r="A77" s="315" t="s">
        <v>155</v>
      </c>
      <c r="B77" s="315"/>
      <c r="C77" s="113">
        <v>50000</v>
      </c>
      <c r="D77" s="113">
        <v>50000</v>
      </c>
      <c r="E77" s="113">
        <v>50000</v>
      </c>
      <c r="F77" s="113">
        <v>50000</v>
      </c>
      <c r="G77" s="135"/>
      <c r="H77" s="135"/>
      <c r="I77" s="135"/>
      <c r="J77" s="135"/>
      <c r="K77" s="135"/>
      <c r="L77" s="135"/>
      <c r="M77" s="135"/>
      <c r="N77" s="135"/>
      <c r="O77" s="135"/>
      <c r="P77" s="135"/>
      <c r="Q77" s="135"/>
    </row>
    <row r="78" spans="1:17">
      <c r="A78" s="315" t="s">
        <v>444</v>
      </c>
      <c r="B78" s="315"/>
      <c r="C78" s="113">
        <v>0</v>
      </c>
      <c r="D78" s="113">
        <v>50000</v>
      </c>
      <c r="E78" s="113">
        <v>50000</v>
      </c>
      <c r="F78" s="113">
        <v>50000</v>
      </c>
      <c r="G78" s="135"/>
      <c r="H78" s="135"/>
      <c r="I78" s="135"/>
      <c r="J78" s="135"/>
      <c r="K78" s="135"/>
      <c r="L78" s="135"/>
      <c r="M78" s="135"/>
      <c r="N78" s="135"/>
      <c r="O78" s="135"/>
      <c r="P78" s="135"/>
      <c r="Q78" s="135"/>
    </row>
    <row r="79" spans="1:17">
      <c r="A79" s="315" t="s">
        <v>445</v>
      </c>
      <c r="B79" s="315"/>
      <c r="C79" s="113">
        <v>0</v>
      </c>
      <c r="D79" s="113">
        <v>0</v>
      </c>
      <c r="E79" s="113">
        <v>47000</v>
      </c>
      <c r="F79" s="113">
        <v>47000</v>
      </c>
      <c r="G79" s="135"/>
      <c r="H79" s="135"/>
      <c r="I79" s="135"/>
      <c r="J79" s="135"/>
      <c r="K79" s="135"/>
      <c r="L79" s="135"/>
      <c r="M79" s="135"/>
      <c r="N79" s="135"/>
      <c r="O79" s="135"/>
      <c r="P79" s="135"/>
      <c r="Q79" s="135"/>
    </row>
    <row r="80" spans="1:17">
      <c r="A80" s="315" t="s">
        <v>446</v>
      </c>
      <c r="B80" s="315"/>
      <c r="C80" s="113">
        <v>0</v>
      </c>
      <c r="D80" s="113">
        <v>0</v>
      </c>
      <c r="E80" s="113">
        <v>0</v>
      </c>
      <c r="F80" s="113">
        <v>60750</v>
      </c>
      <c r="G80" s="135"/>
      <c r="H80" s="135"/>
      <c r="I80" s="135"/>
      <c r="J80" s="135"/>
      <c r="K80" s="135"/>
      <c r="L80" s="135"/>
      <c r="M80" s="135"/>
      <c r="N80" s="135"/>
      <c r="O80" s="135"/>
      <c r="P80" s="135"/>
      <c r="Q80" s="135"/>
    </row>
    <row r="81" spans="1:17" s="316" customFormat="1" ht="12.75">
      <c r="A81" s="291" t="s">
        <v>33</v>
      </c>
      <c r="B81" s="291"/>
      <c r="C81" s="294">
        <f t="shared" ref="C81:F82" si="4">C82</f>
        <v>0</v>
      </c>
      <c r="D81" s="294">
        <f t="shared" si="4"/>
        <v>0</v>
      </c>
      <c r="E81" s="294">
        <f t="shared" si="4"/>
        <v>0</v>
      </c>
      <c r="F81" s="294">
        <f t="shared" si="4"/>
        <v>97175</v>
      </c>
    </row>
    <row r="82" spans="1:17" s="316" customFormat="1">
      <c r="A82" s="292" t="s">
        <v>447</v>
      </c>
      <c r="B82" s="292"/>
      <c r="C82" s="294">
        <f t="shared" si="4"/>
        <v>0</v>
      </c>
      <c r="D82" s="294">
        <f t="shared" si="4"/>
        <v>0</v>
      </c>
      <c r="E82" s="294">
        <f t="shared" si="4"/>
        <v>0</v>
      </c>
      <c r="F82" s="294">
        <f t="shared" si="4"/>
        <v>97175</v>
      </c>
    </row>
    <row r="83" spans="1:17" s="316" customFormat="1">
      <c r="A83" s="315" t="s">
        <v>448</v>
      </c>
      <c r="B83" s="315"/>
      <c r="C83" s="113">
        <v>0</v>
      </c>
      <c r="D83" s="113">
        <v>0</v>
      </c>
      <c r="E83" s="113">
        <v>0</v>
      </c>
      <c r="F83" s="113">
        <v>97175</v>
      </c>
    </row>
    <row r="84" spans="1:17" ht="12.75">
      <c r="A84" s="291" t="s">
        <v>156</v>
      </c>
      <c r="B84" s="293"/>
      <c r="C84" s="294">
        <f>C85+C87</f>
        <v>600413</v>
      </c>
      <c r="D84" s="294">
        <f>D85+D87</f>
        <v>734000</v>
      </c>
      <c r="E84" s="294">
        <f>E85+E87</f>
        <v>746840</v>
      </c>
      <c r="F84" s="294">
        <f>F85+F87</f>
        <v>751390</v>
      </c>
      <c r="G84" s="135"/>
      <c r="H84" s="135"/>
      <c r="I84" s="135"/>
      <c r="J84" s="135"/>
      <c r="K84" s="135"/>
      <c r="L84" s="135"/>
      <c r="M84" s="135"/>
      <c r="N84" s="135"/>
      <c r="O84" s="135"/>
      <c r="P84" s="135"/>
      <c r="Q84" s="135"/>
    </row>
    <row r="85" spans="1:17">
      <c r="A85" s="292" t="s">
        <v>279</v>
      </c>
      <c r="B85" s="293"/>
      <c r="C85" s="294">
        <f>SUM(C86:C86)</f>
        <v>90413</v>
      </c>
      <c r="D85" s="294">
        <f>SUM(D86:D86)</f>
        <v>217000</v>
      </c>
      <c r="E85" s="294">
        <f>SUM(E86:E86)</f>
        <v>219800</v>
      </c>
      <c r="F85" s="294">
        <f>SUM(F86:F86)</f>
        <v>220800</v>
      </c>
      <c r="G85" s="135"/>
      <c r="H85" s="135"/>
      <c r="I85" s="135"/>
      <c r="J85" s="135"/>
      <c r="K85" s="135"/>
      <c r="L85" s="135"/>
      <c r="M85" s="135"/>
      <c r="N85" s="135"/>
      <c r="O85" s="135"/>
      <c r="P85" s="135"/>
      <c r="Q85" s="135"/>
    </row>
    <row r="86" spans="1:17" s="316" customFormat="1">
      <c r="A86" s="315" t="s">
        <v>449</v>
      </c>
      <c r="B86" s="293" t="s">
        <v>130</v>
      </c>
      <c r="C86" s="113">
        <v>90413</v>
      </c>
      <c r="D86" s="113">
        <v>217000</v>
      </c>
      <c r="E86" s="113">
        <v>219800</v>
      </c>
      <c r="F86" s="113">
        <v>220800</v>
      </c>
    </row>
    <row r="87" spans="1:17" s="316" customFormat="1">
      <c r="A87" s="292" t="s">
        <v>282</v>
      </c>
      <c r="B87" s="292"/>
      <c r="C87" s="294">
        <f>SUM(C88)</f>
        <v>510000</v>
      </c>
      <c r="D87" s="294">
        <f>SUM(D88)</f>
        <v>517000</v>
      </c>
      <c r="E87" s="294">
        <f>SUM(E88)</f>
        <v>527040</v>
      </c>
      <c r="F87" s="294">
        <f>SUM(F88)</f>
        <v>530590</v>
      </c>
    </row>
    <row r="88" spans="1:17" s="316" customFormat="1">
      <c r="A88" s="315" t="s">
        <v>545</v>
      </c>
      <c r="B88" s="315"/>
      <c r="C88" s="113">
        <v>510000</v>
      </c>
      <c r="D88" s="113">
        <v>517000</v>
      </c>
      <c r="E88" s="113">
        <v>527040</v>
      </c>
      <c r="F88" s="113">
        <v>530590</v>
      </c>
    </row>
    <row r="89" spans="1:17" s="135" customFormat="1" ht="12.75">
      <c r="A89" s="291" t="s">
        <v>157</v>
      </c>
      <c r="B89" s="281"/>
      <c r="C89" s="294">
        <f>C90+C93</f>
        <v>320633</v>
      </c>
      <c r="D89" s="294">
        <f>D90+D93</f>
        <v>998844</v>
      </c>
      <c r="E89" s="294">
        <f>E90+E93</f>
        <v>1412281</v>
      </c>
      <c r="F89" s="294">
        <f>F90+F93</f>
        <v>2233326</v>
      </c>
    </row>
    <row r="90" spans="1:17" s="135" customFormat="1">
      <c r="A90" s="292" t="s">
        <v>284</v>
      </c>
      <c r="B90" s="281"/>
      <c r="C90" s="294">
        <f>SUM(C91:C92)</f>
        <v>107060</v>
      </c>
      <c r="D90" s="294">
        <f>SUM(D91:D92)</f>
        <v>107060</v>
      </c>
      <c r="E90" s="294">
        <f>SUM(E91:E92)</f>
        <v>108544</v>
      </c>
      <c r="F90" s="294">
        <f>SUM(F91:F92)</f>
        <v>92610</v>
      </c>
    </row>
    <row r="91" spans="1:17" s="135" customFormat="1">
      <c r="A91" s="315" t="s">
        <v>450</v>
      </c>
      <c r="B91" s="315"/>
      <c r="C91" s="113">
        <v>16160</v>
      </c>
      <c r="D91" s="113">
        <v>16160</v>
      </c>
      <c r="E91" s="113">
        <v>16384</v>
      </c>
      <c r="F91" s="113">
        <v>0</v>
      </c>
    </row>
    <row r="92" spans="1:17" s="135" customFormat="1">
      <c r="A92" s="315" t="s">
        <v>451</v>
      </c>
      <c r="B92" s="315"/>
      <c r="C92" s="113">
        <v>90900</v>
      </c>
      <c r="D92" s="113">
        <v>90900</v>
      </c>
      <c r="E92" s="113">
        <v>92160</v>
      </c>
      <c r="F92" s="113">
        <v>92610</v>
      </c>
    </row>
    <row r="93" spans="1:17">
      <c r="A93" s="292" t="s">
        <v>286</v>
      </c>
      <c r="B93" s="293"/>
      <c r="C93" s="294">
        <f>SUM(C94:C106)</f>
        <v>213573</v>
      </c>
      <c r="D93" s="294">
        <f>SUM(D94:D106)</f>
        <v>891784</v>
      </c>
      <c r="E93" s="294">
        <f>SUM(E94:E106)</f>
        <v>1303737</v>
      </c>
      <c r="F93" s="294">
        <f>SUM(F94:F106)</f>
        <v>2140716</v>
      </c>
      <c r="G93" s="135"/>
      <c r="H93" s="135"/>
      <c r="I93" s="135"/>
      <c r="J93" s="135"/>
      <c r="K93" s="135"/>
      <c r="L93" s="135"/>
      <c r="M93" s="135"/>
      <c r="N93" s="135"/>
      <c r="O93" s="135"/>
      <c r="P93" s="135"/>
      <c r="Q93" s="135"/>
    </row>
    <row r="94" spans="1:17">
      <c r="A94" s="315" t="s">
        <v>452</v>
      </c>
      <c r="B94" s="315"/>
      <c r="C94" s="113">
        <v>0</v>
      </c>
      <c r="D94" s="113">
        <v>100000</v>
      </c>
      <c r="E94" s="113">
        <v>0</v>
      </c>
      <c r="F94" s="113">
        <v>100000</v>
      </c>
      <c r="G94" s="135"/>
      <c r="H94" s="135"/>
      <c r="I94" s="135"/>
      <c r="J94" s="135"/>
      <c r="K94" s="135"/>
      <c r="L94" s="135"/>
      <c r="M94" s="135"/>
      <c r="N94" s="135"/>
      <c r="O94" s="135"/>
      <c r="P94" s="135"/>
      <c r="Q94" s="135"/>
    </row>
    <row r="95" spans="1:17">
      <c r="A95" s="315" t="s">
        <v>125</v>
      </c>
      <c r="B95" s="315"/>
      <c r="C95" s="113">
        <v>0</v>
      </c>
      <c r="D95" s="113">
        <v>0</v>
      </c>
      <c r="E95" s="113">
        <v>126120</v>
      </c>
      <c r="F95" s="113">
        <v>252239</v>
      </c>
      <c r="G95" s="135"/>
      <c r="H95" s="135"/>
      <c r="I95" s="135"/>
      <c r="J95" s="135"/>
      <c r="K95" s="135"/>
      <c r="L95" s="135"/>
      <c r="M95" s="135"/>
      <c r="N95" s="135"/>
      <c r="O95" s="135"/>
      <c r="P95" s="135"/>
      <c r="Q95" s="135"/>
    </row>
    <row r="96" spans="1:17">
      <c r="A96" s="315" t="s">
        <v>158</v>
      </c>
      <c r="B96" s="315"/>
      <c r="C96" s="113">
        <v>0</v>
      </c>
      <c r="D96" s="113">
        <v>310000</v>
      </c>
      <c r="E96" s="113">
        <v>310000</v>
      </c>
      <c r="F96" s="113">
        <v>310000</v>
      </c>
      <c r="G96" s="135"/>
      <c r="H96" s="135"/>
      <c r="I96" s="135"/>
      <c r="J96" s="135"/>
      <c r="K96" s="135"/>
      <c r="L96" s="135"/>
      <c r="M96" s="135"/>
      <c r="N96" s="135"/>
      <c r="O96" s="135"/>
      <c r="P96" s="135"/>
      <c r="Q96" s="135"/>
    </row>
    <row r="97" spans="1:17">
      <c r="A97" s="315" t="s">
        <v>453</v>
      </c>
      <c r="B97" s="315"/>
      <c r="C97" s="113">
        <v>116962</v>
      </c>
      <c r="D97" s="113">
        <v>233923</v>
      </c>
      <c r="E97" s="113">
        <v>233923</v>
      </c>
      <c r="F97" s="113">
        <v>233923</v>
      </c>
      <c r="G97" s="135"/>
      <c r="H97" s="135"/>
      <c r="I97" s="135"/>
      <c r="J97" s="135"/>
      <c r="K97" s="135"/>
      <c r="L97" s="135"/>
      <c r="M97" s="135"/>
      <c r="N97" s="135"/>
      <c r="O97" s="135"/>
      <c r="P97" s="135"/>
      <c r="Q97" s="135"/>
    </row>
    <row r="98" spans="1:17">
      <c r="A98" s="315" t="s">
        <v>454</v>
      </c>
      <c r="B98" s="315"/>
      <c r="C98" s="113">
        <v>0</v>
      </c>
      <c r="D98" s="113">
        <v>0</v>
      </c>
      <c r="E98" s="113">
        <v>65000</v>
      </c>
      <c r="F98" s="113">
        <v>78000</v>
      </c>
      <c r="G98" s="135"/>
      <c r="H98" s="135"/>
      <c r="I98" s="135"/>
      <c r="J98" s="135"/>
      <c r="K98" s="135"/>
      <c r="L98" s="135"/>
      <c r="M98" s="135"/>
      <c r="N98" s="135"/>
      <c r="O98" s="135"/>
      <c r="P98" s="135"/>
      <c r="Q98" s="135"/>
    </row>
    <row r="99" spans="1:17">
      <c r="A99" s="315" t="s">
        <v>455</v>
      </c>
      <c r="B99" s="315"/>
      <c r="C99" s="113">
        <v>0</v>
      </c>
      <c r="D99" s="113">
        <v>0</v>
      </c>
      <c r="E99" s="113">
        <v>0</v>
      </c>
      <c r="F99" s="113">
        <v>6500</v>
      </c>
      <c r="G99" s="135"/>
      <c r="H99" s="135"/>
      <c r="I99" s="135"/>
      <c r="J99" s="135"/>
      <c r="K99" s="135"/>
      <c r="L99" s="135"/>
      <c r="M99" s="135"/>
      <c r="N99" s="135"/>
      <c r="O99" s="135"/>
      <c r="P99" s="135"/>
      <c r="Q99" s="135"/>
    </row>
    <row r="100" spans="1:17">
      <c r="A100" s="315" t="s">
        <v>456</v>
      </c>
      <c r="B100" s="315"/>
      <c r="C100" s="113">
        <v>33750</v>
      </c>
      <c r="D100" s="113">
        <v>135000</v>
      </c>
      <c r="E100" s="113">
        <v>135000</v>
      </c>
      <c r="F100" s="113">
        <v>135000</v>
      </c>
      <c r="G100" s="135"/>
      <c r="H100" s="135"/>
      <c r="I100" s="135"/>
      <c r="J100" s="135"/>
      <c r="K100" s="135"/>
      <c r="L100" s="135"/>
      <c r="M100" s="135"/>
      <c r="N100" s="135"/>
      <c r="O100" s="135"/>
      <c r="P100" s="135"/>
      <c r="Q100" s="135"/>
    </row>
    <row r="101" spans="1:17">
      <c r="A101" s="315" t="s">
        <v>126</v>
      </c>
      <c r="B101" s="315"/>
      <c r="C101" s="113">
        <v>31782</v>
      </c>
      <c r="D101" s="113">
        <v>31782</v>
      </c>
      <c r="E101" s="113">
        <v>31782</v>
      </c>
      <c r="F101" s="113">
        <v>31782</v>
      </c>
      <c r="G101" s="135"/>
      <c r="H101" s="135"/>
      <c r="I101" s="135"/>
      <c r="J101" s="135"/>
      <c r="K101" s="135"/>
      <c r="L101" s="135"/>
      <c r="M101" s="135"/>
      <c r="N101" s="135"/>
      <c r="O101" s="135"/>
      <c r="P101" s="135"/>
      <c r="Q101" s="135"/>
    </row>
    <row r="102" spans="1:17">
      <c r="A102" s="315" t="s">
        <v>457</v>
      </c>
      <c r="B102" s="315"/>
      <c r="C102" s="113">
        <v>0</v>
      </c>
      <c r="D102" s="113">
        <v>0</v>
      </c>
      <c r="E102" s="113">
        <v>320833</v>
      </c>
      <c r="F102" s="113">
        <v>550000</v>
      </c>
      <c r="G102" s="135"/>
      <c r="H102" s="135"/>
      <c r="I102" s="135"/>
      <c r="J102" s="135"/>
      <c r="K102" s="135"/>
      <c r="L102" s="135"/>
      <c r="M102" s="135"/>
      <c r="N102" s="135"/>
      <c r="O102" s="135"/>
      <c r="P102" s="135"/>
      <c r="Q102" s="135"/>
    </row>
    <row r="103" spans="1:17">
      <c r="A103" s="315" t="s">
        <v>458</v>
      </c>
      <c r="B103" s="315"/>
      <c r="C103" s="113">
        <v>19079</v>
      </c>
      <c r="D103" s="113">
        <v>19079</v>
      </c>
      <c r="E103" s="113">
        <v>19079</v>
      </c>
      <c r="F103" s="113">
        <v>19079</v>
      </c>
      <c r="G103" s="135"/>
      <c r="H103" s="135"/>
      <c r="I103" s="135"/>
      <c r="J103" s="135"/>
      <c r="K103" s="135"/>
      <c r="L103" s="135"/>
      <c r="M103" s="135"/>
      <c r="N103" s="135"/>
      <c r="O103" s="135"/>
      <c r="P103" s="135"/>
      <c r="Q103" s="135"/>
    </row>
    <row r="104" spans="1:17">
      <c r="A104" s="315" t="s">
        <v>459</v>
      </c>
      <c r="B104" s="315"/>
      <c r="C104" s="113">
        <v>12000</v>
      </c>
      <c r="D104" s="113">
        <v>12000</v>
      </c>
      <c r="E104" s="113">
        <v>12000</v>
      </c>
      <c r="F104" s="113">
        <v>12000</v>
      </c>
      <c r="G104" s="135"/>
      <c r="H104" s="135"/>
      <c r="I104" s="135"/>
      <c r="J104" s="135"/>
      <c r="K104" s="135"/>
      <c r="L104" s="135"/>
      <c r="M104" s="135"/>
      <c r="N104" s="135"/>
      <c r="O104" s="135"/>
      <c r="P104" s="135"/>
      <c r="Q104" s="135"/>
    </row>
    <row r="105" spans="1:17">
      <c r="A105" s="315" t="s">
        <v>460</v>
      </c>
      <c r="B105" s="315"/>
      <c r="C105" s="113">
        <v>0</v>
      </c>
      <c r="D105" s="113">
        <v>50000</v>
      </c>
      <c r="E105" s="113">
        <v>50000</v>
      </c>
      <c r="F105" s="113">
        <v>0</v>
      </c>
      <c r="G105" s="135"/>
      <c r="H105" s="135"/>
      <c r="I105" s="135"/>
      <c r="J105" s="135"/>
      <c r="K105" s="135"/>
      <c r="L105" s="135"/>
      <c r="M105" s="135"/>
      <c r="N105" s="135"/>
      <c r="O105" s="135"/>
      <c r="P105" s="135"/>
      <c r="Q105" s="135"/>
    </row>
    <row r="106" spans="1:17">
      <c r="A106" s="315" t="s">
        <v>461</v>
      </c>
      <c r="B106" s="315"/>
      <c r="C106" s="113">
        <v>0</v>
      </c>
      <c r="D106" s="113">
        <v>0</v>
      </c>
      <c r="E106" s="113">
        <v>0</v>
      </c>
      <c r="F106" s="113">
        <v>412193</v>
      </c>
      <c r="G106" s="135"/>
      <c r="H106" s="135"/>
      <c r="I106" s="135"/>
      <c r="J106" s="135"/>
      <c r="K106" s="135"/>
      <c r="L106" s="135"/>
      <c r="M106" s="135"/>
      <c r="N106" s="135"/>
      <c r="O106" s="135"/>
      <c r="P106" s="135"/>
      <c r="Q106" s="135"/>
    </row>
    <row r="107" spans="1:17" s="135" customFormat="1">
      <c r="A107" s="280"/>
      <c r="B107" s="281"/>
      <c r="C107" s="294"/>
      <c r="D107" s="294"/>
      <c r="E107" s="294"/>
      <c r="F107" s="294"/>
    </row>
    <row r="108" spans="1:17" s="135" customFormat="1" ht="15">
      <c r="A108" s="288" t="s">
        <v>159</v>
      </c>
      <c r="B108" s="281"/>
      <c r="C108" s="290">
        <f>+C109+C115+C120+C123</f>
        <v>560805</v>
      </c>
      <c r="D108" s="290">
        <f>+D109+D115+D120+D123</f>
        <v>763155</v>
      </c>
      <c r="E108" s="290">
        <f>+E109+E115+E120+E123</f>
        <v>1587360</v>
      </c>
      <c r="F108" s="290">
        <f>+F109+F115+F120+F123</f>
        <v>1628060</v>
      </c>
    </row>
    <row r="109" spans="1:17" ht="12.75">
      <c r="A109" s="291" t="s">
        <v>127</v>
      </c>
      <c r="B109" s="319"/>
      <c r="C109" s="294">
        <f>C110</f>
        <v>170000</v>
      </c>
      <c r="D109" s="294">
        <f>D110</f>
        <v>340000</v>
      </c>
      <c r="E109" s="294">
        <f>E110</f>
        <v>746000</v>
      </c>
      <c r="F109" s="294">
        <f>F110</f>
        <v>746000</v>
      </c>
    </row>
    <row r="110" spans="1:17">
      <c r="A110" s="292" t="s">
        <v>298</v>
      </c>
      <c r="B110" s="319"/>
      <c r="C110" s="294">
        <f>SUM(C111:C114)</f>
        <v>170000</v>
      </c>
      <c r="D110" s="294">
        <f>SUM(D111:D114)</f>
        <v>340000</v>
      </c>
      <c r="E110" s="294">
        <f>SUM(E111:E114)</f>
        <v>746000</v>
      </c>
      <c r="F110" s="294">
        <f>SUM(F111:F114)</f>
        <v>746000</v>
      </c>
    </row>
    <row r="111" spans="1:17">
      <c r="A111" s="315" t="s">
        <v>581</v>
      </c>
      <c r="B111" s="315"/>
      <c r="C111" s="113">
        <f>242000-72000</f>
        <v>170000</v>
      </c>
      <c r="D111" s="113">
        <f>242000-72000</f>
        <v>170000</v>
      </c>
      <c r="E111" s="113">
        <f>242000-72000</f>
        <v>170000</v>
      </c>
      <c r="F111" s="113">
        <f>242000-72000</f>
        <v>170000</v>
      </c>
    </row>
    <row r="112" spans="1:17">
      <c r="A112" s="315" t="s">
        <v>462</v>
      </c>
      <c r="B112" s="315"/>
      <c r="C112" s="113">
        <v>0</v>
      </c>
      <c r="D112" s="113">
        <v>170000</v>
      </c>
      <c r="E112" s="113">
        <v>170000</v>
      </c>
      <c r="F112" s="113">
        <v>170000</v>
      </c>
    </row>
    <row r="113" spans="1:17">
      <c r="A113" s="315" t="s">
        <v>463</v>
      </c>
      <c r="B113" s="315"/>
      <c r="C113" s="113">
        <v>0</v>
      </c>
      <c r="D113" s="113">
        <v>0</v>
      </c>
      <c r="E113" s="113">
        <v>351000</v>
      </c>
      <c r="F113" s="113">
        <v>351000</v>
      </c>
    </row>
    <row r="114" spans="1:17">
      <c r="A114" s="315" t="s">
        <v>464</v>
      </c>
      <c r="B114" s="315"/>
      <c r="C114" s="113">
        <v>0</v>
      </c>
      <c r="D114" s="113">
        <v>0</v>
      </c>
      <c r="E114" s="113">
        <v>55000</v>
      </c>
      <c r="F114" s="113">
        <v>55000</v>
      </c>
    </row>
    <row r="115" spans="1:17" ht="12.75">
      <c r="A115" s="291" t="s">
        <v>160</v>
      </c>
      <c r="B115" s="319"/>
      <c r="C115" s="294">
        <f>C116</f>
        <v>315805</v>
      </c>
      <c r="D115" s="294">
        <f>D116</f>
        <v>423155</v>
      </c>
      <c r="E115" s="294">
        <f>E116</f>
        <v>523360</v>
      </c>
      <c r="F115" s="294">
        <f>F116</f>
        <v>564060</v>
      </c>
    </row>
    <row r="116" spans="1:17">
      <c r="A116" s="292" t="s">
        <v>306</v>
      </c>
      <c r="B116" s="315"/>
      <c r="C116" s="113">
        <f>SUM(C117:C119)</f>
        <v>315805</v>
      </c>
      <c r="D116" s="113">
        <f>SUM(D117:D119)</f>
        <v>423155</v>
      </c>
      <c r="E116" s="113">
        <f>SUM(E117:E119)</f>
        <v>523360</v>
      </c>
      <c r="F116" s="113">
        <f>SUM(F117:F119)</f>
        <v>564060</v>
      </c>
    </row>
    <row r="117" spans="1:17">
      <c r="A117" s="315" t="s">
        <v>465</v>
      </c>
      <c r="B117" s="315"/>
      <c r="C117" s="113">
        <v>115805</v>
      </c>
      <c r="D117" s="113">
        <v>166155</v>
      </c>
      <c r="E117" s="113">
        <v>203360</v>
      </c>
      <c r="F117" s="113">
        <v>204060</v>
      </c>
    </row>
    <row r="118" spans="1:17">
      <c r="A118" s="315" t="s">
        <v>466</v>
      </c>
      <c r="B118" s="315"/>
      <c r="C118" s="113">
        <v>200000</v>
      </c>
      <c r="D118" s="113">
        <v>240000</v>
      </c>
      <c r="E118" s="113">
        <v>280000</v>
      </c>
      <c r="F118" s="113">
        <v>320000</v>
      </c>
    </row>
    <row r="119" spans="1:17">
      <c r="A119" s="315" t="s">
        <v>467</v>
      </c>
      <c r="B119" s="315"/>
      <c r="C119" s="113">
        <v>0</v>
      </c>
      <c r="D119" s="113">
        <v>17000</v>
      </c>
      <c r="E119" s="113">
        <v>40000</v>
      </c>
      <c r="F119" s="113">
        <v>40000</v>
      </c>
    </row>
    <row r="120" spans="1:17" ht="12.75">
      <c r="A120" s="291" t="s">
        <v>38</v>
      </c>
      <c r="B120" s="319"/>
      <c r="C120" s="294">
        <f>C121</f>
        <v>75000</v>
      </c>
      <c r="D120" s="294">
        <f>D121</f>
        <v>0</v>
      </c>
      <c r="E120" s="294">
        <f>E121</f>
        <v>0</v>
      </c>
      <c r="F120" s="294">
        <f>F121</f>
        <v>0</v>
      </c>
    </row>
    <row r="121" spans="1:17">
      <c r="A121" s="292" t="s">
        <v>313</v>
      </c>
      <c r="B121" s="319"/>
      <c r="C121" s="294">
        <f>SUM(C122:C122)</f>
        <v>75000</v>
      </c>
      <c r="D121" s="294">
        <f>SUM(D122:D122)</f>
        <v>0</v>
      </c>
      <c r="E121" s="294">
        <f>SUM(E122:E122)</f>
        <v>0</v>
      </c>
      <c r="F121" s="294">
        <f>SUM(F122:F122)</f>
        <v>0</v>
      </c>
    </row>
    <row r="122" spans="1:17">
      <c r="A122" s="315" t="s">
        <v>543</v>
      </c>
      <c r="B122" s="315"/>
      <c r="C122" s="113">
        <v>75000</v>
      </c>
      <c r="D122" s="113">
        <v>0</v>
      </c>
      <c r="E122" s="113">
        <v>0</v>
      </c>
      <c r="F122" s="113">
        <v>0</v>
      </c>
    </row>
    <row r="123" spans="1:17" ht="12.75">
      <c r="A123" s="291" t="s">
        <v>316</v>
      </c>
      <c r="B123" s="319"/>
      <c r="C123" s="294">
        <f>C124</f>
        <v>0</v>
      </c>
      <c r="D123" s="294">
        <f>D124</f>
        <v>0</v>
      </c>
      <c r="E123" s="294">
        <f>E124</f>
        <v>318000</v>
      </c>
      <c r="F123" s="294">
        <f>F124</f>
        <v>318000</v>
      </c>
    </row>
    <row r="124" spans="1:17">
      <c r="A124" s="292" t="s">
        <v>315</v>
      </c>
      <c r="B124" s="319"/>
      <c r="C124" s="294">
        <f>SUM(C125:C125)</f>
        <v>0</v>
      </c>
      <c r="D124" s="294">
        <f>SUM(D125:D125)</f>
        <v>0</v>
      </c>
      <c r="E124" s="294">
        <f>SUM(E125:E125)</f>
        <v>318000</v>
      </c>
      <c r="F124" s="294">
        <f>SUM(F125:F125)</f>
        <v>318000</v>
      </c>
    </row>
    <row r="125" spans="1:17">
      <c r="A125" s="315" t="s">
        <v>468</v>
      </c>
      <c r="B125" s="315"/>
      <c r="C125" s="113">
        <v>0</v>
      </c>
      <c r="D125" s="113">
        <v>0</v>
      </c>
      <c r="E125" s="113">
        <v>318000</v>
      </c>
      <c r="F125" s="113">
        <v>318000</v>
      </c>
    </row>
    <row r="126" spans="1:17" s="278" customFormat="1">
      <c r="A126" s="280"/>
      <c r="B126" s="293"/>
      <c r="C126" s="294"/>
      <c r="D126" s="294"/>
      <c r="E126" s="294"/>
      <c r="F126" s="294"/>
      <c r="G126" s="135"/>
      <c r="H126" s="135"/>
      <c r="I126" s="135"/>
      <c r="J126" s="135"/>
      <c r="K126" s="135"/>
      <c r="L126" s="135"/>
      <c r="M126" s="135"/>
      <c r="N126" s="135"/>
      <c r="O126" s="135"/>
      <c r="P126" s="135"/>
      <c r="Q126" s="135"/>
    </row>
    <row r="127" spans="1:17" s="295" customFormat="1" ht="15">
      <c r="A127" s="288" t="s">
        <v>161</v>
      </c>
      <c r="B127" s="281"/>
      <c r="C127" s="290">
        <f>C128+C131+C134+C138</f>
        <v>1001750</v>
      </c>
      <c r="D127" s="290">
        <f>D128+D131+D134+D138</f>
        <v>718350</v>
      </c>
      <c r="E127" s="290">
        <f>E128+E131+E134+E138</f>
        <v>774150</v>
      </c>
      <c r="F127" s="290">
        <f>F128+F131+F134+F138</f>
        <v>745550</v>
      </c>
      <c r="G127" s="135"/>
      <c r="H127" s="135"/>
      <c r="I127" s="135"/>
      <c r="J127" s="135"/>
      <c r="K127" s="135"/>
      <c r="L127" s="135"/>
      <c r="M127" s="135"/>
      <c r="N127" s="135"/>
      <c r="O127" s="135"/>
      <c r="P127" s="135"/>
      <c r="Q127" s="135"/>
    </row>
    <row r="128" spans="1:17" s="278" customFormat="1" ht="12.75">
      <c r="A128" s="291" t="s">
        <v>162</v>
      </c>
      <c r="B128" s="293"/>
      <c r="C128" s="294">
        <f t="shared" ref="C128:F129" si="5">C129</f>
        <v>0</v>
      </c>
      <c r="D128" s="294">
        <f t="shared" si="5"/>
        <v>135000</v>
      </c>
      <c r="E128" s="294">
        <f t="shared" si="5"/>
        <v>133500</v>
      </c>
      <c r="F128" s="294">
        <f t="shared" si="5"/>
        <v>132000</v>
      </c>
      <c r="G128" s="135"/>
      <c r="H128" s="135"/>
      <c r="I128" s="135"/>
      <c r="J128" s="135"/>
      <c r="K128" s="135"/>
      <c r="L128" s="135"/>
      <c r="M128" s="135"/>
      <c r="N128" s="135"/>
      <c r="O128" s="135"/>
      <c r="P128" s="135"/>
      <c r="Q128" s="135"/>
    </row>
    <row r="129" spans="1:17" s="278" customFormat="1">
      <c r="A129" s="292" t="s">
        <v>323</v>
      </c>
      <c r="B129" s="293"/>
      <c r="C129" s="294">
        <f t="shared" si="5"/>
        <v>0</v>
      </c>
      <c r="D129" s="294">
        <f t="shared" si="5"/>
        <v>135000</v>
      </c>
      <c r="E129" s="294">
        <f t="shared" si="5"/>
        <v>133500</v>
      </c>
      <c r="F129" s="294">
        <f t="shared" si="5"/>
        <v>132000</v>
      </c>
      <c r="G129" s="135"/>
      <c r="H129" s="135"/>
      <c r="I129" s="135"/>
      <c r="J129" s="135"/>
      <c r="K129" s="135"/>
      <c r="L129" s="135"/>
      <c r="M129" s="135"/>
      <c r="N129" s="135"/>
      <c r="O129" s="135"/>
      <c r="P129" s="135"/>
      <c r="Q129" s="135"/>
    </row>
    <row r="130" spans="1:17" s="278" customFormat="1">
      <c r="A130" s="315" t="s">
        <v>163</v>
      </c>
      <c r="B130" s="315"/>
      <c r="C130" s="113">
        <v>0</v>
      </c>
      <c r="D130" s="113">
        <v>135000</v>
      </c>
      <c r="E130" s="113">
        <v>133500</v>
      </c>
      <c r="F130" s="113">
        <v>132000</v>
      </c>
      <c r="G130" s="135"/>
      <c r="H130" s="135"/>
      <c r="I130" s="135"/>
      <c r="J130" s="135"/>
      <c r="K130" s="135"/>
      <c r="L130" s="135"/>
      <c r="M130" s="135"/>
      <c r="N130" s="135"/>
      <c r="O130" s="135"/>
      <c r="P130" s="135"/>
      <c r="Q130" s="135"/>
    </row>
    <row r="131" spans="1:17" s="278" customFormat="1" ht="12.75">
      <c r="A131" s="291" t="s">
        <v>164</v>
      </c>
      <c r="B131" s="293"/>
      <c r="C131" s="294">
        <f>C132</f>
        <v>100750</v>
      </c>
      <c r="D131" s="294">
        <f>D132</f>
        <v>0</v>
      </c>
      <c r="E131" s="294">
        <f>E132</f>
        <v>0</v>
      </c>
      <c r="F131" s="294">
        <f>F132</f>
        <v>0</v>
      </c>
      <c r="G131" s="135"/>
      <c r="H131" s="135"/>
      <c r="I131" s="135"/>
      <c r="J131" s="135"/>
      <c r="K131" s="135"/>
      <c r="L131" s="135"/>
      <c r="M131" s="135"/>
      <c r="N131" s="135"/>
      <c r="O131" s="135"/>
      <c r="P131" s="135"/>
      <c r="Q131" s="135"/>
    </row>
    <row r="132" spans="1:17" s="278" customFormat="1">
      <c r="A132" s="292" t="s">
        <v>335</v>
      </c>
      <c r="B132" s="293"/>
      <c r="C132" s="294">
        <f>SUM(C133:C133)</f>
        <v>100750</v>
      </c>
      <c r="D132" s="294">
        <f>SUM(D133:D133)</f>
        <v>0</v>
      </c>
      <c r="E132" s="294">
        <f>SUM(E133:E133)</f>
        <v>0</v>
      </c>
      <c r="F132" s="294">
        <f>SUM(F133:F133)</f>
        <v>0</v>
      </c>
      <c r="G132" s="135"/>
      <c r="H132" s="135"/>
      <c r="I132" s="135"/>
      <c r="J132" s="135"/>
      <c r="K132" s="135"/>
      <c r="L132" s="135"/>
      <c r="M132" s="135"/>
      <c r="N132" s="135"/>
      <c r="O132" s="135"/>
      <c r="P132" s="135"/>
      <c r="Q132" s="135"/>
    </row>
    <row r="133" spans="1:17" s="278" customFormat="1">
      <c r="A133" s="315" t="s">
        <v>469</v>
      </c>
      <c r="B133" s="315"/>
      <c r="C133" s="113">
        <v>100750</v>
      </c>
      <c r="D133" s="113">
        <v>0</v>
      </c>
      <c r="E133" s="113">
        <v>0</v>
      </c>
      <c r="F133" s="113">
        <v>0</v>
      </c>
      <c r="G133" s="135"/>
      <c r="H133" s="135"/>
      <c r="I133" s="135"/>
      <c r="J133" s="135"/>
      <c r="K133" s="135"/>
      <c r="L133" s="135"/>
      <c r="M133" s="135"/>
      <c r="N133" s="135"/>
      <c r="O133" s="135"/>
      <c r="P133" s="135"/>
      <c r="Q133" s="135"/>
    </row>
    <row r="134" spans="1:17" s="278" customFormat="1" ht="12.75">
      <c r="A134" s="291" t="s">
        <v>43</v>
      </c>
      <c r="B134" s="293"/>
      <c r="C134" s="294">
        <f>C135</f>
        <v>901000</v>
      </c>
      <c r="D134" s="294">
        <f>D135</f>
        <v>583350</v>
      </c>
      <c r="E134" s="294">
        <f>E135</f>
        <v>584750</v>
      </c>
      <c r="F134" s="294">
        <f>F135</f>
        <v>585250</v>
      </c>
      <c r="G134" s="135"/>
      <c r="H134" s="135"/>
      <c r="I134" s="135"/>
      <c r="J134" s="135"/>
      <c r="K134" s="135"/>
      <c r="L134" s="135"/>
      <c r="M134" s="135"/>
      <c r="N134" s="135"/>
      <c r="O134" s="135"/>
      <c r="P134" s="135"/>
      <c r="Q134" s="135"/>
    </row>
    <row r="135" spans="1:17" s="278" customFormat="1">
      <c r="A135" s="292" t="s">
        <v>338</v>
      </c>
      <c r="B135" s="293"/>
      <c r="C135" s="294">
        <f>SUM(C136:C137)</f>
        <v>901000</v>
      </c>
      <c r="D135" s="294">
        <f>SUM(D136:D137)</f>
        <v>583350</v>
      </c>
      <c r="E135" s="294">
        <f>SUM(E136:E137)</f>
        <v>584750</v>
      </c>
      <c r="F135" s="294">
        <f>SUM(F136:F137)</f>
        <v>585250</v>
      </c>
      <c r="G135" s="135"/>
      <c r="H135" s="135"/>
      <c r="I135" s="135"/>
      <c r="J135" s="135"/>
      <c r="K135" s="135"/>
      <c r="L135" s="135"/>
      <c r="M135" s="135"/>
      <c r="N135" s="135"/>
      <c r="O135" s="135"/>
      <c r="P135" s="135"/>
      <c r="Q135" s="135"/>
    </row>
    <row r="136" spans="1:17" s="278" customFormat="1">
      <c r="A136" s="315" t="s">
        <v>523</v>
      </c>
      <c r="B136" s="315"/>
      <c r="C136" s="113">
        <f>931850-131850</f>
        <v>800000</v>
      </c>
      <c r="D136" s="113">
        <v>482350</v>
      </c>
      <c r="E136" s="113">
        <v>482350</v>
      </c>
      <c r="F136" s="113">
        <v>482350</v>
      </c>
      <c r="G136" s="135"/>
      <c r="H136" s="135"/>
      <c r="I136" s="135"/>
      <c r="J136" s="135"/>
      <c r="K136" s="135"/>
      <c r="L136" s="135"/>
      <c r="M136" s="135"/>
      <c r="N136" s="135"/>
      <c r="O136" s="135"/>
      <c r="P136" s="135"/>
      <c r="Q136" s="135"/>
    </row>
    <row r="137" spans="1:17" s="278" customFormat="1">
      <c r="A137" s="315" t="s">
        <v>524</v>
      </c>
      <c r="B137" s="315"/>
      <c r="C137" s="113">
        <v>101000</v>
      </c>
      <c r="D137" s="113">
        <v>101000</v>
      </c>
      <c r="E137" s="113">
        <v>102400</v>
      </c>
      <c r="F137" s="113">
        <v>102900</v>
      </c>
      <c r="G137" s="135"/>
      <c r="H137" s="135"/>
      <c r="I137" s="135"/>
      <c r="J137" s="135"/>
      <c r="K137" s="135"/>
      <c r="L137" s="135"/>
      <c r="M137" s="135"/>
      <c r="N137" s="135"/>
      <c r="O137" s="135"/>
      <c r="P137" s="135"/>
      <c r="Q137" s="135"/>
    </row>
    <row r="138" spans="1:17" s="278" customFormat="1" ht="12.75">
      <c r="A138" s="291" t="s">
        <v>525</v>
      </c>
      <c r="B138" s="293"/>
      <c r="C138" s="294">
        <f>C139</f>
        <v>0</v>
      </c>
      <c r="D138" s="294">
        <f>D139</f>
        <v>0</v>
      </c>
      <c r="E138" s="294">
        <f>E139</f>
        <v>55900</v>
      </c>
      <c r="F138" s="294">
        <f>F139</f>
        <v>28300</v>
      </c>
      <c r="G138" s="135"/>
      <c r="H138" s="135"/>
      <c r="I138" s="135"/>
      <c r="J138" s="135"/>
      <c r="K138" s="135"/>
      <c r="L138" s="135"/>
      <c r="M138" s="135"/>
      <c r="N138" s="135"/>
      <c r="O138" s="135"/>
      <c r="P138" s="135"/>
      <c r="Q138" s="135"/>
    </row>
    <row r="139" spans="1:17" s="278" customFormat="1">
      <c r="A139" s="292" t="s">
        <v>520</v>
      </c>
      <c r="B139" s="293"/>
      <c r="C139" s="294">
        <f>SUM(C140:C140)</f>
        <v>0</v>
      </c>
      <c r="D139" s="294">
        <f>SUM(D140:D140)</f>
        <v>0</v>
      </c>
      <c r="E139" s="294">
        <f>SUM(E140:E140)</f>
        <v>55900</v>
      </c>
      <c r="F139" s="294">
        <f>SUM(F140:F140)</f>
        <v>28300</v>
      </c>
      <c r="G139" s="135"/>
      <c r="H139" s="135"/>
      <c r="I139" s="135"/>
      <c r="J139" s="135"/>
      <c r="K139" s="135"/>
      <c r="L139" s="135"/>
      <c r="M139" s="135"/>
      <c r="N139" s="135"/>
      <c r="O139" s="135"/>
      <c r="P139" s="135"/>
      <c r="Q139" s="135"/>
    </row>
    <row r="140" spans="1:17" s="278" customFormat="1">
      <c r="A140" s="315" t="s">
        <v>526</v>
      </c>
      <c r="B140" s="315"/>
      <c r="C140" s="113">
        <v>0</v>
      </c>
      <c r="D140" s="113">
        <v>0</v>
      </c>
      <c r="E140" s="113">
        <v>55900</v>
      </c>
      <c r="F140" s="113">
        <v>28300</v>
      </c>
      <c r="G140" s="135"/>
      <c r="H140" s="135"/>
      <c r="I140" s="135"/>
      <c r="J140" s="135"/>
      <c r="K140" s="135"/>
      <c r="L140" s="135"/>
      <c r="M140" s="135"/>
      <c r="N140" s="135"/>
      <c r="O140" s="135"/>
      <c r="P140" s="135"/>
      <c r="Q140" s="135"/>
    </row>
    <row r="141" spans="1:17">
      <c r="A141" s="396" t="s">
        <v>528</v>
      </c>
      <c r="C141" s="112">
        <f>C54+C74</f>
        <v>219480</v>
      </c>
      <c r="D141" s="112">
        <f>D54+D74</f>
        <v>398960</v>
      </c>
      <c r="E141" s="112">
        <f>E54+E74</f>
        <v>403104</v>
      </c>
      <c r="F141" s="112">
        <f>F54+F74</f>
        <v>404584</v>
      </c>
      <c r="G141" s="135"/>
      <c r="H141" s="135"/>
      <c r="I141" s="135"/>
      <c r="J141" s="135"/>
      <c r="K141" s="135"/>
      <c r="L141" s="135"/>
      <c r="M141" s="135"/>
      <c r="N141" s="135"/>
      <c r="O141" s="135"/>
      <c r="P141" s="135"/>
      <c r="Q141" s="135"/>
    </row>
    <row r="142" spans="1:17">
      <c r="A142" s="396" t="s">
        <v>529</v>
      </c>
      <c r="C142" s="296">
        <f>C70+C86</f>
        <v>141193</v>
      </c>
      <c r="D142" s="296">
        <f>D70+D86</f>
        <v>318539</v>
      </c>
      <c r="E142" s="296">
        <f>E70+E86</f>
        <v>372048</v>
      </c>
      <c r="F142" s="296">
        <f>F70+F86</f>
        <v>423925</v>
      </c>
      <c r="G142" s="135"/>
      <c r="H142" s="135"/>
      <c r="I142" s="135"/>
      <c r="J142" s="135"/>
      <c r="K142" s="135"/>
      <c r="L142" s="135"/>
      <c r="M142" s="135"/>
      <c r="N142" s="135"/>
      <c r="O142" s="135"/>
      <c r="P142" s="135"/>
      <c r="Q142" s="135"/>
    </row>
    <row r="143" spans="1:17">
      <c r="A143" s="110" t="s">
        <v>165</v>
      </c>
      <c r="C143" s="112"/>
      <c r="D143" s="112"/>
      <c r="E143" s="112"/>
      <c r="F143" s="112"/>
      <c r="G143" s="135"/>
      <c r="H143" s="135"/>
      <c r="I143" s="135"/>
      <c r="J143" s="135"/>
      <c r="K143" s="135"/>
      <c r="L143" s="135"/>
      <c r="M143" s="135"/>
      <c r="N143" s="135"/>
      <c r="O143" s="135"/>
      <c r="P143" s="135"/>
      <c r="Q143" s="135"/>
    </row>
    <row r="144" spans="1:17">
      <c r="C144" s="112"/>
      <c r="D144" s="112"/>
      <c r="E144" s="112"/>
      <c r="F144" s="112"/>
      <c r="G144" s="135"/>
      <c r="H144" s="135"/>
      <c r="I144" s="135"/>
      <c r="J144" s="135"/>
      <c r="K144" s="135"/>
      <c r="L144" s="135"/>
      <c r="M144" s="135"/>
      <c r="N144" s="135"/>
      <c r="O144" s="135"/>
      <c r="P144" s="135"/>
      <c r="Q144" s="135"/>
    </row>
    <row r="145" spans="1:17">
      <c r="A145" s="316" t="s">
        <v>547</v>
      </c>
      <c r="C145" s="112">
        <f>C9+C33+C40+C51+C54+C62+C63+C64+C65+C70+C74+C77+C86+C101+C103+C104+C117</f>
        <v>2713976</v>
      </c>
      <c r="D145" s="112">
        <f>D9+D33+D40+D51+D54+D62+D63+D64+D65+D70+D74+D77+D86+D101+D103+D104+D117</f>
        <v>3324989</v>
      </c>
      <c r="E145" s="112">
        <f>E9+E33+E40+E51+E54+E62+E63+E64+E65+E70+E74+E77+E86+E101+E103+E104+E117</f>
        <v>4658244</v>
      </c>
      <c r="F145" s="112">
        <f>F9+F33+F40+F51+F54+F62+F63+F64+F65+F70+F74+F77+F86+F101+F103+F104+F117</f>
        <v>5419405</v>
      </c>
      <c r="G145" s="135"/>
      <c r="H145" s="135"/>
      <c r="I145" s="135"/>
      <c r="J145" s="135"/>
      <c r="K145" s="135"/>
      <c r="L145" s="135"/>
      <c r="M145" s="135"/>
      <c r="N145" s="135"/>
      <c r="O145" s="135"/>
      <c r="P145" s="135"/>
      <c r="Q145" s="135"/>
    </row>
    <row r="146" spans="1:17">
      <c r="C146" s="112"/>
      <c r="D146" s="112"/>
      <c r="E146" s="112"/>
      <c r="F146" s="112"/>
      <c r="G146" s="135"/>
      <c r="H146" s="135"/>
      <c r="I146" s="135"/>
      <c r="J146" s="135"/>
      <c r="K146" s="135"/>
      <c r="L146" s="135"/>
      <c r="M146" s="135"/>
      <c r="N146" s="135"/>
      <c r="O146" s="135"/>
      <c r="P146" s="135"/>
      <c r="Q146" s="135"/>
    </row>
    <row r="147" spans="1:17">
      <c r="C147" s="112"/>
      <c r="D147" s="112"/>
      <c r="E147" s="112"/>
      <c r="F147" s="112"/>
      <c r="G147" s="135"/>
      <c r="H147" s="135"/>
      <c r="I147" s="135"/>
      <c r="J147" s="135"/>
      <c r="K147" s="135"/>
      <c r="L147" s="135"/>
      <c r="M147" s="135"/>
      <c r="N147" s="135"/>
      <c r="O147" s="135"/>
      <c r="P147" s="135"/>
      <c r="Q147" s="135"/>
    </row>
    <row r="148" spans="1:17">
      <c r="C148" s="112"/>
      <c r="D148" s="112"/>
      <c r="E148" s="112"/>
      <c r="F148" s="112"/>
      <c r="G148" s="135"/>
      <c r="H148" s="135"/>
      <c r="I148" s="135"/>
      <c r="J148" s="135"/>
      <c r="K148" s="135"/>
      <c r="L148" s="135"/>
      <c r="M148" s="135"/>
      <c r="N148" s="135"/>
      <c r="O148" s="135"/>
      <c r="P148" s="135"/>
      <c r="Q148" s="135"/>
    </row>
    <row r="149" spans="1:17">
      <c r="C149" s="112"/>
      <c r="D149" s="112"/>
      <c r="E149" s="112"/>
      <c r="F149" s="112"/>
      <c r="G149" s="135"/>
      <c r="H149" s="135"/>
      <c r="I149" s="135"/>
      <c r="J149" s="135"/>
      <c r="K149" s="135"/>
      <c r="L149" s="135"/>
      <c r="M149" s="135"/>
      <c r="N149" s="135"/>
      <c r="O149" s="135"/>
      <c r="P149" s="135"/>
      <c r="Q149" s="135"/>
    </row>
    <row r="150" spans="1:17">
      <c r="C150" s="112"/>
      <c r="D150" s="112"/>
      <c r="E150" s="112"/>
      <c r="F150" s="112"/>
      <c r="G150" s="135"/>
      <c r="H150" s="135"/>
      <c r="I150" s="135"/>
      <c r="J150" s="135"/>
      <c r="K150" s="135"/>
      <c r="L150" s="135"/>
      <c r="M150" s="135"/>
      <c r="N150" s="135"/>
      <c r="O150" s="135"/>
      <c r="P150" s="135"/>
      <c r="Q150" s="135"/>
    </row>
    <row r="151" spans="1:17">
      <c r="C151" s="112"/>
      <c r="D151" s="112"/>
      <c r="E151" s="112"/>
      <c r="F151" s="112"/>
      <c r="G151" s="135"/>
      <c r="H151" s="135"/>
      <c r="I151" s="135"/>
      <c r="J151" s="135"/>
      <c r="K151" s="135"/>
      <c r="L151" s="135"/>
      <c r="M151" s="135"/>
      <c r="N151" s="135"/>
      <c r="O151" s="135"/>
      <c r="P151" s="135"/>
      <c r="Q151" s="135"/>
    </row>
    <row r="152" spans="1:17">
      <c r="C152" s="112"/>
      <c r="D152" s="112"/>
      <c r="E152" s="112"/>
      <c r="F152" s="112"/>
      <c r="G152" s="135"/>
      <c r="H152" s="135"/>
      <c r="I152" s="135"/>
      <c r="J152" s="135"/>
      <c r="K152" s="135"/>
      <c r="L152" s="135"/>
      <c r="M152" s="135"/>
      <c r="N152" s="135"/>
      <c r="O152" s="135"/>
      <c r="P152" s="135"/>
      <c r="Q152" s="135"/>
    </row>
    <row r="153" spans="1:17">
      <c r="C153" s="112"/>
      <c r="D153" s="112"/>
      <c r="E153" s="112"/>
      <c r="F153" s="112"/>
      <c r="G153" s="135"/>
      <c r="H153" s="135"/>
      <c r="I153" s="135"/>
      <c r="J153" s="135"/>
      <c r="K153" s="135"/>
      <c r="L153" s="135"/>
      <c r="M153" s="135"/>
      <c r="N153" s="135"/>
      <c r="O153" s="135"/>
      <c r="P153" s="135"/>
      <c r="Q153" s="135"/>
    </row>
    <row r="154" spans="1:17">
      <c r="C154" s="112"/>
      <c r="D154" s="112"/>
      <c r="E154" s="112"/>
      <c r="F154" s="112"/>
      <c r="G154" s="135"/>
      <c r="H154" s="135"/>
      <c r="I154" s="135"/>
      <c r="J154" s="135"/>
      <c r="K154" s="135"/>
      <c r="L154" s="135"/>
      <c r="M154" s="135"/>
      <c r="N154" s="135"/>
      <c r="O154" s="135"/>
      <c r="P154" s="135"/>
      <c r="Q154" s="135"/>
    </row>
    <row r="155" spans="1:17">
      <c r="C155" s="112"/>
      <c r="D155" s="112"/>
      <c r="E155" s="112"/>
      <c r="F155" s="112"/>
      <c r="G155" s="135"/>
      <c r="H155" s="135"/>
      <c r="I155" s="135"/>
      <c r="J155" s="135"/>
      <c r="K155" s="135"/>
      <c r="L155" s="135"/>
      <c r="M155" s="135"/>
      <c r="N155" s="135"/>
      <c r="O155" s="135"/>
      <c r="P155" s="135"/>
      <c r="Q155" s="135"/>
    </row>
    <row r="156" spans="1:17">
      <c r="C156" s="112"/>
      <c r="D156" s="112"/>
      <c r="E156" s="112"/>
      <c r="F156" s="112"/>
      <c r="G156" s="135"/>
      <c r="H156" s="135"/>
      <c r="I156" s="135"/>
      <c r="J156" s="135"/>
      <c r="K156" s="135"/>
      <c r="L156" s="135"/>
      <c r="M156" s="135"/>
      <c r="N156" s="135"/>
      <c r="O156" s="135"/>
      <c r="P156" s="135"/>
      <c r="Q156" s="135"/>
    </row>
    <row r="157" spans="1:17">
      <c r="C157" s="112"/>
      <c r="D157" s="112"/>
      <c r="E157" s="112"/>
      <c r="F157" s="112"/>
      <c r="G157" s="135"/>
      <c r="H157" s="135"/>
      <c r="I157" s="135"/>
      <c r="J157" s="135"/>
      <c r="K157" s="135"/>
      <c r="L157" s="135"/>
      <c r="M157" s="135"/>
      <c r="N157" s="135"/>
      <c r="O157" s="135"/>
      <c r="P157" s="135"/>
      <c r="Q157" s="135"/>
    </row>
    <row r="158" spans="1:17">
      <c r="C158" s="112"/>
      <c r="D158" s="112"/>
      <c r="E158" s="112"/>
      <c r="F158" s="112"/>
      <c r="G158" s="135"/>
      <c r="H158" s="135"/>
      <c r="I158" s="135"/>
      <c r="J158" s="135"/>
      <c r="K158" s="135"/>
      <c r="L158" s="135"/>
      <c r="M158" s="135"/>
      <c r="N158" s="135"/>
      <c r="O158" s="135"/>
      <c r="P158" s="135"/>
      <c r="Q158" s="135"/>
    </row>
    <row r="159" spans="1:17">
      <c r="C159" s="112"/>
      <c r="D159" s="112"/>
      <c r="E159" s="112"/>
      <c r="F159" s="112"/>
      <c r="G159" s="135"/>
      <c r="H159" s="135"/>
      <c r="I159" s="135"/>
      <c r="J159" s="135"/>
      <c r="K159" s="135"/>
      <c r="L159" s="135"/>
      <c r="M159" s="135"/>
      <c r="N159" s="135"/>
      <c r="O159" s="135"/>
      <c r="P159" s="135"/>
      <c r="Q159" s="135"/>
    </row>
    <row r="160" spans="1:17">
      <c r="C160" s="112"/>
      <c r="D160" s="112"/>
      <c r="E160" s="112"/>
      <c r="F160" s="112"/>
      <c r="G160" s="135"/>
      <c r="H160" s="135"/>
      <c r="I160" s="135"/>
      <c r="J160" s="135"/>
      <c r="K160" s="135"/>
      <c r="L160" s="135"/>
      <c r="M160" s="135"/>
      <c r="N160" s="135"/>
      <c r="O160" s="135"/>
      <c r="P160" s="135"/>
      <c r="Q160" s="135"/>
    </row>
    <row r="161" spans="3:17">
      <c r="C161" s="112"/>
      <c r="D161" s="112"/>
      <c r="E161" s="112"/>
      <c r="F161" s="112"/>
      <c r="G161" s="135"/>
      <c r="H161" s="135"/>
      <c r="I161" s="135"/>
      <c r="J161" s="135"/>
      <c r="K161" s="135"/>
      <c r="L161" s="135"/>
      <c r="M161" s="135"/>
      <c r="N161" s="135"/>
      <c r="O161" s="135"/>
      <c r="P161" s="135"/>
      <c r="Q161" s="135"/>
    </row>
    <row r="162" spans="3:17">
      <c r="C162" s="112"/>
      <c r="D162" s="112"/>
      <c r="E162" s="112"/>
      <c r="F162" s="112"/>
      <c r="G162" s="135"/>
      <c r="H162" s="135"/>
      <c r="I162" s="135"/>
      <c r="J162" s="135"/>
      <c r="K162" s="135"/>
      <c r="L162" s="135"/>
      <c r="M162" s="135"/>
      <c r="N162" s="135"/>
      <c r="O162" s="135"/>
      <c r="P162" s="135"/>
      <c r="Q162" s="135"/>
    </row>
    <row r="163" spans="3:17">
      <c r="C163" s="112"/>
      <c r="D163" s="112"/>
      <c r="E163" s="112"/>
      <c r="F163" s="112"/>
      <c r="G163" s="135"/>
      <c r="H163" s="135"/>
      <c r="I163" s="135"/>
      <c r="J163" s="135"/>
      <c r="K163" s="135"/>
      <c r="L163" s="135"/>
      <c r="M163" s="135"/>
      <c r="N163" s="135"/>
      <c r="O163" s="135"/>
      <c r="P163" s="135"/>
      <c r="Q163" s="135"/>
    </row>
    <row r="164" spans="3:17">
      <c r="C164" s="112"/>
      <c r="D164" s="112"/>
      <c r="E164" s="112"/>
      <c r="F164" s="112"/>
      <c r="G164" s="135"/>
      <c r="H164" s="135"/>
      <c r="I164" s="135"/>
      <c r="J164" s="135"/>
      <c r="K164" s="135"/>
      <c r="L164" s="135"/>
      <c r="M164" s="135"/>
      <c r="N164" s="135"/>
      <c r="O164" s="135"/>
      <c r="P164" s="135"/>
      <c r="Q164" s="135"/>
    </row>
    <row r="165" spans="3:17">
      <c r="C165" s="112"/>
      <c r="D165" s="112"/>
      <c r="E165" s="112"/>
      <c r="F165" s="112"/>
      <c r="G165" s="135"/>
      <c r="H165" s="135"/>
      <c r="I165" s="135"/>
      <c r="J165" s="135"/>
      <c r="K165" s="135"/>
      <c r="L165" s="135"/>
      <c r="M165" s="135"/>
      <c r="N165" s="135"/>
      <c r="O165" s="135"/>
      <c r="P165" s="135"/>
      <c r="Q165" s="135"/>
    </row>
    <row r="166" spans="3:17">
      <c r="C166" s="112"/>
      <c r="D166" s="112"/>
      <c r="E166" s="112"/>
      <c r="F166" s="112"/>
      <c r="G166" s="135"/>
      <c r="H166" s="135"/>
      <c r="I166" s="135"/>
      <c r="J166" s="135"/>
      <c r="K166" s="135"/>
      <c r="L166" s="135"/>
      <c r="M166" s="135"/>
      <c r="N166" s="135"/>
      <c r="O166" s="135"/>
      <c r="P166" s="135"/>
      <c r="Q166" s="135"/>
    </row>
    <row r="167" spans="3:17">
      <c r="C167" s="112"/>
      <c r="D167" s="112"/>
      <c r="E167" s="112"/>
      <c r="F167" s="112"/>
      <c r="G167" s="135"/>
      <c r="H167" s="135"/>
      <c r="I167" s="135"/>
      <c r="J167" s="135"/>
      <c r="K167" s="135"/>
      <c r="L167" s="135"/>
      <c r="M167" s="135"/>
      <c r="N167" s="135"/>
      <c r="O167" s="135"/>
      <c r="P167" s="135"/>
      <c r="Q167" s="135"/>
    </row>
    <row r="168" spans="3:17">
      <c r="C168" s="112"/>
      <c r="D168" s="112"/>
      <c r="E168" s="112"/>
      <c r="F168" s="112"/>
      <c r="G168" s="135"/>
      <c r="H168" s="135"/>
      <c r="I168" s="135"/>
      <c r="J168" s="135"/>
      <c r="K168" s="135"/>
      <c r="L168" s="135"/>
      <c r="M168" s="135"/>
      <c r="N168" s="135"/>
      <c r="O168" s="135"/>
      <c r="P168" s="135"/>
      <c r="Q168" s="135"/>
    </row>
    <row r="169" spans="3:17">
      <c r="C169" s="112"/>
      <c r="D169" s="112"/>
      <c r="E169" s="112"/>
      <c r="F169" s="112"/>
      <c r="G169" s="135"/>
      <c r="H169" s="135"/>
      <c r="I169" s="135"/>
      <c r="J169" s="135"/>
      <c r="K169" s="135"/>
      <c r="L169" s="135"/>
      <c r="M169" s="135"/>
      <c r="N169" s="135"/>
      <c r="O169" s="135"/>
      <c r="P169" s="135"/>
      <c r="Q169" s="135"/>
    </row>
    <row r="170" spans="3:17">
      <c r="C170" s="112"/>
      <c r="D170" s="112"/>
      <c r="E170" s="112"/>
      <c r="F170" s="112"/>
      <c r="G170" s="135"/>
      <c r="H170" s="135"/>
      <c r="I170" s="135"/>
      <c r="J170" s="135"/>
      <c r="K170" s="135"/>
      <c r="L170" s="135"/>
      <c r="M170" s="135"/>
      <c r="N170" s="135"/>
      <c r="O170" s="135"/>
      <c r="P170" s="135"/>
      <c r="Q170" s="135"/>
    </row>
    <row r="171" spans="3:17">
      <c r="C171" s="112"/>
      <c r="D171" s="112"/>
      <c r="E171" s="112"/>
      <c r="F171" s="112"/>
      <c r="G171" s="135"/>
      <c r="H171" s="135"/>
      <c r="I171" s="135"/>
      <c r="J171" s="135"/>
      <c r="K171" s="135"/>
      <c r="L171" s="135"/>
      <c r="M171" s="135"/>
      <c r="N171" s="135"/>
      <c r="O171" s="135"/>
      <c r="P171" s="135"/>
      <c r="Q171" s="135"/>
    </row>
    <row r="172" spans="3:17">
      <c r="C172" s="112"/>
      <c r="D172" s="112"/>
      <c r="E172" s="112"/>
      <c r="F172" s="112"/>
      <c r="G172" s="135"/>
      <c r="H172" s="135"/>
      <c r="I172" s="135"/>
      <c r="J172" s="135"/>
      <c r="K172" s="135"/>
      <c r="L172" s="135"/>
      <c r="M172" s="135"/>
      <c r="N172" s="135"/>
      <c r="O172" s="135"/>
      <c r="P172" s="135"/>
      <c r="Q172" s="135"/>
    </row>
    <row r="173" spans="3:17">
      <c r="C173" s="112"/>
      <c r="D173" s="112"/>
      <c r="E173" s="112"/>
      <c r="F173" s="112"/>
      <c r="G173" s="135"/>
      <c r="H173" s="135"/>
      <c r="I173" s="135"/>
      <c r="J173" s="135"/>
      <c r="K173" s="135"/>
      <c r="L173" s="135"/>
      <c r="M173" s="135"/>
      <c r="N173" s="135"/>
      <c r="O173" s="135"/>
      <c r="P173" s="135"/>
      <c r="Q173" s="135"/>
    </row>
    <row r="174" spans="3:17">
      <c r="C174" s="112"/>
      <c r="D174" s="112"/>
      <c r="E174" s="112"/>
      <c r="F174" s="112"/>
      <c r="G174" s="135"/>
      <c r="H174" s="135"/>
      <c r="I174" s="135"/>
      <c r="J174" s="135"/>
      <c r="K174" s="135"/>
      <c r="L174" s="135"/>
      <c r="M174" s="135"/>
      <c r="N174" s="135"/>
      <c r="O174" s="135"/>
      <c r="P174" s="135"/>
      <c r="Q174" s="135"/>
    </row>
    <row r="175" spans="3:17">
      <c r="C175" s="112"/>
      <c r="D175" s="112"/>
      <c r="E175" s="112"/>
      <c r="F175" s="112"/>
      <c r="G175" s="135"/>
      <c r="H175" s="135"/>
      <c r="I175" s="135"/>
      <c r="J175" s="135"/>
      <c r="K175" s="135"/>
      <c r="L175" s="135"/>
      <c r="M175" s="135"/>
      <c r="N175" s="135"/>
      <c r="O175" s="135"/>
      <c r="P175" s="135"/>
      <c r="Q175" s="135"/>
    </row>
    <row r="176" spans="3:17">
      <c r="C176" s="112"/>
      <c r="D176" s="112"/>
      <c r="E176" s="112"/>
      <c r="F176" s="112"/>
      <c r="G176" s="135"/>
      <c r="H176" s="135"/>
      <c r="I176" s="135"/>
      <c r="J176" s="135"/>
      <c r="K176" s="135"/>
      <c r="L176" s="135"/>
      <c r="M176" s="135"/>
      <c r="N176" s="135"/>
      <c r="O176" s="135"/>
      <c r="P176" s="135"/>
      <c r="Q176" s="135"/>
    </row>
    <row r="177" spans="3:17">
      <c r="C177" s="112"/>
      <c r="D177" s="112"/>
      <c r="E177" s="112"/>
      <c r="F177" s="112"/>
      <c r="G177" s="135"/>
      <c r="H177" s="135"/>
      <c r="I177" s="135"/>
      <c r="J177" s="135"/>
      <c r="K177" s="135"/>
      <c r="L177" s="135"/>
      <c r="M177" s="135"/>
      <c r="N177" s="135"/>
      <c r="O177" s="135"/>
      <c r="P177" s="135"/>
      <c r="Q177" s="135"/>
    </row>
    <row r="178" spans="3:17">
      <c r="C178" s="112"/>
      <c r="D178" s="112"/>
      <c r="E178" s="112"/>
      <c r="F178" s="112"/>
      <c r="G178" s="135"/>
      <c r="H178" s="135"/>
      <c r="I178" s="135"/>
      <c r="J178" s="135"/>
      <c r="K178" s="135"/>
      <c r="L178" s="135"/>
      <c r="M178" s="135"/>
      <c r="N178" s="135"/>
      <c r="O178" s="135"/>
      <c r="P178" s="135"/>
      <c r="Q178" s="135"/>
    </row>
    <row r="179" spans="3:17">
      <c r="C179" s="112"/>
      <c r="D179" s="112"/>
      <c r="E179" s="112"/>
      <c r="F179" s="112"/>
      <c r="G179" s="135"/>
      <c r="H179" s="135"/>
      <c r="I179" s="135"/>
      <c r="J179" s="135"/>
      <c r="K179" s="135"/>
      <c r="L179" s="135"/>
      <c r="M179" s="135"/>
      <c r="N179" s="135"/>
      <c r="O179" s="135"/>
      <c r="P179" s="135"/>
      <c r="Q179" s="135"/>
    </row>
    <row r="180" spans="3:17">
      <c r="C180" s="112"/>
      <c r="D180" s="112"/>
      <c r="E180" s="112"/>
      <c r="F180" s="112"/>
      <c r="G180" s="135"/>
      <c r="H180" s="135"/>
      <c r="I180" s="135"/>
      <c r="J180" s="135"/>
      <c r="K180" s="135"/>
      <c r="L180" s="135"/>
      <c r="M180" s="135"/>
      <c r="N180" s="135"/>
      <c r="O180" s="135"/>
      <c r="P180" s="135"/>
      <c r="Q180" s="135"/>
    </row>
    <row r="181" spans="3:17">
      <c r="C181" s="112"/>
      <c r="D181" s="112"/>
      <c r="E181" s="112"/>
      <c r="F181" s="112"/>
      <c r="G181" s="135"/>
      <c r="H181" s="135"/>
      <c r="I181" s="135"/>
      <c r="J181" s="135"/>
      <c r="K181" s="135"/>
      <c r="L181" s="135"/>
      <c r="M181" s="135"/>
      <c r="N181" s="135"/>
      <c r="O181" s="135"/>
      <c r="P181" s="135"/>
      <c r="Q181" s="135"/>
    </row>
    <row r="182" spans="3:17">
      <c r="C182" s="112"/>
      <c r="D182" s="112"/>
      <c r="E182" s="112"/>
      <c r="F182" s="112"/>
      <c r="G182" s="135"/>
      <c r="H182" s="135"/>
      <c r="I182" s="135"/>
      <c r="J182" s="135"/>
      <c r="K182" s="135"/>
      <c r="L182" s="135"/>
      <c r="M182" s="135"/>
      <c r="N182" s="135"/>
      <c r="O182" s="135"/>
      <c r="P182" s="135"/>
      <c r="Q182" s="135"/>
    </row>
    <row r="183" spans="3:17">
      <c r="C183" s="112"/>
      <c r="D183" s="112"/>
      <c r="E183" s="112"/>
      <c r="F183" s="112"/>
      <c r="G183" s="135"/>
      <c r="H183" s="135"/>
      <c r="I183" s="135"/>
      <c r="J183" s="135"/>
      <c r="K183" s="135"/>
      <c r="L183" s="135"/>
      <c r="M183" s="135"/>
      <c r="N183" s="135"/>
      <c r="O183" s="135"/>
      <c r="P183" s="135"/>
      <c r="Q183" s="135"/>
    </row>
    <row r="184" spans="3:17">
      <c r="C184" s="112"/>
      <c r="D184" s="112"/>
      <c r="E184" s="112"/>
      <c r="F184" s="112"/>
      <c r="G184" s="135"/>
      <c r="H184" s="135"/>
      <c r="I184" s="135"/>
      <c r="J184" s="135"/>
      <c r="K184" s="135"/>
      <c r="L184" s="135"/>
      <c r="M184" s="135"/>
      <c r="N184" s="135"/>
      <c r="O184" s="135"/>
      <c r="P184" s="135"/>
      <c r="Q184" s="135"/>
    </row>
    <row r="185" spans="3:17">
      <c r="C185" s="112"/>
      <c r="D185" s="112"/>
      <c r="E185" s="112"/>
      <c r="F185" s="112"/>
      <c r="G185" s="135"/>
      <c r="H185" s="135"/>
      <c r="I185" s="135"/>
      <c r="J185" s="135"/>
      <c r="K185" s="135"/>
      <c r="L185" s="135"/>
      <c r="M185" s="135"/>
      <c r="N185" s="135"/>
      <c r="O185" s="135"/>
      <c r="P185" s="135"/>
      <c r="Q185" s="135"/>
    </row>
    <row r="186" spans="3:17">
      <c r="C186" s="112"/>
      <c r="D186" s="112"/>
      <c r="E186" s="112"/>
      <c r="F186" s="112"/>
      <c r="G186" s="135"/>
      <c r="H186" s="135"/>
      <c r="I186" s="135"/>
      <c r="J186" s="135"/>
      <c r="K186" s="135"/>
      <c r="L186" s="135"/>
      <c r="M186" s="135"/>
      <c r="N186" s="135"/>
      <c r="O186" s="135"/>
      <c r="P186" s="135"/>
      <c r="Q186" s="135"/>
    </row>
    <row r="187" spans="3:17">
      <c r="C187" s="112"/>
      <c r="D187" s="112"/>
      <c r="E187" s="112"/>
      <c r="F187" s="112"/>
      <c r="G187" s="135"/>
      <c r="H187" s="135"/>
      <c r="I187" s="135"/>
      <c r="J187" s="135"/>
      <c r="K187" s="135"/>
      <c r="L187" s="135"/>
      <c r="M187" s="135"/>
      <c r="N187" s="135"/>
      <c r="O187" s="135"/>
      <c r="P187" s="135"/>
      <c r="Q187" s="135"/>
    </row>
    <row r="188" spans="3:17">
      <c r="C188" s="112"/>
      <c r="D188" s="112"/>
      <c r="E188" s="112"/>
      <c r="F188" s="112"/>
      <c r="G188" s="135"/>
      <c r="H188" s="135"/>
      <c r="I188" s="135"/>
      <c r="J188" s="135"/>
      <c r="K188" s="135"/>
      <c r="L188" s="135"/>
      <c r="M188" s="135"/>
      <c r="N188" s="135"/>
      <c r="O188" s="135"/>
      <c r="P188" s="135"/>
      <c r="Q188" s="135"/>
    </row>
    <row r="189" spans="3:17">
      <c r="C189" s="112"/>
      <c r="D189" s="112"/>
      <c r="E189" s="112"/>
      <c r="F189" s="112"/>
      <c r="G189" s="135"/>
      <c r="H189" s="135"/>
      <c r="I189" s="135"/>
      <c r="J189" s="135"/>
      <c r="K189" s="135"/>
      <c r="L189" s="135"/>
      <c r="M189" s="135"/>
      <c r="N189" s="135"/>
      <c r="O189" s="135"/>
      <c r="P189" s="135"/>
      <c r="Q189" s="135"/>
    </row>
    <row r="190" spans="3:17">
      <c r="C190" s="112"/>
      <c r="D190" s="112"/>
      <c r="E190" s="112"/>
      <c r="F190" s="112"/>
      <c r="G190" s="135"/>
      <c r="H190" s="135"/>
      <c r="I190" s="135"/>
      <c r="J190" s="135"/>
      <c r="K190" s="135"/>
      <c r="L190" s="135"/>
      <c r="M190" s="135"/>
      <c r="N190" s="135"/>
      <c r="O190" s="135"/>
      <c r="P190" s="135"/>
      <c r="Q190" s="135"/>
    </row>
    <row r="191" spans="3:17">
      <c r="C191" s="112"/>
      <c r="D191" s="112"/>
      <c r="E191" s="112"/>
      <c r="F191" s="112"/>
      <c r="G191" s="135"/>
      <c r="H191" s="135"/>
      <c r="I191" s="135"/>
      <c r="J191" s="135"/>
      <c r="K191" s="135"/>
      <c r="L191" s="135"/>
      <c r="M191" s="135"/>
      <c r="N191" s="135"/>
      <c r="O191" s="135"/>
      <c r="P191" s="135"/>
      <c r="Q191" s="135"/>
    </row>
    <row r="192" spans="3:17">
      <c r="C192" s="112"/>
      <c r="D192" s="112"/>
      <c r="E192" s="112"/>
      <c r="F192" s="112"/>
      <c r="G192" s="135"/>
      <c r="H192" s="135"/>
      <c r="I192" s="135"/>
      <c r="J192" s="135"/>
      <c r="K192" s="135"/>
      <c r="L192" s="135"/>
      <c r="M192" s="135"/>
      <c r="N192" s="135"/>
      <c r="O192" s="135"/>
      <c r="P192" s="135"/>
      <c r="Q192" s="135"/>
    </row>
    <row r="193" spans="3:17">
      <c r="C193" s="112"/>
      <c r="D193" s="112"/>
      <c r="E193" s="112"/>
      <c r="F193" s="112"/>
      <c r="G193" s="135"/>
      <c r="H193" s="135"/>
      <c r="I193" s="135"/>
      <c r="J193" s="135"/>
      <c r="K193" s="135"/>
      <c r="L193" s="135"/>
      <c r="M193" s="135"/>
      <c r="N193" s="135"/>
      <c r="O193" s="135"/>
      <c r="P193" s="135"/>
      <c r="Q193" s="135"/>
    </row>
    <row r="194" spans="3:17">
      <c r="C194" s="112"/>
      <c r="D194" s="112"/>
      <c r="E194" s="112"/>
      <c r="F194" s="112"/>
      <c r="G194" s="135"/>
      <c r="H194" s="135"/>
      <c r="I194" s="135"/>
      <c r="J194" s="135"/>
      <c r="K194" s="135"/>
      <c r="L194" s="135"/>
      <c r="M194" s="135"/>
      <c r="N194" s="135"/>
      <c r="O194" s="135"/>
      <c r="P194" s="135"/>
      <c r="Q194" s="135"/>
    </row>
    <row r="195" spans="3:17">
      <c r="C195" s="112"/>
      <c r="D195" s="112"/>
      <c r="E195" s="112"/>
      <c r="F195" s="112"/>
      <c r="G195" s="135"/>
      <c r="H195" s="135"/>
      <c r="I195" s="135"/>
      <c r="J195" s="135"/>
      <c r="K195" s="135"/>
      <c r="L195" s="135"/>
      <c r="M195" s="135"/>
      <c r="N195" s="135"/>
      <c r="O195" s="135"/>
      <c r="P195" s="135"/>
      <c r="Q195" s="135"/>
    </row>
    <row r="196" spans="3:17">
      <c r="C196" s="112"/>
      <c r="D196" s="112"/>
      <c r="E196" s="112"/>
      <c r="F196" s="112"/>
      <c r="G196" s="135"/>
      <c r="H196" s="135"/>
      <c r="I196" s="135"/>
      <c r="J196" s="135"/>
      <c r="K196" s="135"/>
      <c r="L196" s="135"/>
      <c r="M196" s="135"/>
      <c r="N196" s="135"/>
      <c r="O196" s="135"/>
      <c r="P196" s="135"/>
      <c r="Q196" s="135"/>
    </row>
    <row r="197" spans="3:17">
      <c r="C197" s="112"/>
      <c r="D197" s="112"/>
      <c r="E197" s="112"/>
      <c r="F197" s="112"/>
      <c r="G197" s="135"/>
      <c r="H197" s="135"/>
      <c r="I197" s="135"/>
      <c r="J197" s="135"/>
      <c r="K197" s="135"/>
      <c r="L197" s="135"/>
      <c r="M197" s="135"/>
      <c r="N197" s="135"/>
      <c r="O197" s="135"/>
      <c r="P197" s="135"/>
      <c r="Q197" s="135"/>
    </row>
    <row r="198" spans="3:17">
      <c r="C198" s="112"/>
      <c r="D198" s="112"/>
      <c r="E198" s="112"/>
      <c r="F198" s="112"/>
      <c r="G198" s="135"/>
      <c r="H198" s="135"/>
      <c r="I198" s="135"/>
      <c r="J198" s="135"/>
      <c r="K198" s="135"/>
      <c r="L198" s="135"/>
      <c r="M198" s="135"/>
      <c r="N198" s="135"/>
      <c r="O198" s="135"/>
      <c r="P198" s="135"/>
      <c r="Q198" s="135"/>
    </row>
    <row r="199" spans="3:17">
      <c r="C199" s="112"/>
      <c r="D199" s="112"/>
      <c r="E199" s="112"/>
      <c r="F199" s="112"/>
      <c r="G199" s="135"/>
      <c r="H199" s="135"/>
      <c r="I199" s="135"/>
      <c r="J199" s="135"/>
      <c r="K199" s="135"/>
      <c r="L199" s="135"/>
      <c r="M199" s="135"/>
      <c r="N199" s="135"/>
      <c r="O199" s="135"/>
      <c r="P199" s="135"/>
      <c r="Q199" s="135"/>
    </row>
    <row r="200" spans="3:17">
      <c r="C200" s="112"/>
      <c r="D200" s="112"/>
      <c r="E200" s="112"/>
      <c r="F200" s="112"/>
      <c r="G200" s="135"/>
      <c r="H200" s="135"/>
      <c r="I200" s="135"/>
      <c r="J200" s="135"/>
      <c r="K200" s="135"/>
      <c r="L200" s="135"/>
      <c r="M200" s="135"/>
      <c r="N200" s="135"/>
      <c r="O200" s="135"/>
      <c r="P200" s="135"/>
      <c r="Q200" s="135"/>
    </row>
    <row r="201" spans="3:17">
      <c r="C201" s="112"/>
      <c r="D201" s="112"/>
      <c r="E201" s="112"/>
      <c r="F201" s="112"/>
      <c r="G201" s="135"/>
      <c r="H201" s="135"/>
      <c r="I201" s="135"/>
      <c r="J201" s="135"/>
      <c r="K201" s="135"/>
      <c r="L201" s="135"/>
      <c r="M201" s="135"/>
      <c r="N201" s="135"/>
      <c r="O201" s="135"/>
      <c r="P201" s="135"/>
      <c r="Q201" s="135"/>
    </row>
    <row r="202" spans="3:17">
      <c r="C202" s="112"/>
      <c r="D202" s="112"/>
      <c r="E202" s="112"/>
      <c r="F202" s="112"/>
      <c r="G202" s="135"/>
      <c r="H202" s="135"/>
      <c r="I202" s="135"/>
      <c r="J202" s="135"/>
      <c r="K202" s="135"/>
      <c r="L202" s="135"/>
      <c r="M202" s="135"/>
      <c r="N202" s="135"/>
      <c r="O202" s="135"/>
      <c r="P202" s="135"/>
      <c r="Q202" s="135"/>
    </row>
    <row r="203" spans="3:17">
      <c r="C203" s="112"/>
      <c r="D203" s="112"/>
      <c r="E203" s="112"/>
      <c r="F203" s="112"/>
      <c r="G203" s="135"/>
      <c r="H203" s="135"/>
      <c r="I203" s="135"/>
      <c r="J203" s="135"/>
      <c r="K203" s="135"/>
      <c r="L203" s="135"/>
      <c r="M203" s="135"/>
      <c r="N203" s="135"/>
      <c r="O203" s="135"/>
      <c r="P203" s="135"/>
      <c r="Q203" s="135"/>
    </row>
    <row r="204" spans="3:17">
      <c r="C204" s="112"/>
      <c r="D204" s="112"/>
      <c r="E204" s="112"/>
      <c r="F204" s="112"/>
      <c r="G204" s="135"/>
      <c r="H204" s="135"/>
      <c r="I204" s="135"/>
      <c r="J204" s="135"/>
      <c r="K204" s="135"/>
      <c r="L204" s="135"/>
      <c r="M204" s="135"/>
      <c r="N204" s="135"/>
      <c r="O204" s="135"/>
      <c r="P204" s="135"/>
      <c r="Q204" s="135"/>
    </row>
    <row r="205" spans="3:17">
      <c r="C205" s="112"/>
      <c r="D205" s="112"/>
      <c r="E205" s="112"/>
      <c r="F205" s="112"/>
      <c r="G205" s="135"/>
      <c r="H205" s="135"/>
      <c r="I205" s="135"/>
      <c r="J205" s="135"/>
      <c r="K205" s="135"/>
      <c r="L205" s="135"/>
      <c r="M205" s="135"/>
      <c r="N205" s="135"/>
      <c r="O205" s="135"/>
      <c r="P205" s="135"/>
      <c r="Q205" s="135"/>
    </row>
    <row r="206" spans="3:17">
      <c r="C206" s="112"/>
      <c r="D206" s="112"/>
      <c r="E206" s="112"/>
      <c r="F206" s="112"/>
      <c r="G206" s="135"/>
      <c r="H206" s="135"/>
      <c r="I206" s="135"/>
      <c r="J206" s="135"/>
      <c r="K206" s="135"/>
      <c r="L206" s="135"/>
      <c r="M206" s="135"/>
      <c r="N206" s="135"/>
      <c r="O206" s="135"/>
      <c r="P206" s="135"/>
      <c r="Q206" s="135"/>
    </row>
    <row r="207" spans="3:17">
      <c r="C207" s="112"/>
      <c r="D207" s="112"/>
      <c r="E207" s="112"/>
      <c r="F207" s="112"/>
      <c r="G207" s="135"/>
      <c r="H207" s="135"/>
      <c r="I207" s="135"/>
      <c r="J207" s="135"/>
      <c r="K207" s="135"/>
      <c r="L207" s="135"/>
      <c r="M207" s="135"/>
      <c r="N207" s="135"/>
      <c r="O207" s="135"/>
      <c r="P207" s="135"/>
      <c r="Q207" s="135"/>
    </row>
    <row r="208" spans="3:17">
      <c r="C208" s="112"/>
      <c r="D208" s="112"/>
      <c r="E208" s="112"/>
      <c r="F208" s="112"/>
      <c r="G208" s="135"/>
      <c r="H208" s="135"/>
      <c r="I208" s="135"/>
      <c r="J208" s="135"/>
      <c r="K208" s="135"/>
      <c r="L208" s="135"/>
      <c r="M208" s="135"/>
      <c r="N208" s="135"/>
      <c r="O208" s="135"/>
      <c r="P208" s="135"/>
      <c r="Q208" s="135"/>
    </row>
    <row r="209" spans="3:17">
      <c r="C209" s="112"/>
      <c r="D209" s="112"/>
      <c r="E209" s="112"/>
      <c r="F209" s="112"/>
      <c r="G209" s="135"/>
      <c r="H209" s="135"/>
      <c r="I209" s="135"/>
      <c r="J209" s="135"/>
      <c r="K209" s="135"/>
      <c r="L209" s="135"/>
      <c r="M209" s="135"/>
      <c r="N209" s="135"/>
      <c r="O209" s="135"/>
      <c r="P209" s="135"/>
      <c r="Q209" s="135"/>
    </row>
    <row r="210" spans="3:17">
      <c r="C210" s="112"/>
      <c r="D210" s="112"/>
      <c r="E210" s="112"/>
      <c r="F210" s="112"/>
      <c r="G210" s="135"/>
      <c r="H210" s="135"/>
      <c r="I210" s="135"/>
      <c r="J210" s="135"/>
      <c r="K210" s="135"/>
      <c r="L210" s="135"/>
      <c r="M210" s="135"/>
      <c r="N210" s="135"/>
      <c r="O210" s="135"/>
      <c r="P210" s="135"/>
      <c r="Q210" s="135"/>
    </row>
    <row r="211" spans="3:17">
      <c r="C211" s="112"/>
      <c r="D211" s="112"/>
      <c r="E211" s="112"/>
      <c r="F211" s="112"/>
      <c r="G211" s="135"/>
      <c r="H211" s="135"/>
      <c r="I211" s="135"/>
      <c r="J211" s="135"/>
      <c r="K211" s="135"/>
      <c r="L211" s="135"/>
      <c r="M211" s="135"/>
      <c r="N211" s="135"/>
      <c r="O211" s="135"/>
      <c r="P211" s="135"/>
      <c r="Q211" s="135"/>
    </row>
    <row r="212" spans="3:17">
      <c r="C212" s="112"/>
      <c r="D212" s="112"/>
      <c r="E212" s="112"/>
      <c r="F212" s="112"/>
      <c r="G212" s="135"/>
      <c r="H212" s="135"/>
      <c r="I212" s="135"/>
      <c r="J212" s="135"/>
      <c r="K212" s="135"/>
      <c r="L212" s="135"/>
      <c r="M212" s="135"/>
      <c r="N212" s="135"/>
      <c r="O212" s="135"/>
      <c r="P212" s="135"/>
      <c r="Q212" s="135"/>
    </row>
    <row r="213" spans="3:17">
      <c r="C213" s="112"/>
      <c r="D213" s="112"/>
      <c r="E213" s="112"/>
      <c r="F213" s="112"/>
      <c r="G213" s="135"/>
      <c r="H213" s="135"/>
      <c r="I213" s="135"/>
      <c r="J213" s="135"/>
      <c r="K213" s="135"/>
      <c r="L213" s="135"/>
      <c r="M213" s="135"/>
      <c r="N213" s="135"/>
      <c r="O213" s="135"/>
      <c r="P213" s="135"/>
      <c r="Q213" s="135"/>
    </row>
    <row r="214" spans="3:17">
      <c r="C214" s="112"/>
      <c r="D214" s="112"/>
      <c r="E214" s="112"/>
      <c r="F214" s="112"/>
      <c r="G214" s="135"/>
      <c r="H214" s="135"/>
      <c r="I214" s="135"/>
      <c r="J214" s="135"/>
      <c r="K214" s="135"/>
      <c r="L214" s="135"/>
      <c r="M214" s="135"/>
      <c r="N214" s="135"/>
      <c r="O214" s="135"/>
      <c r="P214" s="135"/>
      <c r="Q214" s="135"/>
    </row>
    <row r="215" spans="3:17">
      <c r="C215" s="112"/>
      <c r="D215" s="112"/>
      <c r="E215" s="112"/>
      <c r="F215" s="112"/>
      <c r="G215" s="135"/>
      <c r="H215" s="135"/>
      <c r="I215" s="135"/>
      <c r="J215" s="135"/>
      <c r="K215" s="135"/>
      <c r="L215" s="135"/>
      <c r="M215" s="135"/>
      <c r="N215" s="135"/>
      <c r="O215" s="135"/>
      <c r="P215" s="135"/>
      <c r="Q215" s="135"/>
    </row>
    <row r="216" spans="3:17">
      <c r="C216" s="112"/>
      <c r="D216" s="112"/>
      <c r="E216" s="112"/>
      <c r="F216" s="112"/>
      <c r="G216" s="135"/>
      <c r="H216" s="135"/>
      <c r="I216" s="135"/>
      <c r="J216" s="135"/>
      <c r="K216" s="135"/>
      <c r="L216" s="135"/>
      <c r="M216" s="135"/>
      <c r="N216" s="135"/>
      <c r="O216" s="135"/>
      <c r="P216" s="135"/>
      <c r="Q216" s="135"/>
    </row>
    <row r="217" spans="3:17">
      <c r="C217" s="112"/>
      <c r="D217" s="112"/>
      <c r="E217" s="112"/>
      <c r="F217" s="112"/>
      <c r="G217" s="135"/>
      <c r="H217" s="135"/>
      <c r="I217" s="135"/>
      <c r="J217" s="135"/>
      <c r="K217" s="135"/>
      <c r="L217" s="135"/>
      <c r="M217" s="135"/>
      <c r="N217" s="135"/>
      <c r="O217" s="135"/>
      <c r="P217" s="135"/>
      <c r="Q217" s="135"/>
    </row>
    <row r="218" spans="3:17">
      <c r="C218" s="112"/>
      <c r="D218" s="112"/>
      <c r="E218" s="112"/>
      <c r="F218" s="112"/>
      <c r="G218" s="135"/>
      <c r="H218" s="135"/>
      <c r="I218" s="135"/>
      <c r="J218" s="135"/>
      <c r="K218" s="135"/>
      <c r="L218" s="135"/>
      <c r="M218" s="135"/>
      <c r="N218" s="135"/>
      <c r="O218" s="135"/>
      <c r="P218" s="135"/>
      <c r="Q218" s="135"/>
    </row>
    <row r="219" spans="3:17">
      <c r="C219" s="112"/>
      <c r="D219" s="112"/>
      <c r="E219" s="112"/>
      <c r="F219" s="112"/>
      <c r="G219" s="135"/>
      <c r="H219" s="135"/>
      <c r="I219" s="135"/>
      <c r="J219" s="135"/>
      <c r="K219" s="135"/>
      <c r="L219" s="135"/>
      <c r="M219" s="135"/>
      <c r="N219" s="135"/>
      <c r="O219" s="135"/>
      <c r="P219" s="135"/>
      <c r="Q219" s="135"/>
    </row>
    <row r="220" spans="3:17">
      <c r="C220" s="112"/>
      <c r="D220" s="112"/>
      <c r="E220" s="112"/>
      <c r="F220" s="112"/>
      <c r="G220" s="135"/>
      <c r="H220" s="135"/>
      <c r="I220" s="135"/>
      <c r="J220" s="135"/>
      <c r="K220" s="135"/>
      <c r="L220" s="135"/>
      <c r="M220" s="135"/>
      <c r="N220" s="135"/>
      <c r="O220" s="135"/>
      <c r="P220" s="135"/>
      <c r="Q220" s="135"/>
    </row>
    <row r="221" spans="3:17">
      <c r="C221" s="112"/>
      <c r="D221" s="112"/>
      <c r="E221" s="112"/>
      <c r="F221" s="112"/>
      <c r="G221" s="135"/>
      <c r="H221" s="135"/>
      <c r="I221" s="135"/>
      <c r="J221" s="135"/>
      <c r="K221" s="135"/>
      <c r="L221" s="135"/>
      <c r="M221" s="135"/>
      <c r="N221" s="135"/>
      <c r="O221" s="135"/>
      <c r="P221" s="135"/>
      <c r="Q221" s="135"/>
    </row>
    <row r="222" spans="3:17">
      <c r="C222" s="112"/>
      <c r="D222" s="112"/>
      <c r="E222" s="112"/>
      <c r="F222" s="112"/>
      <c r="G222" s="135"/>
      <c r="H222" s="135"/>
      <c r="I222" s="135"/>
      <c r="J222" s="135"/>
      <c r="K222" s="135"/>
      <c r="L222" s="135"/>
      <c r="M222" s="135"/>
      <c r="N222" s="135"/>
      <c r="O222" s="135"/>
      <c r="P222" s="135"/>
      <c r="Q222" s="135"/>
    </row>
    <row r="223" spans="3:17">
      <c r="C223" s="112"/>
      <c r="D223" s="112"/>
      <c r="E223" s="112"/>
      <c r="F223" s="112"/>
      <c r="G223" s="135"/>
      <c r="H223" s="135"/>
      <c r="I223" s="135"/>
      <c r="J223" s="135"/>
      <c r="K223" s="135"/>
      <c r="L223" s="135"/>
      <c r="M223" s="135"/>
      <c r="N223" s="135"/>
      <c r="O223" s="135"/>
      <c r="P223" s="135"/>
      <c r="Q223" s="135"/>
    </row>
    <row r="224" spans="3:17">
      <c r="C224" s="112"/>
      <c r="D224" s="112"/>
      <c r="E224" s="112"/>
      <c r="F224" s="112"/>
      <c r="G224" s="135"/>
      <c r="H224" s="135"/>
      <c r="I224" s="135"/>
      <c r="J224" s="135"/>
      <c r="K224" s="135"/>
      <c r="L224" s="135"/>
      <c r="M224" s="135"/>
      <c r="N224" s="135"/>
      <c r="O224" s="135"/>
      <c r="P224" s="135"/>
      <c r="Q224" s="135"/>
    </row>
    <row r="225" spans="3:17">
      <c r="C225" s="112"/>
      <c r="D225" s="112"/>
      <c r="E225" s="112"/>
      <c r="F225" s="112"/>
      <c r="G225" s="135"/>
      <c r="H225" s="135"/>
      <c r="I225" s="135"/>
      <c r="J225" s="135"/>
      <c r="K225" s="135"/>
      <c r="L225" s="135"/>
      <c r="M225" s="135"/>
      <c r="N225" s="135"/>
      <c r="O225" s="135"/>
      <c r="P225" s="135"/>
      <c r="Q225" s="135"/>
    </row>
    <row r="226" spans="3:17">
      <c r="C226" s="112"/>
      <c r="D226" s="112"/>
      <c r="E226" s="112"/>
      <c r="F226" s="112"/>
      <c r="G226" s="135"/>
      <c r="H226" s="135"/>
      <c r="I226" s="135"/>
      <c r="J226" s="135"/>
      <c r="K226" s="135"/>
      <c r="L226" s="135"/>
      <c r="M226" s="135"/>
      <c r="N226" s="135"/>
      <c r="O226" s="135"/>
      <c r="P226" s="135"/>
      <c r="Q226" s="135"/>
    </row>
    <row r="227" spans="3:17">
      <c r="C227" s="112"/>
      <c r="D227" s="112"/>
      <c r="E227" s="112"/>
      <c r="F227" s="112"/>
      <c r="G227" s="135"/>
      <c r="H227" s="135"/>
      <c r="I227" s="135"/>
      <c r="J227" s="135"/>
      <c r="K227" s="135"/>
      <c r="L227" s="135"/>
      <c r="M227" s="135"/>
      <c r="N227" s="135"/>
      <c r="O227" s="135"/>
      <c r="P227" s="135"/>
      <c r="Q227" s="135"/>
    </row>
    <row r="228" spans="3:17">
      <c r="C228" s="112"/>
      <c r="D228" s="112"/>
      <c r="E228" s="112"/>
      <c r="F228" s="112"/>
      <c r="G228" s="135"/>
      <c r="H228" s="135"/>
      <c r="I228" s="135"/>
      <c r="J228" s="135"/>
      <c r="K228" s="135"/>
      <c r="L228" s="135"/>
      <c r="M228" s="135"/>
      <c r="N228" s="135"/>
      <c r="O228" s="135"/>
      <c r="P228" s="135"/>
      <c r="Q228" s="135"/>
    </row>
    <row r="229" spans="3:17">
      <c r="C229" s="112"/>
      <c r="D229" s="112"/>
      <c r="E229" s="112"/>
      <c r="F229" s="112"/>
      <c r="G229" s="135"/>
      <c r="H229" s="135"/>
      <c r="I229" s="135"/>
      <c r="J229" s="135"/>
      <c r="K229" s="135"/>
      <c r="L229" s="135"/>
      <c r="M229" s="135"/>
      <c r="N229" s="135"/>
      <c r="O229" s="135"/>
      <c r="P229" s="135"/>
      <c r="Q229" s="135"/>
    </row>
    <row r="230" spans="3:17">
      <c r="C230" s="112"/>
      <c r="D230" s="112"/>
      <c r="E230" s="112"/>
      <c r="F230" s="112"/>
      <c r="G230" s="135"/>
      <c r="H230" s="135"/>
      <c r="I230" s="135"/>
      <c r="J230" s="135"/>
      <c r="K230" s="135"/>
      <c r="L230" s="135"/>
      <c r="M230" s="135"/>
      <c r="N230" s="135"/>
      <c r="O230" s="135"/>
      <c r="P230" s="135"/>
      <c r="Q230" s="135"/>
    </row>
    <row r="231" spans="3:17">
      <c r="C231" s="112"/>
      <c r="D231" s="112"/>
      <c r="E231" s="112"/>
      <c r="F231" s="112"/>
      <c r="G231" s="135"/>
      <c r="H231" s="135"/>
      <c r="I231" s="135"/>
      <c r="J231" s="135"/>
      <c r="K231" s="135"/>
      <c r="L231" s="135"/>
      <c r="M231" s="135"/>
      <c r="N231" s="135"/>
      <c r="O231" s="135"/>
      <c r="P231" s="135"/>
      <c r="Q231" s="135"/>
    </row>
    <row r="232" spans="3:17">
      <c r="C232" s="112"/>
      <c r="D232" s="112"/>
      <c r="E232" s="112"/>
      <c r="F232" s="112"/>
      <c r="G232" s="135"/>
      <c r="H232" s="135"/>
      <c r="I232" s="135"/>
      <c r="J232" s="135"/>
      <c r="K232" s="135"/>
      <c r="L232" s="135"/>
      <c r="M232" s="135"/>
      <c r="N232" s="135"/>
      <c r="O232" s="135"/>
      <c r="P232" s="135"/>
      <c r="Q232" s="135"/>
    </row>
    <row r="233" spans="3:17">
      <c r="C233" s="112"/>
      <c r="D233" s="112"/>
      <c r="E233" s="112"/>
      <c r="F233" s="112"/>
      <c r="G233" s="135"/>
      <c r="H233" s="135"/>
      <c r="I233" s="135"/>
      <c r="J233" s="135"/>
      <c r="K233" s="135"/>
      <c r="L233" s="135"/>
      <c r="M233" s="135"/>
      <c r="N233" s="135"/>
      <c r="O233" s="135"/>
      <c r="P233" s="135"/>
      <c r="Q233" s="135"/>
    </row>
    <row r="234" spans="3:17">
      <c r="C234" s="112"/>
      <c r="D234" s="112"/>
      <c r="E234" s="112"/>
      <c r="F234" s="112"/>
      <c r="G234" s="135"/>
      <c r="H234" s="135"/>
      <c r="I234" s="135"/>
      <c r="J234" s="135"/>
      <c r="K234" s="135"/>
      <c r="L234" s="135"/>
      <c r="M234" s="135"/>
      <c r="N234" s="135"/>
      <c r="O234" s="135"/>
      <c r="P234" s="135"/>
      <c r="Q234" s="135"/>
    </row>
    <row r="235" spans="3:17">
      <c r="C235" s="112"/>
      <c r="D235" s="112"/>
      <c r="E235" s="112"/>
      <c r="F235" s="112"/>
      <c r="G235" s="135"/>
      <c r="H235" s="135"/>
      <c r="I235" s="135"/>
      <c r="J235" s="135"/>
      <c r="K235" s="135"/>
      <c r="L235" s="135"/>
      <c r="M235" s="135"/>
      <c r="N235" s="135"/>
      <c r="O235" s="135"/>
      <c r="P235" s="135"/>
      <c r="Q235" s="135"/>
    </row>
    <row r="236" spans="3:17">
      <c r="C236" s="112"/>
      <c r="D236" s="112"/>
      <c r="E236" s="112"/>
      <c r="F236" s="112"/>
      <c r="G236" s="135"/>
      <c r="H236" s="135"/>
      <c r="I236" s="135"/>
      <c r="J236" s="135"/>
      <c r="K236" s="135"/>
      <c r="L236" s="135"/>
      <c r="M236" s="135"/>
      <c r="N236" s="135"/>
      <c r="O236" s="135"/>
      <c r="P236" s="135"/>
      <c r="Q236" s="135"/>
    </row>
    <row r="237" spans="3:17">
      <c r="C237" s="112"/>
      <c r="D237" s="112"/>
      <c r="E237" s="112"/>
      <c r="F237" s="112"/>
      <c r="G237" s="135"/>
      <c r="H237" s="135"/>
      <c r="I237" s="135"/>
      <c r="J237" s="135"/>
      <c r="K237" s="135"/>
      <c r="L237" s="135"/>
      <c r="M237" s="135"/>
      <c r="N237" s="135"/>
      <c r="O237" s="135"/>
      <c r="P237" s="135"/>
      <c r="Q237" s="135"/>
    </row>
    <row r="238" spans="3:17">
      <c r="C238" s="112"/>
      <c r="D238" s="112"/>
      <c r="E238" s="112"/>
      <c r="F238" s="112"/>
      <c r="G238" s="135"/>
      <c r="H238" s="135"/>
      <c r="I238" s="135"/>
      <c r="J238" s="135"/>
      <c r="K238" s="135"/>
      <c r="L238" s="135"/>
      <c r="M238" s="135"/>
      <c r="N238" s="135"/>
      <c r="O238" s="135"/>
      <c r="P238" s="135"/>
      <c r="Q238" s="135"/>
    </row>
    <row r="239" spans="3:17">
      <c r="C239" s="112"/>
      <c r="D239" s="112"/>
      <c r="E239" s="112"/>
      <c r="F239" s="112"/>
      <c r="G239" s="135"/>
      <c r="H239" s="135"/>
      <c r="I239" s="135"/>
      <c r="J239" s="135"/>
      <c r="K239" s="135"/>
      <c r="L239" s="135"/>
      <c r="M239" s="135"/>
      <c r="N239" s="135"/>
      <c r="O239" s="135"/>
      <c r="P239" s="135"/>
      <c r="Q239" s="135"/>
    </row>
    <row r="240" spans="3:17">
      <c r="C240" s="112"/>
      <c r="D240" s="112"/>
      <c r="E240" s="112"/>
      <c r="F240" s="112"/>
      <c r="G240" s="135"/>
      <c r="H240" s="135"/>
      <c r="I240" s="135"/>
      <c r="J240" s="135"/>
      <c r="K240" s="135"/>
      <c r="L240" s="135"/>
      <c r="M240" s="135"/>
      <c r="N240" s="135"/>
      <c r="O240" s="135"/>
      <c r="P240" s="135"/>
      <c r="Q240" s="135"/>
    </row>
    <row r="241" spans="7:17">
      <c r="G241" s="135"/>
      <c r="H241" s="135"/>
      <c r="I241" s="135"/>
      <c r="J241" s="135"/>
      <c r="K241" s="135"/>
      <c r="L241" s="135"/>
      <c r="M241" s="135"/>
      <c r="N241" s="135"/>
      <c r="O241" s="135"/>
      <c r="P241" s="135"/>
      <c r="Q241" s="135"/>
    </row>
    <row r="242" spans="7:17">
      <c r="G242" s="135"/>
      <c r="H242" s="135"/>
      <c r="I242" s="135"/>
      <c r="J242" s="135"/>
      <c r="K242" s="135"/>
      <c r="L242" s="135"/>
      <c r="M242" s="135"/>
      <c r="N242" s="135"/>
      <c r="O242" s="135"/>
      <c r="P242" s="135"/>
      <c r="Q242" s="135"/>
    </row>
    <row r="243" spans="7:17">
      <c r="G243" s="135"/>
      <c r="H243" s="135"/>
      <c r="I243" s="135"/>
      <c r="J243" s="135"/>
      <c r="K243" s="135"/>
      <c r="L243" s="135"/>
      <c r="M243" s="135"/>
      <c r="N243" s="135"/>
      <c r="O243" s="135"/>
      <c r="P243" s="135"/>
      <c r="Q243" s="135"/>
    </row>
    <row r="244" spans="7:17">
      <c r="G244" s="135"/>
      <c r="H244" s="135"/>
      <c r="I244" s="135"/>
      <c r="J244" s="135"/>
      <c r="K244" s="135"/>
      <c r="L244" s="135"/>
      <c r="M244" s="135"/>
      <c r="N244" s="135"/>
      <c r="O244" s="135"/>
      <c r="P244" s="135"/>
      <c r="Q244" s="135"/>
    </row>
    <row r="245" spans="7:17">
      <c r="G245" s="135"/>
      <c r="H245" s="135"/>
      <c r="I245" s="135"/>
      <c r="J245" s="135"/>
      <c r="K245" s="135"/>
      <c r="L245" s="135"/>
      <c r="M245" s="135"/>
      <c r="N245" s="135"/>
      <c r="O245" s="135"/>
      <c r="P245" s="135"/>
      <c r="Q245" s="135"/>
    </row>
    <row r="246" spans="7:17">
      <c r="G246" s="135"/>
      <c r="H246" s="135"/>
      <c r="I246" s="135"/>
      <c r="J246" s="135"/>
      <c r="K246" s="135"/>
      <c r="L246" s="135"/>
      <c r="M246" s="135"/>
      <c r="N246" s="135"/>
      <c r="O246" s="135"/>
      <c r="P246" s="135"/>
      <c r="Q246" s="135"/>
    </row>
    <row r="247" spans="7:17">
      <c r="G247" s="135"/>
      <c r="H247" s="135"/>
      <c r="I247" s="135"/>
      <c r="J247" s="135"/>
      <c r="K247" s="135"/>
      <c r="L247" s="135"/>
      <c r="M247" s="135"/>
      <c r="N247" s="135"/>
      <c r="O247" s="135"/>
      <c r="P247" s="135"/>
      <c r="Q247" s="135"/>
    </row>
    <row r="248" spans="7:17">
      <c r="G248" s="135"/>
      <c r="H248" s="135"/>
      <c r="I248" s="135"/>
      <c r="J248" s="135"/>
      <c r="K248" s="135"/>
      <c r="L248" s="135"/>
      <c r="M248" s="135"/>
      <c r="N248" s="135"/>
      <c r="O248" s="135"/>
      <c r="P248" s="135"/>
      <c r="Q248" s="135"/>
    </row>
    <row r="249" spans="7:17">
      <c r="G249" s="135"/>
      <c r="H249" s="135"/>
      <c r="I249" s="135"/>
      <c r="J249" s="135"/>
      <c r="K249" s="135"/>
      <c r="L249" s="135"/>
      <c r="M249" s="135"/>
      <c r="N249" s="135"/>
      <c r="O249" s="135"/>
      <c r="P249" s="135"/>
      <c r="Q249" s="135"/>
    </row>
    <row r="250" spans="7:17">
      <c r="G250" s="135"/>
      <c r="H250" s="135"/>
      <c r="I250" s="135"/>
      <c r="J250" s="135"/>
      <c r="K250" s="135"/>
      <c r="L250" s="135"/>
      <c r="M250" s="135"/>
      <c r="N250" s="135"/>
      <c r="O250" s="135"/>
      <c r="P250" s="135"/>
      <c r="Q250" s="135"/>
    </row>
    <row r="251" spans="7:17">
      <c r="G251" s="135"/>
      <c r="H251" s="135"/>
      <c r="I251" s="135"/>
      <c r="J251" s="135"/>
      <c r="K251" s="135"/>
      <c r="L251" s="135"/>
      <c r="M251" s="135"/>
      <c r="N251" s="135"/>
      <c r="O251" s="135"/>
      <c r="P251" s="135"/>
      <c r="Q251" s="135"/>
    </row>
    <row r="252" spans="7:17">
      <c r="G252" s="135"/>
      <c r="H252" s="135"/>
      <c r="I252" s="135"/>
      <c r="J252" s="135"/>
      <c r="K252" s="135"/>
      <c r="L252" s="135"/>
      <c r="M252" s="135"/>
      <c r="N252" s="135"/>
      <c r="O252" s="135"/>
      <c r="P252" s="135"/>
      <c r="Q252" s="135"/>
    </row>
    <row r="253" spans="7:17">
      <c r="G253" s="135"/>
      <c r="H253" s="135"/>
      <c r="I253" s="135"/>
      <c r="J253" s="135"/>
      <c r="K253" s="135"/>
      <c r="L253" s="135"/>
      <c r="M253" s="135"/>
      <c r="N253" s="135"/>
      <c r="O253" s="135"/>
      <c r="P253" s="135"/>
      <c r="Q253" s="135"/>
    </row>
    <row r="254" spans="7:17">
      <c r="G254" s="135"/>
      <c r="H254" s="135"/>
      <c r="I254" s="135"/>
      <c r="J254" s="135"/>
      <c r="K254" s="135"/>
      <c r="L254" s="135"/>
      <c r="M254" s="135"/>
      <c r="N254" s="135"/>
      <c r="O254" s="135"/>
      <c r="P254" s="135"/>
      <c r="Q254" s="135"/>
    </row>
    <row r="255" spans="7:17">
      <c r="G255" s="135"/>
      <c r="H255" s="135"/>
      <c r="I255" s="135"/>
      <c r="J255" s="135"/>
      <c r="K255" s="135"/>
      <c r="L255" s="135"/>
      <c r="M255" s="135"/>
      <c r="N255" s="135"/>
      <c r="O255" s="135"/>
      <c r="P255" s="135"/>
      <c r="Q255" s="135"/>
    </row>
    <row r="256" spans="7:17">
      <c r="G256" s="135"/>
      <c r="H256" s="135"/>
      <c r="I256" s="135"/>
      <c r="J256" s="135"/>
      <c r="K256" s="135"/>
      <c r="L256" s="135"/>
      <c r="M256" s="135"/>
      <c r="N256" s="135"/>
      <c r="O256" s="135"/>
      <c r="P256" s="135"/>
      <c r="Q256" s="135"/>
    </row>
    <row r="257" spans="7:17">
      <c r="G257" s="135"/>
      <c r="H257" s="135"/>
      <c r="I257" s="135"/>
      <c r="J257" s="135"/>
      <c r="K257" s="135"/>
      <c r="L257" s="135"/>
      <c r="M257" s="135"/>
      <c r="N257" s="135"/>
      <c r="O257" s="135"/>
      <c r="P257" s="135"/>
      <c r="Q257" s="135"/>
    </row>
    <row r="258" spans="7:17">
      <c r="G258" s="135"/>
      <c r="H258" s="135"/>
      <c r="I258" s="135"/>
      <c r="J258" s="135"/>
      <c r="K258" s="135"/>
      <c r="L258" s="135"/>
      <c r="M258" s="135"/>
      <c r="N258" s="135"/>
      <c r="O258" s="135"/>
      <c r="P258" s="135"/>
      <c r="Q258" s="135"/>
    </row>
    <row r="259" spans="7:17">
      <c r="G259" s="135"/>
      <c r="H259" s="135"/>
      <c r="I259" s="135"/>
      <c r="J259" s="135"/>
      <c r="K259" s="135"/>
      <c r="L259" s="135"/>
      <c r="M259" s="135"/>
      <c r="N259" s="135"/>
      <c r="O259" s="135"/>
      <c r="P259" s="135"/>
      <c r="Q259" s="135"/>
    </row>
    <row r="260" spans="7:17">
      <c r="G260" s="135"/>
      <c r="H260" s="135"/>
      <c r="I260" s="135"/>
      <c r="J260" s="135"/>
      <c r="K260" s="135"/>
      <c r="L260" s="135"/>
      <c r="M260" s="135"/>
      <c r="N260" s="135"/>
      <c r="O260" s="135"/>
      <c r="P260" s="135"/>
      <c r="Q260" s="135"/>
    </row>
    <row r="261" spans="7:17">
      <c r="G261" s="135"/>
      <c r="H261" s="135"/>
      <c r="I261" s="135"/>
      <c r="J261" s="135"/>
      <c r="K261" s="135"/>
      <c r="L261" s="135"/>
      <c r="M261" s="135"/>
      <c r="N261" s="135"/>
      <c r="O261" s="135"/>
      <c r="P261" s="135"/>
      <c r="Q261" s="135"/>
    </row>
    <row r="262" spans="7:17">
      <c r="G262" s="135"/>
      <c r="H262" s="135"/>
      <c r="I262" s="135"/>
      <c r="J262" s="135"/>
      <c r="K262" s="135"/>
      <c r="L262" s="135"/>
      <c r="M262" s="135"/>
      <c r="N262" s="135"/>
      <c r="O262" s="135"/>
      <c r="P262" s="135"/>
      <c r="Q262" s="135"/>
    </row>
    <row r="263" spans="7:17">
      <c r="G263" s="135"/>
      <c r="H263" s="135"/>
      <c r="I263" s="135"/>
      <c r="J263" s="135"/>
      <c r="K263" s="135"/>
      <c r="L263" s="135"/>
      <c r="M263" s="135"/>
      <c r="N263" s="135"/>
      <c r="O263" s="135"/>
      <c r="P263" s="135"/>
      <c r="Q263" s="135"/>
    </row>
    <row r="264" spans="7:17">
      <c r="G264" s="135"/>
      <c r="H264" s="135"/>
      <c r="I264" s="135"/>
      <c r="J264" s="135"/>
      <c r="K264" s="135"/>
      <c r="L264" s="135"/>
      <c r="M264" s="135"/>
      <c r="N264" s="135"/>
      <c r="O264" s="135"/>
      <c r="P264" s="135"/>
      <c r="Q264" s="135"/>
    </row>
    <row r="265" spans="7:17">
      <c r="G265" s="135"/>
      <c r="H265" s="135"/>
      <c r="I265" s="135"/>
      <c r="J265" s="135"/>
      <c r="K265" s="135"/>
      <c r="L265" s="135"/>
      <c r="M265" s="135"/>
      <c r="N265" s="135"/>
      <c r="O265" s="135"/>
      <c r="P265" s="135"/>
      <c r="Q265" s="135"/>
    </row>
    <row r="266" spans="7:17">
      <c r="G266" s="135"/>
      <c r="H266" s="135"/>
      <c r="I266" s="135"/>
      <c r="J266" s="135"/>
      <c r="K266" s="135"/>
      <c r="L266" s="135"/>
      <c r="M266" s="135"/>
      <c r="N266" s="135"/>
      <c r="O266" s="135"/>
      <c r="P266" s="135"/>
      <c r="Q266" s="135"/>
    </row>
    <row r="267" spans="7:17">
      <c r="G267" s="135"/>
      <c r="H267" s="135"/>
      <c r="I267" s="135"/>
      <c r="J267" s="135"/>
      <c r="K267" s="135"/>
      <c r="L267" s="135"/>
      <c r="M267" s="135"/>
      <c r="N267" s="135"/>
      <c r="O267" s="135"/>
      <c r="P267" s="135"/>
      <c r="Q267" s="135"/>
    </row>
    <row r="268" spans="7:17">
      <c r="G268" s="135"/>
      <c r="H268" s="135"/>
      <c r="I268" s="135"/>
      <c r="J268" s="135"/>
      <c r="K268" s="135"/>
      <c r="L268" s="135"/>
      <c r="M268" s="135"/>
      <c r="N268" s="135"/>
      <c r="O268" s="135"/>
      <c r="P268" s="135"/>
      <c r="Q268" s="135"/>
    </row>
    <row r="269" spans="7:17">
      <c r="G269" s="135"/>
      <c r="H269" s="135"/>
      <c r="I269" s="135"/>
      <c r="J269" s="135"/>
      <c r="K269" s="135"/>
      <c r="L269" s="135"/>
      <c r="M269" s="135"/>
      <c r="N269" s="135"/>
      <c r="O269" s="135"/>
      <c r="P269" s="135"/>
      <c r="Q269" s="135"/>
    </row>
    <row r="270" spans="7:17">
      <c r="G270" s="135"/>
      <c r="H270" s="135"/>
      <c r="I270" s="135"/>
      <c r="J270" s="135"/>
      <c r="K270" s="135"/>
      <c r="L270" s="135"/>
      <c r="M270" s="135"/>
      <c r="N270" s="135"/>
      <c r="O270" s="135"/>
      <c r="P270" s="135"/>
      <c r="Q270" s="135"/>
    </row>
    <row r="271" spans="7:17">
      <c r="G271" s="135"/>
      <c r="H271" s="135"/>
      <c r="I271" s="135"/>
      <c r="J271" s="135"/>
      <c r="K271" s="135"/>
      <c r="L271" s="135"/>
      <c r="M271" s="135"/>
      <c r="N271" s="135"/>
      <c r="O271" s="135"/>
      <c r="P271" s="135"/>
      <c r="Q271" s="135"/>
    </row>
    <row r="272" spans="7:17">
      <c r="G272" s="135"/>
      <c r="H272" s="135"/>
      <c r="I272" s="135"/>
      <c r="J272" s="135"/>
      <c r="K272" s="135"/>
      <c r="L272" s="135"/>
      <c r="M272" s="135"/>
      <c r="N272" s="135"/>
      <c r="O272" s="135"/>
      <c r="P272" s="135"/>
      <c r="Q272" s="135"/>
    </row>
    <row r="273" spans="7:17">
      <c r="G273" s="135"/>
      <c r="H273" s="135"/>
      <c r="I273" s="135"/>
      <c r="J273" s="135"/>
      <c r="K273" s="135"/>
      <c r="L273" s="135"/>
      <c r="M273" s="135"/>
      <c r="N273" s="135"/>
      <c r="O273" s="135"/>
      <c r="P273" s="135"/>
      <c r="Q273" s="135"/>
    </row>
    <row r="274" spans="7:17">
      <c r="G274" s="135"/>
      <c r="H274" s="135"/>
      <c r="I274" s="135"/>
      <c r="J274" s="135"/>
      <c r="K274" s="135"/>
      <c r="L274" s="135"/>
      <c r="M274" s="135"/>
      <c r="N274" s="135"/>
      <c r="O274" s="135"/>
      <c r="P274" s="135"/>
      <c r="Q274" s="135"/>
    </row>
    <row r="275" spans="7:17">
      <c r="G275" s="135"/>
      <c r="H275" s="135"/>
      <c r="I275" s="135"/>
      <c r="J275" s="135"/>
      <c r="K275" s="135"/>
      <c r="L275" s="135"/>
      <c r="M275" s="135"/>
      <c r="N275" s="135"/>
      <c r="O275" s="135"/>
      <c r="P275" s="135"/>
      <c r="Q275" s="135"/>
    </row>
    <row r="276" spans="7:17">
      <c r="G276" s="135"/>
      <c r="H276" s="135"/>
      <c r="I276" s="135"/>
      <c r="J276" s="135"/>
      <c r="K276" s="135"/>
      <c r="L276" s="135"/>
      <c r="M276" s="135"/>
      <c r="N276" s="135"/>
      <c r="O276" s="135"/>
      <c r="P276" s="135"/>
      <c r="Q276" s="135"/>
    </row>
    <row r="277" spans="7:17">
      <c r="G277" s="135"/>
      <c r="H277" s="135"/>
      <c r="I277" s="135"/>
      <c r="J277" s="135"/>
      <c r="K277" s="135"/>
      <c r="L277" s="135"/>
      <c r="M277" s="135"/>
      <c r="N277" s="135"/>
      <c r="O277" s="135"/>
      <c r="P277" s="135"/>
      <c r="Q277" s="135"/>
    </row>
    <row r="278" spans="7:17">
      <c r="G278" s="135"/>
      <c r="H278" s="135"/>
      <c r="I278" s="135"/>
      <c r="J278" s="135"/>
      <c r="K278" s="135"/>
      <c r="L278" s="135"/>
      <c r="M278" s="135"/>
      <c r="N278" s="135"/>
      <c r="O278" s="135"/>
      <c r="P278" s="135"/>
      <c r="Q278" s="135"/>
    </row>
    <row r="279" spans="7:17">
      <c r="G279" s="135"/>
      <c r="H279" s="135"/>
      <c r="I279" s="135"/>
      <c r="J279" s="135"/>
      <c r="K279" s="135"/>
      <c r="L279" s="135"/>
      <c r="M279" s="135"/>
      <c r="N279" s="135"/>
      <c r="O279" s="135"/>
      <c r="P279" s="135"/>
      <c r="Q279" s="135"/>
    </row>
    <row r="280" spans="7:17">
      <c r="G280" s="135"/>
      <c r="H280" s="135"/>
      <c r="I280" s="135"/>
      <c r="J280" s="135"/>
      <c r="K280" s="135"/>
      <c r="L280" s="135"/>
      <c r="M280" s="135"/>
      <c r="N280" s="135"/>
      <c r="O280" s="135"/>
      <c r="P280" s="135"/>
      <c r="Q280" s="135"/>
    </row>
    <row r="281" spans="7:17">
      <c r="G281" s="135"/>
      <c r="H281" s="135"/>
      <c r="I281" s="135"/>
      <c r="J281" s="135"/>
      <c r="K281" s="135"/>
      <c r="L281" s="135"/>
      <c r="M281" s="135"/>
      <c r="N281" s="135"/>
      <c r="O281" s="135"/>
      <c r="P281" s="135"/>
      <c r="Q281" s="135"/>
    </row>
    <row r="282" spans="7:17">
      <c r="G282" s="135"/>
      <c r="H282" s="135"/>
      <c r="I282" s="135"/>
      <c r="J282" s="135"/>
      <c r="K282" s="135"/>
      <c r="L282" s="135"/>
      <c r="M282" s="135"/>
      <c r="N282" s="135"/>
      <c r="O282" s="135"/>
      <c r="P282" s="135"/>
      <c r="Q282" s="135"/>
    </row>
    <row r="283" spans="7:17">
      <c r="G283" s="135"/>
      <c r="H283" s="135"/>
      <c r="I283" s="135"/>
      <c r="J283" s="135"/>
      <c r="K283" s="135"/>
      <c r="L283" s="135"/>
      <c r="M283" s="135"/>
      <c r="N283" s="135"/>
      <c r="O283" s="135"/>
      <c r="P283" s="135"/>
      <c r="Q283" s="135"/>
    </row>
    <row r="284" spans="7:17">
      <c r="G284" s="135"/>
      <c r="H284" s="135"/>
      <c r="I284" s="135"/>
      <c r="J284" s="135"/>
      <c r="K284" s="135"/>
      <c r="L284" s="135"/>
      <c r="M284" s="135"/>
      <c r="N284" s="135"/>
      <c r="O284" s="135"/>
      <c r="P284" s="135"/>
      <c r="Q284" s="135"/>
    </row>
    <row r="285" spans="7:17">
      <c r="G285" s="135"/>
      <c r="H285" s="135"/>
      <c r="I285" s="135"/>
      <c r="J285" s="135"/>
      <c r="K285" s="135"/>
      <c r="L285" s="135"/>
      <c r="M285" s="135"/>
      <c r="N285" s="135"/>
      <c r="O285" s="135"/>
      <c r="P285" s="135"/>
      <c r="Q285" s="135"/>
    </row>
    <row r="286" spans="7:17">
      <c r="G286" s="135"/>
      <c r="H286" s="135"/>
      <c r="I286" s="135"/>
      <c r="J286" s="135"/>
      <c r="K286" s="135"/>
      <c r="L286" s="135"/>
      <c r="M286" s="135"/>
      <c r="N286" s="135"/>
      <c r="O286" s="135"/>
      <c r="P286" s="135"/>
      <c r="Q286" s="135"/>
    </row>
    <row r="287" spans="7:17">
      <c r="G287" s="135"/>
      <c r="H287" s="135"/>
      <c r="I287" s="135"/>
      <c r="J287" s="135"/>
      <c r="K287" s="135"/>
      <c r="L287" s="135"/>
      <c r="M287" s="135"/>
      <c r="N287" s="135"/>
      <c r="O287" s="135"/>
      <c r="P287" s="135"/>
      <c r="Q287" s="135"/>
    </row>
    <row r="288" spans="7:17">
      <c r="G288" s="135"/>
      <c r="H288" s="135"/>
      <c r="I288" s="135"/>
      <c r="J288" s="135"/>
      <c r="K288" s="135"/>
      <c r="L288" s="135"/>
      <c r="M288" s="135"/>
      <c r="N288" s="135"/>
      <c r="O288" s="135"/>
      <c r="P288" s="135"/>
      <c r="Q288" s="135"/>
    </row>
    <row r="289" spans="7:17">
      <c r="G289" s="135"/>
      <c r="H289" s="135"/>
      <c r="I289" s="135"/>
      <c r="J289" s="135"/>
      <c r="K289" s="135"/>
      <c r="L289" s="135"/>
      <c r="M289" s="135"/>
      <c r="N289" s="135"/>
      <c r="O289" s="135"/>
      <c r="P289" s="135"/>
      <c r="Q289" s="135"/>
    </row>
    <row r="290" spans="7:17">
      <c r="G290" s="135"/>
      <c r="H290" s="135"/>
      <c r="I290" s="135"/>
      <c r="J290" s="135"/>
      <c r="K290" s="135"/>
      <c r="L290" s="135"/>
      <c r="M290" s="135"/>
      <c r="N290" s="135"/>
      <c r="O290" s="135"/>
      <c r="P290" s="135"/>
      <c r="Q290" s="135"/>
    </row>
    <row r="291" spans="7:17">
      <c r="G291" s="135"/>
      <c r="H291" s="135"/>
      <c r="I291" s="135"/>
      <c r="J291" s="135"/>
      <c r="K291" s="135"/>
      <c r="L291" s="135"/>
      <c r="M291" s="135"/>
      <c r="N291" s="135"/>
      <c r="O291" s="135"/>
      <c r="P291" s="135"/>
      <c r="Q291" s="135"/>
    </row>
    <row r="292" spans="7:17">
      <c r="G292" s="135"/>
      <c r="H292" s="135"/>
      <c r="I292" s="135"/>
      <c r="J292" s="135"/>
      <c r="K292" s="135"/>
      <c r="L292" s="135"/>
      <c r="M292" s="135"/>
      <c r="N292" s="135"/>
      <c r="O292" s="135"/>
      <c r="P292" s="135"/>
      <c r="Q292" s="135"/>
    </row>
    <row r="293" spans="7:17">
      <c r="G293" s="135"/>
      <c r="H293" s="135"/>
      <c r="I293" s="135"/>
      <c r="J293" s="135"/>
      <c r="K293" s="135"/>
      <c r="L293" s="135"/>
      <c r="M293" s="135"/>
      <c r="N293" s="135"/>
      <c r="O293" s="135"/>
      <c r="P293" s="135"/>
      <c r="Q293" s="135"/>
    </row>
    <row r="294" spans="7:17">
      <c r="G294" s="135"/>
      <c r="H294" s="135"/>
      <c r="I294" s="135"/>
      <c r="J294" s="135"/>
      <c r="K294" s="135"/>
      <c r="L294" s="135"/>
      <c r="M294" s="135"/>
      <c r="N294" s="135"/>
      <c r="O294" s="135"/>
      <c r="P294" s="135"/>
      <c r="Q294" s="135"/>
    </row>
    <row r="295" spans="7:17">
      <c r="G295" s="135"/>
      <c r="H295" s="135"/>
      <c r="I295" s="135"/>
      <c r="J295" s="135"/>
      <c r="K295" s="135"/>
      <c r="L295" s="135"/>
      <c r="M295" s="135"/>
      <c r="N295" s="135"/>
      <c r="O295" s="135"/>
      <c r="P295" s="135"/>
      <c r="Q295" s="135"/>
    </row>
    <row r="296" spans="7:17">
      <c r="G296" s="135"/>
      <c r="H296" s="135"/>
      <c r="I296" s="135"/>
      <c r="J296" s="135"/>
      <c r="K296" s="135"/>
      <c r="L296" s="135"/>
      <c r="M296" s="135"/>
      <c r="N296" s="135"/>
      <c r="O296" s="135"/>
      <c r="P296" s="135"/>
      <c r="Q296" s="135"/>
    </row>
    <row r="297" spans="7:17">
      <c r="G297" s="135"/>
      <c r="H297" s="135"/>
      <c r="I297" s="135"/>
      <c r="J297" s="135"/>
      <c r="K297" s="135"/>
      <c r="L297" s="135"/>
      <c r="M297" s="135"/>
      <c r="N297" s="135"/>
      <c r="O297" s="135"/>
      <c r="P297" s="135"/>
      <c r="Q297" s="135"/>
    </row>
    <row r="298" spans="7:17">
      <c r="G298" s="135"/>
      <c r="H298" s="135"/>
      <c r="I298" s="135"/>
      <c r="J298" s="135"/>
      <c r="K298" s="135"/>
      <c r="L298" s="135"/>
      <c r="M298" s="135"/>
      <c r="N298" s="135"/>
      <c r="O298" s="135"/>
      <c r="P298" s="135"/>
      <c r="Q298" s="135"/>
    </row>
    <row r="299" spans="7:17">
      <c r="G299" s="135"/>
      <c r="H299" s="135"/>
      <c r="I299" s="135"/>
      <c r="J299" s="135"/>
      <c r="K299" s="135"/>
      <c r="L299" s="135"/>
      <c r="M299" s="135"/>
      <c r="N299" s="135"/>
      <c r="O299" s="135"/>
      <c r="P299" s="135"/>
      <c r="Q299" s="135"/>
    </row>
    <row r="300" spans="7:17">
      <c r="G300" s="135"/>
      <c r="H300" s="135"/>
      <c r="I300" s="135"/>
      <c r="J300" s="135"/>
      <c r="K300" s="135"/>
      <c r="L300" s="135"/>
      <c r="M300" s="135"/>
      <c r="N300" s="135"/>
      <c r="O300" s="135"/>
      <c r="P300" s="135"/>
      <c r="Q300" s="135"/>
    </row>
    <row r="301" spans="7:17">
      <c r="G301" s="135"/>
      <c r="H301" s="135"/>
      <c r="I301" s="135"/>
      <c r="J301" s="135"/>
      <c r="K301" s="135"/>
      <c r="L301" s="135"/>
      <c r="M301" s="135"/>
      <c r="N301" s="135"/>
      <c r="O301" s="135"/>
      <c r="P301" s="135"/>
      <c r="Q301" s="135"/>
    </row>
    <row r="302" spans="7:17">
      <c r="G302" s="135"/>
      <c r="H302" s="135"/>
      <c r="I302" s="135"/>
      <c r="J302" s="135"/>
      <c r="K302" s="135"/>
      <c r="L302" s="135"/>
      <c r="M302" s="135"/>
      <c r="N302" s="135"/>
      <c r="O302" s="135"/>
      <c r="P302" s="135"/>
      <c r="Q302" s="135"/>
    </row>
    <row r="303" spans="7:17">
      <c r="G303" s="135"/>
      <c r="H303" s="135"/>
      <c r="I303" s="135"/>
      <c r="J303" s="135"/>
      <c r="K303" s="135"/>
      <c r="L303" s="135"/>
      <c r="M303" s="135"/>
      <c r="N303" s="135"/>
      <c r="O303" s="135"/>
      <c r="P303" s="135"/>
      <c r="Q303" s="135"/>
    </row>
    <row r="304" spans="7:17">
      <c r="G304" s="135"/>
      <c r="H304" s="135"/>
      <c r="I304" s="135"/>
      <c r="J304" s="135"/>
      <c r="K304" s="135"/>
      <c r="L304" s="135"/>
      <c r="M304" s="135"/>
      <c r="N304" s="135"/>
      <c r="O304" s="135"/>
      <c r="P304" s="135"/>
      <c r="Q304" s="135"/>
    </row>
    <row r="305" spans="7:17">
      <c r="G305" s="135"/>
      <c r="H305" s="135"/>
      <c r="I305" s="135"/>
      <c r="J305" s="135"/>
      <c r="K305" s="135"/>
      <c r="L305" s="135"/>
      <c r="M305" s="135"/>
      <c r="N305" s="135"/>
      <c r="O305" s="135"/>
      <c r="P305" s="135"/>
      <c r="Q305" s="135"/>
    </row>
    <row r="306" spans="7:17">
      <c r="G306" s="135"/>
      <c r="H306" s="135"/>
      <c r="I306" s="135"/>
      <c r="J306" s="135"/>
      <c r="K306" s="135"/>
      <c r="L306" s="135"/>
      <c r="M306" s="135"/>
      <c r="N306" s="135"/>
      <c r="O306" s="135"/>
      <c r="P306" s="135"/>
      <c r="Q306" s="135"/>
    </row>
    <row r="307" spans="7:17">
      <c r="G307" s="135"/>
      <c r="H307" s="135"/>
      <c r="I307" s="135"/>
      <c r="J307" s="135"/>
      <c r="K307" s="135"/>
      <c r="L307" s="135"/>
      <c r="M307" s="135"/>
      <c r="N307" s="135"/>
      <c r="O307" s="135"/>
      <c r="P307" s="135"/>
      <c r="Q307" s="135"/>
    </row>
    <row r="308" spans="7:17">
      <c r="G308" s="135"/>
      <c r="H308" s="135"/>
      <c r="I308" s="135"/>
      <c r="J308" s="135"/>
      <c r="K308" s="135"/>
      <c r="L308" s="135"/>
      <c r="M308" s="135"/>
      <c r="N308" s="135"/>
      <c r="O308" s="135"/>
      <c r="P308" s="135"/>
      <c r="Q308" s="135"/>
    </row>
    <row r="309" spans="7:17">
      <c r="G309" s="135"/>
      <c r="H309" s="135"/>
      <c r="I309" s="135"/>
      <c r="J309" s="135"/>
      <c r="K309" s="135"/>
      <c r="L309" s="135"/>
      <c r="M309" s="135"/>
      <c r="N309" s="135"/>
      <c r="O309" s="135"/>
      <c r="P309" s="135"/>
      <c r="Q309" s="135"/>
    </row>
    <row r="310" spans="7:17">
      <c r="G310" s="135"/>
      <c r="H310" s="135"/>
      <c r="I310" s="135"/>
      <c r="J310" s="135"/>
      <c r="K310" s="135"/>
      <c r="L310" s="135"/>
      <c r="M310" s="135"/>
      <c r="N310" s="135"/>
      <c r="O310" s="135"/>
      <c r="P310" s="135"/>
      <c r="Q310" s="135"/>
    </row>
    <row r="311" spans="7:17">
      <c r="G311" s="135"/>
      <c r="H311" s="135"/>
      <c r="I311" s="135"/>
      <c r="J311" s="135"/>
      <c r="K311" s="135"/>
      <c r="L311" s="135"/>
      <c r="M311" s="135"/>
      <c r="N311" s="135"/>
      <c r="O311" s="135"/>
      <c r="P311" s="135"/>
      <c r="Q311" s="135"/>
    </row>
    <row r="312" spans="7:17">
      <c r="G312" s="135"/>
      <c r="H312" s="135"/>
      <c r="I312" s="135"/>
      <c r="J312" s="135"/>
      <c r="K312" s="135"/>
      <c r="L312" s="135"/>
      <c r="M312" s="135"/>
      <c r="N312" s="135"/>
      <c r="O312" s="135"/>
      <c r="P312" s="135"/>
      <c r="Q312" s="135"/>
    </row>
    <row r="313" spans="7:17">
      <c r="G313" s="135"/>
      <c r="H313" s="135"/>
      <c r="I313" s="135"/>
      <c r="J313" s="135"/>
      <c r="K313" s="135"/>
      <c r="L313" s="135"/>
      <c r="M313" s="135"/>
      <c r="N313" s="135"/>
      <c r="O313" s="135"/>
      <c r="P313" s="135"/>
      <c r="Q313" s="135"/>
    </row>
    <row r="314" spans="7:17">
      <c r="G314" s="135"/>
      <c r="H314" s="135"/>
      <c r="I314" s="135"/>
      <c r="J314" s="135"/>
      <c r="K314" s="135"/>
      <c r="L314" s="135"/>
      <c r="M314" s="135"/>
      <c r="N314" s="135"/>
      <c r="O314" s="135"/>
      <c r="P314" s="135"/>
      <c r="Q314" s="135"/>
    </row>
    <row r="315" spans="7:17">
      <c r="G315" s="135"/>
      <c r="H315" s="135"/>
      <c r="I315" s="135"/>
      <c r="J315" s="135"/>
      <c r="K315" s="135"/>
      <c r="L315" s="135"/>
      <c r="M315" s="135"/>
      <c r="N315" s="135"/>
      <c r="O315" s="135"/>
      <c r="P315" s="135"/>
      <c r="Q315" s="135"/>
    </row>
    <row r="316" spans="7:17">
      <c r="G316" s="135"/>
      <c r="H316" s="135"/>
      <c r="I316" s="135"/>
      <c r="J316" s="135"/>
      <c r="K316" s="135"/>
      <c r="L316" s="135"/>
      <c r="M316" s="135"/>
      <c r="N316" s="135"/>
      <c r="O316" s="135"/>
      <c r="P316" s="135"/>
      <c r="Q316" s="135"/>
    </row>
    <row r="317" spans="7:17">
      <c r="G317" s="135"/>
      <c r="H317" s="135"/>
      <c r="I317" s="135"/>
      <c r="J317" s="135"/>
      <c r="K317" s="135"/>
      <c r="L317" s="135"/>
      <c r="M317" s="135"/>
      <c r="N317" s="135"/>
      <c r="O317" s="135"/>
      <c r="P317" s="135"/>
      <c r="Q317" s="135"/>
    </row>
    <row r="318" spans="7:17">
      <c r="G318" s="135"/>
      <c r="H318" s="135"/>
      <c r="I318" s="135"/>
      <c r="J318" s="135"/>
      <c r="K318" s="135"/>
      <c r="L318" s="135"/>
      <c r="M318" s="135"/>
      <c r="N318" s="135"/>
      <c r="O318" s="135"/>
      <c r="P318" s="135"/>
      <c r="Q318" s="135"/>
    </row>
    <row r="319" spans="7:17">
      <c r="G319" s="135"/>
      <c r="H319" s="135"/>
      <c r="I319" s="135"/>
      <c r="J319" s="135"/>
      <c r="K319" s="135"/>
      <c r="L319" s="135"/>
      <c r="M319" s="135"/>
      <c r="N319" s="135"/>
      <c r="O319" s="135"/>
      <c r="P319" s="135"/>
      <c r="Q319" s="135"/>
    </row>
    <row r="320" spans="7:17">
      <c r="G320" s="135"/>
      <c r="H320" s="135"/>
      <c r="I320" s="135"/>
      <c r="J320" s="135"/>
      <c r="K320" s="135"/>
      <c r="L320" s="135"/>
      <c r="M320" s="135"/>
      <c r="N320" s="135"/>
      <c r="O320" s="135"/>
      <c r="P320" s="135"/>
      <c r="Q320" s="135"/>
    </row>
    <row r="321" spans="7:17">
      <c r="G321" s="135"/>
      <c r="H321" s="135"/>
      <c r="I321" s="135"/>
      <c r="J321" s="135"/>
      <c r="K321" s="135"/>
      <c r="L321" s="135"/>
      <c r="M321" s="135"/>
      <c r="N321" s="135"/>
      <c r="O321" s="135"/>
      <c r="P321" s="135"/>
      <c r="Q321" s="135"/>
    </row>
    <row r="322" spans="7:17">
      <c r="G322" s="135"/>
      <c r="H322" s="135"/>
      <c r="I322" s="135"/>
      <c r="J322" s="135"/>
      <c r="K322" s="135"/>
      <c r="L322" s="135"/>
      <c r="M322" s="135"/>
      <c r="N322" s="135"/>
      <c r="O322" s="135"/>
      <c r="P322" s="135"/>
      <c r="Q322" s="135"/>
    </row>
    <row r="323" spans="7:17">
      <c r="G323" s="135"/>
      <c r="H323" s="135"/>
      <c r="I323" s="135"/>
      <c r="J323" s="135"/>
      <c r="K323" s="135"/>
      <c r="L323" s="135"/>
      <c r="M323" s="135"/>
      <c r="N323" s="135"/>
      <c r="O323" s="135"/>
      <c r="P323" s="135"/>
      <c r="Q323" s="135"/>
    </row>
    <row r="324" spans="7:17">
      <c r="G324" s="135"/>
      <c r="H324" s="135"/>
      <c r="I324" s="135"/>
      <c r="J324" s="135"/>
      <c r="K324" s="135"/>
      <c r="L324" s="135"/>
      <c r="M324" s="135"/>
      <c r="N324" s="135"/>
      <c r="O324" s="135"/>
      <c r="P324" s="135"/>
      <c r="Q324" s="135"/>
    </row>
    <row r="325" spans="7:17">
      <c r="G325" s="135"/>
      <c r="H325" s="135"/>
      <c r="I325" s="135"/>
      <c r="J325" s="135"/>
      <c r="K325" s="135"/>
      <c r="L325" s="135"/>
      <c r="M325" s="135"/>
      <c r="N325" s="135"/>
      <c r="O325" s="135"/>
      <c r="P325" s="135"/>
      <c r="Q325" s="135"/>
    </row>
    <row r="326" spans="7:17">
      <c r="G326" s="135"/>
      <c r="H326" s="135"/>
      <c r="I326" s="135"/>
      <c r="J326" s="135"/>
      <c r="K326" s="135"/>
      <c r="L326" s="135"/>
      <c r="M326" s="135"/>
      <c r="N326" s="135"/>
      <c r="O326" s="135"/>
      <c r="P326" s="135"/>
      <c r="Q326" s="135"/>
    </row>
    <row r="327" spans="7:17">
      <c r="G327" s="135"/>
      <c r="H327" s="135"/>
      <c r="I327" s="135"/>
      <c r="J327" s="135"/>
      <c r="K327" s="135"/>
      <c r="L327" s="135"/>
      <c r="M327" s="135"/>
      <c r="N327" s="135"/>
      <c r="O327" s="135"/>
      <c r="P327" s="135"/>
      <c r="Q327" s="135"/>
    </row>
    <row r="328" spans="7:17">
      <c r="G328" s="135"/>
      <c r="H328" s="135"/>
      <c r="I328" s="135"/>
      <c r="J328" s="135"/>
      <c r="K328" s="135"/>
      <c r="L328" s="135"/>
      <c r="M328" s="135"/>
      <c r="N328" s="135"/>
      <c r="O328" s="135"/>
      <c r="P328" s="135"/>
      <c r="Q328" s="135"/>
    </row>
    <row r="329" spans="7:17">
      <c r="G329" s="135"/>
      <c r="H329" s="135"/>
      <c r="I329" s="135"/>
      <c r="J329" s="135"/>
      <c r="K329" s="135"/>
      <c r="L329" s="135"/>
      <c r="M329" s="135"/>
      <c r="N329" s="135"/>
      <c r="O329" s="135"/>
      <c r="P329" s="135"/>
      <c r="Q329" s="135"/>
    </row>
    <row r="330" spans="7:17">
      <c r="G330" s="135"/>
      <c r="H330" s="135"/>
      <c r="I330" s="135"/>
      <c r="J330" s="135"/>
      <c r="K330" s="135"/>
      <c r="L330" s="135"/>
      <c r="M330" s="135"/>
      <c r="N330" s="135"/>
      <c r="O330" s="135"/>
      <c r="P330" s="135"/>
      <c r="Q330" s="135"/>
    </row>
    <row r="331" spans="7:17">
      <c r="G331" s="135"/>
      <c r="H331" s="135"/>
      <c r="I331" s="135"/>
      <c r="J331" s="135"/>
      <c r="K331" s="135"/>
      <c r="L331" s="135"/>
      <c r="M331" s="135"/>
      <c r="N331" s="135"/>
      <c r="O331" s="135"/>
      <c r="P331" s="135"/>
      <c r="Q331" s="135"/>
    </row>
    <row r="332" spans="7:17">
      <c r="G332" s="135"/>
      <c r="H332" s="135"/>
      <c r="I332" s="135"/>
      <c r="J332" s="135"/>
      <c r="K332" s="135"/>
      <c r="L332" s="135"/>
      <c r="M332" s="135"/>
      <c r="N332" s="135"/>
      <c r="O332" s="135"/>
      <c r="P332" s="135"/>
      <c r="Q332" s="135"/>
    </row>
    <row r="333" spans="7:17">
      <c r="G333" s="135"/>
      <c r="H333" s="135"/>
      <c r="I333" s="135"/>
      <c r="J333" s="135"/>
      <c r="K333" s="135"/>
      <c r="L333" s="135"/>
      <c r="M333" s="135"/>
      <c r="N333" s="135"/>
      <c r="O333" s="135"/>
      <c r="P333" s="135"/>
      <c r="Q333" s="135"/>
    </row>
    <row r="334" spans="7:17">
      <c r="G334" s="135"/>
      <c r="H334" s="135"/>
      <c r="I334" s="135"/>
      <c r="J334" s="135"/>
      <c r="K334" s="135"/>
      <c r="L334" s="135"/>
      <c r="M334" s="135"/>
      <c r="N334" s="135"/>
      <c r="O334" s="135"/>
      <c r="P334" s="135"/>
      <c r="Q334" s="135"/>
    </row>
    <row r="335" spans="7:17">
      <c r="G335" s="135"/>
      <c r="H335" s="135"/>
      <c r="I335" s="135"/>
      <c r="J335" s="135"/>
      <c r="K335" s="135"/>
      <c r="L335" s="135"/>
      <c r="M335" s="135"/>
      <c r="N335" s="135"/>
      <c r="O335" s="135"/>
      <c r="P335" s="135"/>
      <c r="Q335" s="135"/>
    </row>
    <row r="336" spans="7:17">
      <c r="G336" s="135"/>
      <c r="H336" s="135"/>
      <c r="I336" s="135"/>
      <c r="J336" s="135"/>
      <c r="K336" s="135"/>
      <c r="L336" s="135"/>
      <c r="M336" s="135"/>
      <c r="N336" s="135"/>
      <c r="O336" s="135"/>
      <c r="P336" s="135"/>
      <c r="Q336" s="135"/>
    </row>
    <row r="337" spans="7:17">
      <c r="G337" s="135"/>
      <c r="H337" s="135"/>
      <c r="I337" s="135"/>
      <c r="J337" s="135"/>
      <c r="K337" s="135"/>
      <c r="L337" s="135"/>
      <c r="M337" s="135"/>
      <c r="N337" s="135"/>
      <c r="O337" s="135"/>
      <c r="P337" s="135"/>
      <c r="Q337" s="135"/>
    </row>
    <row r="338" spans="7:17">
      <c r="G338" s="135"/>
      <c r="H338" s="135"/>
      <c r="I338" s="135"/>
      <c r="J338" s="135"/>
      <c r="K338" s="135"/>
      <c r="L338" s="135"/>
      <c r="M338" s="135"/>
      <c r="N338" s="135"/>
      <c r="O338" s="135"/>
      <c r="P338" s="135"/>
      <c r="Q338" s="135"/>
    </row>
    <row r="339" spans="7:17">
      <c r="G339" s="135"/>
      <c r="H339" s="135"/>
      <c r="I339" s="135"/>
      <c r="J339" s="135"/>
      <c r="K339" s="135"/>
      <c r="L339" s="135"/>
      <c r="M339" s="135"/>
      <c r="N339" s="135"/>
      <c r="O339" s="135"/>
      <c r="P339" s="135"/>
      <c r="Q339" s="135"/>
    </row>
    <row r="340" spans="7:17">
      <c r="G340" s="135"/>
      <c r="H340" s="135"/>
      <c r="I340" s="135"/>
      <c r="J340" s="135"/>
      <c r="K340" s="135"/>
      <c r="L340" s="135"/>
      <c r="M340" s="135"/>
      <c r="N340" s="135"/>
      <c r="O340" s="135"/>
      <c r="P340" s="135"/>
      <c r="Q340" s="135"/>
    </row>
    <row r="341" spans="7:17">
      <c r="G341" s="135"/>
      <c r="H341" s="135"/>
      <c r="I341" s="135"/>
      <c r="J341" s="135"/>
      <c r="K341" s="135"/>
      <c r="L341" s="135"/>
      <c r="M341" s="135"/>
      <c r="N341" s="135"/>
      <c r="O341" s="135"/>
      <c r="P341" s="135"/>
      <c r="Q341" s="135"/>
    </row>
    <row r="342" spans="7:17">
      <c r="G342" s="135"/>
      <c r="H342" s="135"/>
      <c r="I342" s="135"/>
      <c r="J342" s="135"/>
      <c r="K342" s="135"/>
      <c r="L342" s="135"/>
      <c r="M342" s="135"/>
      <c r="N342" s="135"/>
      <c r="O342" s="135"/>
      <c r="P342" s="135"/>
      <c r="Q342" s="135"/>
    </row>
    <row r="343" spans="7:17">
      <c r="G343" s="135"/>
      <c r="H343" s="135"/>
      <c r="I343" s="135"/>
      <c r="J343" s="135"/>
      <c r="K343" s="135"/>
      <c r="L343" s="135"/>
      <c r="M343" s="135"/>
      <c r="N343" s="135"/>
      <c r="O343" s="135"/>
      <c r="P343" s="135"/>
      <c r="Q343" s="135"/>
    </row>
    <row r="344" spans="7:17">
      <c r="G344" s="135"/>
      <c r="H344" s="135"/>
      <c r="I344" s="135"/>
      <c r="J344" s="135"/>
      <c r="K344" s="135"/>
      <c r="L344" s="135"/>
      <c r="M344" s="135"/>
      <c r="N344" s="135"/>
      <c r="O344" s="135"/>
      <c r="P344" s="135"/>
      <c r="Q344" s="135"/>
    </row>
    <row r="345" spans="7:17">
      <c r="G345" s="135"/>
      <c r="H345" s="135"/>
      <c r="I345" s="135"/>
      <c r="J345" s="135"/>
      <c r="K345" s="135"/>
      <c r="L345" s="135"/>
      <c r="M345" s="135"/>
      <c r="N345" s="135"/>
      <c r="O345" s="135"/>
      <c r="P345" s="135"/>
      <c r="Q345" s="135"/>
    </row>
    <row r="346" spans="7:17">
      <c r="G346" s="135"/>
      <c r="H346" s="135"/>
      <c r="I346" s="135"/>
      <c r="J346" s="135"/>
      <c r="K346" s="135"/>
      <c r="L346" s="135"/>
      <c r="M346" s="135"/>
      <c r="N346" s="135"/>
      <c r="O346" s="135"/>
      <c r="P346" s="135"/>
      <c r="Q346" s="135"/>
    </row>
    <row r="347" spans="7:17">
      <c r="G347" s="135"/>
      <c r="H347" s="135"/>
      <c r="I347" s="135"/>
      <c r="J347" s="135"/>
      <c r="K347" s="135"/>
      <c r="L347" s="135"/>
      <c r="M347" s="135"/>
      <c r="N347" s="135"/>
      <c r="O347" s="135"/>
      <c r="P347" s="135"/>
      <c r="Q347" s="135"/>
    </row>
    <row r="348" spans="7:17">
      <c r="G348" s="135"/>
      <c r="H348" s="135"/>
      <c r="I348" s="135"/>
      <c r="J348" s="135"/>
      <c r="K348" s="135"/>
      <c r="L348" s="135"/>
      <c r="M348" s="135"/>
      <c r="N348" s="135"/>
      <c r="O348" s="135"/>
      <c r="P348" s="135"/>
      <c r="Q348" s="135"/>
    </row>
    <row r="349" spans="7:17">
      <c r="G349" s="135"/>
      <c r="H349" s="135"/>
      <c r="I349" s="135"/>
      <c r="J349" s="135"/>
      <c r="K349" s="135"/>
      <c r="L349" s="135"/>
      <c r="M349" s="135"/>
      <c r="N349" s="135"/>
      <c r="O349" s="135"/>
      <c r="P349" s="135"/>
      <c r="Q349" s="135"/>
    </row>
    <row r="350" spans="7:17">
      <c r="G350" s="135"/>
      <c r="H350" s="135"/>
      <c r="I350" s="135"/>
      <c r="J350" s="135"/>
      <c r="K350" s="135"/>
      <c r="L350" s="135"/>
      <c r="M350" s="135"/>
      <c r="N350" s="135"/>
      <c r="O350" s="135"/>
      <c r="P350" s="135"/>
      <c r="Q350" s="135"/>
    </row>
    <row r="351" spans="7:17">
      <c r="G351" s="135"/>
      <c r="H351" s="135"/>
      <c r="I351" s="135"/>
      <c r="J351" s="135"/>
      <c r="K351" s="135"/>
      <c r="L351" s="135"/>
      <c r="M351" s="135"/>
      <c r="N351" s="135"/>
      <c r="O351" s="135"/>
      <c r="P351" s="135"/>
      <c r="Q351" s="135"/>
    </row>
    <row r="352" spans="7:17">
      <c r="G352" s="135"/>
      <c r="H352" s="135"/>
      <c r="I352" s="135"/>
      <c r="J352" s="135"/>
      <c r="K352" s="135"/>
      <c r="L352" s="135"/>
      <c r="M352" s="135"/>
      <c r="N352" s="135"/>
      <c r="O352" s="135"/>
      <c r="P352" s="135"/>
      <c r="Q352" s="135"/>
    </row>
    <row r="353" spans="7:17">
      <c r="G353" s="135"/>
      <c r="H353" s="135"/>
      <c r="I353" s="135"/>
      <c r="J353" s="135"/>
      <c r="K353" s="135"/>
      <c r="L353" s="135"/>
      <c r="M353" s="135"/>
      <c r="N353" s="135"/>
      <c r="O353" s="135"/>
      <c r="P353" s="135"/>
      <c r="Q353" s="135"/>
    </row>
    <row r="354" spans="7:17">
      <c r="G354" s="135"/>
      <c r="H354" s="135"/>
      <c r="I354" s="135"/>
      <c r="J354" s="135"/>
      <c r="K354" s="135"/>
      <c r="L354" s="135"/>
      <c r="M354" s="135"/>
      <c r="N354" s="135"/>
      <c r="O354" s="135"/>
      <c r="P354" s="135"/>
      <c r="Q354" s="135"/>
    </row>
    <row r="355" spans="7:17">
      <c r="G355" s="135"/>
      <c r="H355" s="135"/>
      <c r="I355" s="135"/>
      <c r="J355" s="135"/>
      <c r="K355" s="135"/>
      <c r="L355" s="135"/>
      <c r="M355" s="135"/>
      <c r="N355" s="135"/>
      <c r="O355" s="135"/>
      <c r="P355" s="135"/>
      <c r="Q355" s="135"/>
    </row>
    <row r="356" spans="7:17">
      <c r="G356" s="135"/>
      <c r="H356" s="135"/>
      <c r="I356" s="135"/>
      <c r="J356" s="135"/>
      <c r="K356" s="135"/>
      <c r="L356" s="135"/>
      <c r="M356" s="135"/>
      <c r="N356" s="135"/>
      <c r="O356" s="135"/>
      <c r="P356" s="135"/>
      <c r="Q356" s="135"/>
    </row>
    <row r="357" spans="7:17">
      <c r="G357" s="135"/>
      <c r="H357" s="135"/>
      <c r="I357" s="135"/>
      <c r="J357" s="135"/>
      <c r="K357" s="135"/>
      <c r="L357" s="135"/>
      <c r="M357" s="135"/>
      <c r="N357" s="135"/>
      <c r="O357" s="135"/>
      <c r="P357" s="135"/>
      <c r="Q357" s="135"/>
    </row>
    <row r="358" spans="7:17">
      <c r="G358" s="135"/>
      <c r="H358" s="135"/>
      <c r="I358" s="135"/>
      <c r="J358" s="135"/>
      <c r="K358" s="135"/>
      <c r="L358" s="135"/>
      <c r="M358" s="135"/>
      <c r="N358" s="135"/>
      <c r="O358" s="135"/>
      <c r="P358" s="135"/>
      <c r="Q358" s="135"/>
    </row>
    <row r="359" spans="7:17">
      <c r="G359" s="135"/>
      <c r="H359" s="135"/>
      <c r="I359" s="135"/>
      <c r="J359" s="135"/>
      <c r="K359" s="135"/>
      <c r="L359" s="135"/>
      <c r="M359" s="135"/>
      <c r="N359" s="135"/>
      <c r="O359" s="135"/>
      <c r="P359" s="135"/>
      <c r="Q359" s="135"/>
    </row>
    <row r="360" spans="7:17">
      <c r="G360" s="135"/>
      <c r="H360" s="135"/>
      <c r="I360" s="135"/>
      <c r="J360" s="135"/>
      <c r="K360" s="135"/>
      <c r="L360" s="135"/>
      <c r="M360" s="135"/>
      <c r="N360" s="135"/>
      <c r="O360" s="135"/>
      <c r="P360" s="135"/>
      <c r="Q360" s="135"/>
    </row>
    <row r="361" spans="7:17">
      <c r="G361" s="135"/>
      <c r="H361" s="135"/>
      <c r="I361" s="135"/>
      <c r="J361" s="135"/>
      <c r="K361" s="135"/>
      <c r="L361" s="135"/>
      <c r="M361" s="135"/>
      <c r="N361" s="135"/>
      <c r="O361" s="135"/>
      <c r="P361" s="135"/>
      <c r="Q361" s="135"/>
    </row>
    <row r="362" spans="7:17">
      <c r="G362" s="135"/>
      <c r="H362" s="135"/>
      <c r="I362" s="135"/>
      <c r="J362" s="135"/>
      <c r="K362" s="135"/>
      <c r="L362" s="135"/>
      <c r="M362" s="135"/>
      <c r="N362" s="135"/>
      <c r="O362" s="135"/>
      <c r="P362" s="135"/>
      <c r="Q362" s="135"/>
    </row>
    <row r="363" spans="7:17">
      <c r="G363" s="135"/>
      <c r="H363" s="135"/>
      <c r="I363" s="135"/>
      <c r="J363" s="135"/>
      <c r="K363" s="135"/>
      <c r="L363" s="135"/>
      <c r="M363" s="135"/>
      <c r="N363" s="135"/>
      <c r="O363" s="135"/>
      <c r="P363" s="135"/>
      <c r="Q363" s="135"/>
    </row>
    <row r="364" spans="7:17">
      <c r="G364" s="135"/>
      <c r="H364" s="135"/>
      <c r="I364" s="135"/>
      <c r="J364" s="135"/>
      <c r="K364" s="135"/>
      <c r="L364" s="135"/>
      <c r="M364" s="135"/>
      <c r="N364" s="135"/>
      <c r="O364" s="135"/>
      <c r="P364" s="135"/>
      <c r="Q364" s="135"/>
    </row>
    <row r="365" spans="7:17">
      <c r="G365" s="135"/>
      <c r="H365" s="135"/>
      <c r="I365" s="135"/>
      <c r="J365" s="135"/>
      <c r="K365" s="135"/>
      <c r="L365" s="135"/>
      <c r="M365" s="135"/>
      <c r="N365" s="135"/>
      <c r="O365" s="135"/>
      <c r="P365" s="135"/>
      <c r="Q365" s="135"/>
    </row>
    <row r="366" spans="7:17">
      <c r="G366" s="135"/>
      <c r="H366" s="135"/>
      <c r="I366" s="135"/>
      <c r="J366" s="135"/>
      <c r="K366" s="135"/>
      <c r="L366" s="135"/>
      <c r="M366" s="135"/>
      <c r="N366" s="135"/>
      <c r="O366" s="135"/>
      <c r="P366" s="135"/>
      <c r="Q366" s="135"/>
    </row>
    <row r="367" spans="7:17">
      <c r="G367" s="135"/>
      <c r="H367" s="135"/>
      <c r="I367" s="135"/>
      <c r="J367" s="135"/>
      <c r="K367" s="135"/>
      <c r="L367" s="135"/>
      <c r="M367" s="135"/>
      <c r="N367" s="135"/>
      <c r="O367" s="135"/>
      <c r="P367" s="135"/>
      <c r="Q367" s="135"/>
    </row>
    <row r="368" spans="7:17">
      <c r="G368" s="135"/>
      <c r="H368" s="135"/>
      <c r="I368" s="135"/>
      <c r="J368" s="135"/>
      <c r="K368" s="135"/>
      <c r="L368" s="135"/>
      <c r="M368" s="135"/>
      <c r="N368" s="135"/>
      <c r="O368" s="135"/>
      <c r="P368" s="135"/>
      <c r="Q368" s="135"/>
    </row>
    <row r="369" spans="7:17">
      <c r="G369" s="135"/>
      <c r="H369" s="135"/>
      <c r="I369" s="135"/>
      <c r="J369" s="135"/>
      <c r="K369" s="135"/>
      <c r="L369" s="135"/>
      <c r="M369" s="135"/>
      <c r="N369" s="135"/>
      <c r="O369" s="135"/>
      <c r="P369" s="135"/>
      <c r="Q369" s="135"/>
    </row>
    <row r="370" spans="7:17">
      <c r="G370" s="135"/>
      <c r="H370" s="135"/>
      <c r="I370" s="135"/>
      <c r="J370" s="135"/>
      <c r="K370" s="135"/>
      <c r="L370" s="135"/>
      <c r="M370" s="135"/>
      <c r="N370" s="135"/>
      <c r="O370" s="135"/>
      <c r="P370" s="135"/>
      <c r="Q370" s="135"/>
    </row>
    <row r="371" spans="7:17">
      <c r="G371" s="135"/>
      <c r="H371" s="135"/>
      <c r="I371" s="135"/>
      <c r="J371" s="135"/>
      <c r="K371" s="135"/>
      <c r="L371" s="135"/>
      <c r="M371" s="135"/>
      <c r="N371" s="135"/>
      <c r="O371" s="135"/>
      <c r="P371" s="135"/>
      <c r="Q371" s="135"/>
    </row>
    <row r="372" spans="7:17">
      <c r="G372" s="135"/>
      <c r="H372" s="135"/>
      <c r="I372" s="135"/>
      <c r="J372" s="135"/>
      <c r="K372" s="135"/>
      <c r="L372" s="135"/>
      <c r="M372" s="135"/>
      <c r="N372" s="135"/>
      <c r="O372" s="135"/>
      <c r="P372" s="135"/>
      <c r="Q372" s="135"/>
    </row>
    <row r="373" spans="7:17">
      <c r="G373" s="135"/>
      <c r="H373" s="135"/>
      <c r="I373" s="135"/>
      <c r="J373" s="135"/>
      <c r="K373" s="135"/>
      <c r="L373" s="135"/>
      <c r="M373" s="135"/>
      <c r="N373" s="135"/>
      <c r="O373" s="135"/>
      <c r="P373" s="135"/>
      <c r="Q373" s="135"/>
    </row>
    <row r="374" spans="7:17">
      <c r="G374" s="135"/>
      <c r="H374" s="135"/>
      <c r="I374" s="135"/>
      <c r="J374" s="135"/>
      <c r="K374" s="135"/>
      <c r="L374" s="135"/>
      <c r="M374" s="135"/>
      <c r="N374" s="135"/>
      <c r="O374" s="135"/>
      <c r="P374" s="135"/>
      <c r="Q374" s="135"/>
    </row>
    <row r="375" spans="7:17">
      <c r="G375" s="135"/>
      <c r="H375" s="135"/>
      <c r="I375" s="135"/>
      <c r="J375" s="135"/>
      <c r="K375" s="135"/>
      <c r="L375" s="135"/>
      <c r="M375" s="135"/>
      <c r="N375" s="135"/>
      <c r="O375" s="135"/>
      <c r="P375" s="135"/>
      <c r="Q375" s="135"/>
    </row>
    <row r="376" spans="7:17">
      <c r="G376" s="135"/>
      <c r="H376" s="135"/>
      <c r="I376" s="135"/>
      <c r="J376" s="135"/>
      <c r="K376" s="135"/>
      <c r="L376" s="135"/>
      <c r="M376" s="135"/>
      <c r="N376" s="135"/>
      <c r="O376" s="135"/>
      <c r="P376" s="135"/>
      <c r="Q376" s="135"/>
    </row>
    <row r="377" spans="7:17">
      <c r="G377" s="135"/>
      <c r="H377" s="135"/>
      <c r="I377" s="135"/>
      <c r="J377" s="135"/>
      <c r="K377" s="135"/>
      <c r="L377" s="135"/>
      <c r="M377" s="135"/>
      <c r="N377" s="135"/>
      <c r="O377" s="135"/>
      <c r="P377" s="135"/>
      <c r="Q377" s="135"/>
    </row>
    <row r="378" spans="7:17">
      <c r="G378" s="135"/>
      <c r="H378" s="135"/>
      <c r="I378" s="135"/>
      <c r="J378" s="135"/>
      <c r="K378" s="135"/>
      <c r="L378" s="135"/>
      <c r="M378" s="135"/>
      <c r="N378" s="135"/>
      <c r="O378" s="135"/>
      <c r="P378" s="135"/>
      <c r="Q378" s="135"/>
    </row>
    <row r="379" spans="7:17">
      <c r="G379" s="135"/>
      <c r="H379" s="135"/>
      <c r="I379" s="135"/>
      <c r="J379" s="135"/>
      <c r="K379" s="135"/>
      <c r="L379" s="135"/>
      <c r="M379" s="135"/>
      <c r="N379" s="135"/>
      <c r="O379" s="135"/>
      <c r="P379" s="135"/>
      <c r="Q379" s="135"/>
    </row>
    <row r="380" spans="7:17">
      <c r="G380" s="135"/>
      <c r="H380" s="135"/>
      <c r="I380" s="135"/>
      <c r="J380" s="135"/>
      <c r="K380" s="135"/>
      <c r="L380" s="135"/>
      <c r="M380" s="135"/>
      <c r="N380" s="135"/>
      <c r="O380" s="135"/>
      <c r="P380" s="135"/>
      <c r="Q380" s="135"/>
    </row>
    <row r="381" spans="7:17">
      <c r="G381" s="135"/>
      <c r="H381" s="135"/>
      <c r="I381" s="135"/>
      <c r="J381" s="135"/>
      <c r="K381" s="135"/>
      <c r="L381" s="135"/>
      <c r="M381" s="135"/>
      <c r="N381" s="135"/>
      <c r="O381" s="135"/>
      <c r="P381" s="135"/>
      <c r="Q381" s="135"/>
    </row>
    <row r="382" spans="7:17">
      <c r="G382" s="135"/>
      <c r="H382" s="135"/>
      <c r="I382" s="135"/>
      <c r="J382" s="135"/>
      <c r="K382" s="135"/>
      <c r="L382" s="135"/>
      <c r="M382" s="135"/>
      <c r="N382" s="135"/>
      <c r="O382" s="135"/>
      <c r="P382" s="135"/>
      <c r="Q382" s="135"/>
    </row>
    <row r="383" spans="7:17">
      <c r="G383" s="135"/>
      <c r="H383" s="135"/>
      <c r="I383" s="135"/>
      <c r="J383" s="135"/>
      <c r="K383" s="135"/>
      <c r="L383" s="135"/>
      <c r="M383" s="135"/>
      <c r="N383" s="135"/>
      <c r="O383" s="135"/>
      <c r="P383" s="135"/>
      <c r="Q383" s="135"/>
    </row>
    <row r="384" spans="7:17">
      <c r="G384" s="135"/>
      <c r="H384" s="135"/>
      <c r="I384" s="135"/>
      <c r="J384" s="135"/>
      <c r="K384" s="135"/>
      <c r="L384" s="135"/>
      <c r="M384" s="135"/>
      <c r="N384" s="135"/>
      <c r="O384" s="135"/>
      <c r="P384" s="135"/>
      <c r="Q384" s="135"/>
    </row>
    <row r="385" spans="7:17">
      <c r="G385" s="135"/>
      <c r="H385" s="135"/>
      <c r="I385" s="135"/>
      <c r="J385" s="135"/>
      <c r="K385" s="135"/>
      <c r="L385" s="135"/>
      <c r="M385" s="135"/>
      <c r="N385" s="135"/>
      <c r="O385" s="135"/>
      <c r="P385" s="135"/>
      <c r="Q385" s="135"/>
    </row>
    <row r="386" spans="7:17">
      <c r="G386" s="135"/>
      <c r="H386" s="135"/>
      <c r="I386" s="135"/>
      <c r="J386" s="135"/>
      <c r="K386" s="135"/>
      <c r="L386" s="135"/>
      <c r="M386" s="135"/>
      <c r="N386" s="135"/>
      <c r="O386" s="135"/>
      <c r="P386" s="135"/>
      <c r="Q386" s="135"/>
    </row>
    <row r="387" spans="7:17">
      <c r="G387" s="135"/>
      <c r="H387" s="135"/>
      <c r="I387" s="135"/>
      <c r="J387" s="135"/>
      <c r="K387" s="135"/>
      <c r="L387" s="135"/>
      <c r="M387" s="135"/>
      <c r="N387" s="135"/>
      <c r="O387" s="135"/>
      <c r="P387" s="135"/>
      <c r="Q387" s="135"/>
    </row>
    <row r="388" spans="7:17">
      <c r="G388" s="135"/>
      <c r="H388" s="135"/>
      <c r="I388" s="135"/>
      <c r="J388" s="135"/>
      <c r="K388" s="135"/>
      <c r="L388" s="135"/>
      <c r="M388" s="135"/>
      <c r="N388" s="135"/>
      <c r="O388" s="135"/>
      <c r="P388" s="135"/>
      <c r="Q388" s="135"/>
    </row>
    <row r="389" spans="7:17">
      <c r="G389" s="135"/>
      <c r="H389" s="135"/>
      <c r="I389" s="135"/>
      <c r="J389" s="135"/>
      <c r="K389" s="135"/>
      <c r="L389" s="135"/>
      <c r="M389" s="135"/>
      <c r="N389" s="135"/>
      <c r="O389" s="135"/>
      <c r="P389" s="135"/>
      <c r="Q389" s="135"/>
    </row>
    <row r="390" spans="7:17">
      <c r="G390" s="135"/>
      <c r="H390" s="135"/>
      <c r="I390" s="135"/>
      <c r="J390" s="135"/>
      <c r="K390" s="135"/>
      <c r="L390" s="135"/>
      <c r="M390" s="135"/>
      <c r="N390" s="135"/>
      <c r="O390" s="135"/>
      <c r="P390" s="135"/>
      <c r="Q390" s="135"/>
    </row>
    <row r="391" spans="7:17">
      <c r="G391" s="135"/>
      <c r="H391" s="135"/>
      <c r="I391" s="135"/>
      <c r="J391" s="135"/>
      <c r="K391" s="135"/>
      <c r="L391" s="135"/>
      <c r="M391" s="135"/>
      <c r="N391" s="135"/>
      <c r="O391" s="135"/>
      <c r="P391" s="135"/>
      <c r="Q391" s="135"/>
    </row>
    <row r="392" spans="7:17">
      <c r="G392" s="135"/>
      <c r="H392" s="135"/>
      <c r="I392" s="135"/>
      <c r="J392" s="135"/>
      <c r="K392" s="135"/>
      <c r="L392" s="135"/>
      <c r="M392" s="135"/>
      <c r="N392" s="135"/>
      <c r="O392" s="135"/>
      <c r="P392" s="135"/>
      <c r="Q392" s="135"/>
    </row>
    <row r="393" spans="7:17">
      <c r="G393" s="135"/>
      <c r="H393" s="135"/>
      <c r="I393" s="135"/>
      <c r="J393" s="135"/>
      <c r="K393" s="135"/>
      <c r="L393" s="135"/>
      <c r="M393" s="135"/>
      <c r="N393" s="135"/>
      <c r="O393" s="135"/>
      <c r="P393" s="135"/>
      <c r="Q393" s="135"/>
    </row>
    <row r="394" spans="7:17">
      <c r="G394" s="135"/>
      <c r="H394" s="135"/>
      <c r="I394" s="135"/>
      <c r="J394" s="135"/>
      <c r="K394" s="135"/>
      <c r="L394" s="135"/>
      <c r="M394" s="135"/>
      <c r="N394" s="135"/>
      <c r="O394" s="135"/>
      <c r="P394" s="135"/>
      <c r="Q394" s="135"/>
    </row>
    <row r="395" spans="7:17">
      <c r="G395" s="135"/>
      <c r="H395" s="135"/>
      <c r="I395" s="135"/>
      <c r="J395" s="135"/>
      <c r="K395" s="135"/>
      <c r="L395" s="135"/>
      <c r="M395" s="135"/>
      <c r="N395" s="135"/>
      <c r="O395" s="135"/>
      <c r="P395" s="135"/>
      <c r="Q395" s="135"/>
    </row>
    <row r="396" spans="7:17">
      <c r="G396" s="135"/>
      <c r="H396" s="135"/>
      <c r="I396" s="135"/>
      <c r="J396" s="135"/>
      <c r="K396" s="135"/>
      <c r="L396" s="135"/>
      <c r="M396" s="135"/>
      <c r="N396" s="135"/>
      <c r="O396" s="135"/>
      <c r="P396" s="135"/>
      <c r="Q396" s="135"/>
    </row>
    <row r="397" spans="7:17">
      <c r="G397" s="135"/>
      <c r="H397" s="135"/>
      <c r="I397" s="135"/>
      <c r="J397" s="135"/>
      <c r="K397" s="135"/>
      <c r="L397" s="135"/>
      <c r="M397" s="135"/>
      <c r="N397" s="135"/>
      <c r="O397" s="135"/>
      <c r="P397" s="135"/>
      <c r="Q397" s="135"/>
    </row>
    <row r="398" spans="7:17">
      <c r="G398" s="135"/>
      <c r="H398" s="135"/>
      <c r="I398" s="135"/>
      <c r="J398" s="135"/>
      <c r="K398" s="135"/>
      <c r="L398" s="135"/>
      <c r="M398" s="135"/>
      <c r="N398" s="135"/>
      <c r="O398" s="135"/>
      <c r="P398" s="135"/>
      <c r="Q398" s="135"/>
    </row>
    <row r="399" spans="7:17">
      <c r="G399" s="135"/>
      <c r="H399" s="135"/>
      <c r="I399" s="135"/>
      <c r="J399" s="135"/>
      <c r="K399" s="135"/>
      <c r="L399" s="135"/>
      <c r="M399" s="135"/>
      <c r="N399" s="135"/>
      <c r="O399" s="135"/>
      <c r="P399" s="135"/>
      <c r="Q399" s="135"/>
    </row>
    <row r="400" spans="7:17">
      <c r="G400" s="135"/>
      <c r="H400" s="135"/>
      <c r="I400" s="135"/>
      <c r="J400" s="135"/>
      <c r="K400" s="135"/>
      <c r="L400" s="135"/>
      <c r="M400" s="135"/>
      <c r="N400" s="135"/>
      <c r="O400" s="135"/>
      <c r="P400" s="135"/>
      <c r="Q400" s="135"/>
    </row>
    <row r="401" spans="7:17">
      <c r="G401" s="135"/>
      <c r="H401" s="135"/>
      <c r="I401" s="135"/>
      <c r="J401" s="135"/>
      <c r="K401" s="135"/>
      <c r="L401" s="135"/>
      <c r="M401" s="135"/>
      <c r="N401" s="135"/>
      <c r="O401" s="135"/>
      <c r="P401" s="135"/>
      <c r="Q401" s="135"/>
    </row>
    <row r="402" spans="7:17">
      <c r="G402" s="135"/>
      <c r="H402" s="135"/>
      <c r="I402" s="135"/>
      <c r="J402" s="135"/>
      <c r="K402" s="135"/>
      <c r="L402" s="135"/>
      <c r="M402" s="135"/>
      <c r="N402" s="135"/>
      <c r="O402" s="135"/>
      <c r="P402" s="135"/>
      <c r="Q402" s="135"/>
    </row>
    <row r="403" spans="7:17">
      <c r="G403" s="135"/>
      <c r="H403" s="135"/>
      <c r="I403" s="135"/>
      <c r="J403" s="135"/>
      <c r="K403" s="135"/>
      <c r="L403" s="135"/>
      <c r="M403" s="135"/>
      <c r="N403" s="135"/>
      <c r="O403" s="135"/>
      <c r="P403" s="135"/>
      <c r="Q403" s="135"/>
    </row>
    <row r="404" spans="7:17">
      <c r="G404" s="135"/>
      <c r="H404" s="135"/>
      <c r="I404" s="135"/>
      <c r="J404" s="135"/>
      <c r="K404" s="135"/>
      <c r="L404" s="135"/>
      <c r="M404" s="135"/>
      <c r="N404" s="135"/>
      <c r="O404" s="135"/>
      <c r="P404" s="135"/>
      <c r="Q404" s="135"/>
    </row>
    <row r="405" spans="7:17">
      <c r="G405" s="135"/>
      <c r="H405" s="135"/>
      <c r="I405" s="135"/>
      <c r="J405" s="135"/>
      <c r="K405" s="135"/>
      <c r="L405" s="135"/>
      <c r="M405" s="135"/>
      <c r="N405" s="135"/>
      <c r="O405" s="135"/>
      <c r="P405" s="135"/>
      <c r="Q405" s="135"/>
    </row>
    <row r="406" spans="7:17">
      <c r="G406" s="135"/>
      <c r="H406" s="135"/>
      <c r="I406" s="135"/>
      <c r="J406" s="135"/>
      <c r="K406" s="135"/>
      <c r="L406" s="135"/>
      <c r="M406" s="135"/>
      <c r="N406" s="135"/>
      <c r="O406" s="135"/>
      <c r="P406" s="135"/>
      <c r="Q406" s="135"/>
    </row>
    <row r="407" spans="7:17">
      <c r="G407" s="135"/>
      <c r="H407" s="135"/>
      <c r="I407" s="135"/>
      <c r="J407" s="135"/>
      <c r="K407" s="135"/>
      <c r="L407" s="135"/>
      <c r="M407" s="135"/>
      <c r="N407" s="135"/>
      <c r="O407" s="135"/>
      <c r="P407" s="135"/>
      <c r="Q407" s="135"/>
    </row>
    <row r="408" spans="7:17">
      <c r="G408" s="135"/>
      <c r="H408" s="135"/>
      <c r="I408" s="135"/>
      <c r="J408" s="135"/>
      <c r="K408" s="135"/>
      <c r="L408" s="135"/>
      <c r="M408" s="135"/>
      <c r="N408" s="135"/>
      <c r="O408" s="135"/>
      <c r="P408" s="135"/>
      <c r="Q408" s="135"/>
    </row>
    <row r="409" spans="7:17">
      <c r="G409" s="135"/>
      <c r="H409" s="135"/>
      <c r="I409" s="135"/>
      <c r="J409" s="135"/>
      <c r="K409" s="135"/>
      <c r="L409" s="135"/>
      <c r="M409" s="135"/>
      <c r="N409" s="135"/>
      <c r="O409" s="135"/>
      <c r="P409" s="135"/>
      <c r="Q409" s="135"/>
    </row>
    <row r="410" spans="7:17">
      <c r="G410" s="135"/>
      <c r="H410" s="135"/>
      <c r="I410" s="135"/>
      <c r="J410" s="135"/>
      <c r="K410" s="135"/>
      <c r="L410" s="135"/>
      <c r="M410" s="135"/>
      <c r="N410" s="135"/>
      <c r="O410" s="135"/>
      <c r="P410" s="135"/>
      <c r="Q410" s="135"/>
    </row>
    <row r="411" spans="7:17">
      <c r="G411" s="135"/>
      <c r="H411" s="135"/>
      <c r="I411" s="135"/>
      <c r="J411" s="135"/>
      <c r="K411" s="135"/>
      <c r="L411" s="135"/>
      <c r="M411" s="135"/>
      <c r="N411" s="135"/>
      <c r="O411" s="135"/>
      <c r="P411" s="135"/>
      <c r="Q411" s="135"/>
    </row>
    <row r="412" spans="7:17">
      <c r="G412" s="135"/>
      <c r="H412" s="135"/>
      <c r="I412" s="135"/>
      <c r="J412" s="135"/>
      <c r="K412" s="135"/>
      <c r="L412" s="135"/>
      <c r="M412" s="135"/>
      <c r="N412" s="135"/>
      <c r="O412" s="135"/>
      <c r="P412" s="135"/>
      <c r="Q412" s="135"/>
    </row>
  </sheetData>
  <phoneticPr fontId="18" type="noConversion"/>
  <pageMargins left="0.51" right="0.3" top="0.984251969" bottom="0.51" header="0.4921259845" footer="0.26"/>
  <pageSetup paperSize="9" scale="93" orientation="portrait" r:id="rId1"/>
  <headerFooter alignWithMargins="0">
    <oddHeader>&amp;C&amp;"Arial,Fett"&amp;14IAFP 2013 - 2016</oddHeader>
  </headerFooter>
  <rowBreaks count="2" manualBreakCount="2">
    <brk id="55" max="16383" man="1"/>
    <brk id="107" max="16383" man="1"/>
  </rowBreak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dimension ref="A1:IT160"/>
  <sheetViews>
    <sheetView zoomScaleNormal="100" zoomScaleSheetLayoutView="100" workbookViewId="0">
      <pane ySplit="1" topLeftCell="A2" activePane="bottomLeft" state="frozen"/>
      <selection pane="bottomLeft" activeCell="A2" sqref="A2"/>
    </sheetView>
  </sheetViews>
  <sheetFormatPr baseColWidth="10" defaultRowHeight="12" outlineLevelRow="1"/>
  <cols>
    <col min="1" max="1" width="9" style="17" customWidth="1"/>
    <col min="2" max="2" width="40.42578125" style="17" bestFit="1" customWidth="1"/>
    <col min="3" max="3" width="11.7109375" style="73" bestFit="1" customWidth="1"/>
    <col min="4" max="5" width="11.7109375" style="17" bestFit="1" customWidth="1"/>
    <col min="6" max="6" width="11.28515625" style="17" customWidth="1"/>
    <col min="7" max="7" width="11.7109375" style="17" bestFit="1" customWidth="1"/>
    <col min="8" max="8" width="7.28515625" style="74" bestFit="1" customWidth="1"/>
    <col min="9" max="9" width="5.42578125" style="72" customWidth="1"/>
    <col min="10" max="10" width="54.28515625" style="76" customWidth="1"/>
    <col min="11" max="11" width="4.42578125" style="17" customWidth="1"/>
    <col min="12" max="16384" width="11.42578125" style="17"/>
  </cols>
  <sheetData>
    <row r="1" spans="1:254" s="8" customFormat="1" ht="24">
      <c r="A1" s="2" t="s">
        <v>170</v>
      </c>
      <c r="B1" s="3"/>
      <c r="C1" s="4" t="s">
        <v>470</v>
      </c>
      <c r="D1" s="320" t="s">
        <v>375</v>
      </c>
      <c r="E1" s="320" t="s">
        <v>9</v>
      </c>
      <c r="F1" s="320" t="s">
        <v>131</v>
      </c>
      <c r="G1" s="320" t="s">
        <v>424</v>
      </c>
      <c r="H1" s="321" t="s">
        <v>471</v>
      </c>
      <c r="I1" s="5" t="s">
        <v>193</v>
      </c>
      <c r="J1" s="6" t="s">
        <v>192</v>
      </c>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c r="FB1" s="7"/>
      <c r="FC1" s="7"/>
      <c r="FD1" s="7"/>
      <c r="FE1" s="7"/>
      <c r="FF1" s="7"/>
      <c r="FG1" s="7"/>
      <c r="FH1" s="7"/>
      <c r="FI1" s="7"/>
      <c r="FJ1" s="7"/>
      <c r="FK1" s="7"/>
      <c r="FL1" s="7"/>
      <c r="FM1" s="7"/>
      <c r="FN1" s="7"/>
      <c r="FO1" s="7"/>
      <c r="FP1" s="7"/>
      <c r="FQ1" s="7"/>
      <c r="FR1" s="7"/>
      <c r="FS1" s="7"/>
      <c r="FT1" s="7"/>
      <c r="FU1" s="7"/>
      <c r="FV1" s="7"/>
      <c r="FW1" s="7"/>
      <c r="FX1" s="7"/>
      <c r="FY1" s="7"/>
      <c r="FZ1" s="7"/>
      <c r="GA1" s="7"/>
      <c r="GB1" s="7"/>
      <c r="GC1" s="7"/>
      <c r="GD1" s="7"/>
      <c r="GE1" s="7"/>
      <c r="GF1" s="7"/>
      <c r="GG1" s="7"/>
      <c r="GH1" s="7"/>
      <c r="GI1" s="7"/>
      <c r="GJ1" s="7"/>
      <c r="GK1" s="7"/>
      <c r="GL1" s="7"/>
      <c r="GM1" s="7"/>
      <c r="GN1" s="7"/>
      <c r="GO1" s="7"/>
      <c r="GP1" s="7"/>
      <c r="GQ1" s="7"/>
      <c r="GR1" s="7"/>
      <c r="GS1" s="7"/>
      <c r="GT1" s="7"/>
      <c r="GU1" s="7"/>
      <c r="GV1" s="7"/>
      <c r="GW1" s="7"/>
      <c r="GX1" s="7"/>
      <c r="GY1" s="7"/>
      <c r="GZ1" s="7"/>
      <c r="HA1" s="7"/>
      <c r="HB1" s="7"/>
      <c r="HC1" s="7"/>
      <c r="HD1" s="7"/>
      <c r="HE1" s="7"/>
      <c r="HF1" s="7"/>
      <c r="HG1" s="7"/>
      <c r="HH1" s="7"/>
      <c r="HI1" s="7"/>
      <c r="HJ1" s="7"/>
      <c r="HK1" s="7"/>
      <c r="HL1" s="7"/>
      <c r="HM1" s="7"/>
      <c r="HN1" s="7"/>
      <c r="HO1" s="7"/>
      <c r="HP1" s="7"/>
      <c r="HQ1" s="7"/>
      <c r="HR1" s="7"/>
      <c r="HS1" s="7"/>
      <c r="HT1" s="7"/>
      <c r="HU1" s="7"/>
      <c r="HV1" s="7"/>
      <c r="HW1" s="7"/>
      <c r="HX1" s="7"/>
      <c r="HY1" s="7"/>
      <c r="HZ1" s="7"/>
      <c r="IA1" s="7"/>
      <c r="IB1" s="7"/>
      <c r="IC1" s="7"/>
      <c r="ID1" s="7"/>
      <c r="IE1" s="7"/>
      <c r="IF1" s="7"/>
      <c r="IG1" s="7"/>
      <c r="IH1" s="7"/>
      <c r="II1" s="7"/>
      <c r="IJ1" s="7"/>
      <c r="IK1" s="7"/>
      <c r="IL1" s="7"/>
      <c r="IM1" s="7"/>
      <c r="IN1" s="7"/>
      <c r="IO1" s="7"/>
      <c r="IP1" s="7"/>
      <c r="IQ1" s="7"/>
      <c r="IR1" s="7"/>
      <c r="IS1" s="7"/>
      <c r="IT1" s="7"/>
    </row>
    <row r="2" spans="1:254">
      <c r="A2" s="9"/>
      <c r="B2" s="10" t="s">
        <v>364</v>
      </c>
      <c r="C2" s="11"/>
      <c r="D2" s="12"/>
      <c r="E2" s="12"/>
      <c r="F2" s="12"/>
      <c r="G2" s="12"/>
      <c r="H2" s="13"/>
      <c r="I2" s="14"/>
      <c r="J2" s="15"/>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row>
    <row r="3" spans="1:254" s="25" customFormat="1">
      <c r="A3" s="18" t="s">
        <v>190</v>
      </c>
      <c r="B3" s="19" t="s">
        <v>191</v>
      </c>
      <c r="C3" s="20">
        <v>909687.24999999988</v>
      </c>
      <c r="D3" s="21">
        <v>914734.70959999994</v>
      </c>
      <c r="E3" s="21">
        <v>914734.70959999994</v>
      </c>
      <c r="F3" s="21">
        <v>921813.75303999998</v>
      </c>
      <c r="G3" s="21">
        <v>924341.98283999984</v>
      </c>
      <c r="H3" s="22">
        <f t="shared" ref="H3:H14" si="0">SUM(G3/C3*100-100)</f>
        <v>1.6109638603816876</v>
      </c>
      <c r="I3" s="23" t="str">
        <f t="shared" ref="I3:I13" si="1">IF((SQRT((G3-C3)^2)&lt;20000),$I$158,IF((G3-C3)&gt;(SQRT(C3^2))*5%,$I$159,IF((G3-C3)&lt;-(SQRT(C3^2))*5%,$I$157,$I$158)))</f>
        <v>è</v>
      </c>
      <c r="J3" s="114"/>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16"/>
      <c r="IE3" s="16"/>
      <c r="IF3" s="16"/>
      <c r="IG3" s="16"/>
      <c r="IH3" s="16"/>
      <c r="II3" s="16"/>
      <c r="IJ3" s="16"/>
      <c r="IK3" s="16"/>
      <c r="IL3" s="16"/>
      <c r="IM3" s="16"/>
      <c r="IN3" s="16"/>
      <c r="IO3" s="16"/>
      <c r="IP3" s="16"/>
      <c r="IQ3" s="16"/>
      <c r="IR3" s="16"/>
      <c r="IS3" s="16"/>
      <c r="IT3" s="16"/>
    </row>
    <row r="4" spans="1:254" s="25" customFormat="1">
      <c r="A4" s="26" t="s">
        <v>188</v>
      </c>
      <c r="B4" s="27" t="s">
        <v>189</v>
      </c>
      <c r="C4" s="28">
        <v>932621.95</v>
      </c>
      <c r="D4" s="29">
        <v>933539.91540000006</v>
      </c>
      <c r="E4" s="29">
        <v>933539.91540000006</v>
      </c>
      <c r="F4" s="29">
        <v>933436.46696000011</v>
      </c>
      <c r="G4" s="29">
        <v>936970.94965999993</v>
      </c>
      <c r="H4" s="30">
        <f t="shared" si="0"/>
        <v>0.46631967647769557</v>
      </c>
      <c r="I4" s="115" t="str">
        <f t="shared" si="1"/>
        <v>è</v>
      </c>
      <c r="J4" s="31"/>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6"/>
      <c r="ER4" s="16"/>
      <c r="ES4" s="16"/>
      <c r="ET4" s="16"/>
      <c r="EU4" s="16"/>
      <c r="EV4" s="16"/>
      <c r="EW4" s="16"/>
      <c r="EX4" s="16"/>
      <c r="EY4" s="16"/>
      <c r="EZ4" s="16"/>
      <c r="FA4" s="16"/>
      <c r="FB4" s="16"/>
      <c r="FC4" s="16"/>
      <c r="FD4" s="16"/>
      <c r="FE4" s="16"/>
      <c r="FF4" s="16"/>
      <c r="FG4" s="16"/>
      <c r="FH4" s="16"/>
      <c r="FI4" s="16"/>
      <c r="FJ4" s="16"/>
      <c r="FK4" s="16"/>
      <c r="FL4" s="16"/>
      <c r="FM4" s="16"/>
      <c r="FN4" s="16"/>
      <c r="FO4" s="16"/>
      <c r="FP4" s="16"/>
      <c r="FQ4" s="16"/>
      <c r="FR4" s="16"/>
      <c r="FS4" s="16"/>
      <c r="FT4" s="16"/>
      <c r="FU4" s="16"/>
      <c r="FV4" s="16"/>
      <c r="FW4" s="16"/>
      <c r="FX4" s="16"/>
      <c r="FY4" s="16"/>
      <c r="FZ4" s="16"/>
      <c r="GA4" s="16"/>
      <c r="GB4" s="16"/>
      <c r="GC4" s="16"/>
      <c r="GD4" s="16"/>
      <c r="GE4" s="16"/>
      <c r="GF4" s="16"/>
      <c r="GG4" s="16"/>
      <c r="GH4" s="16"/>
      <c r="GI4" s="16"/>
      <c r="GJ4" s="16"/>
      <c r="GK4" s="16"/>
      <c r="GL4" s="16"/>
      <c r="GM4" s="16"/>
      <c r="GN4" s="16"/>
      <c r="GO4" s="16"/>
      <c r="GP4" s="16"/>
      <c r="GQ4" s="16"/>
      <c r="GR4" s="16"/>
      <c r="GS4" s="16"/>
      <c r="GT4" s="16"/>
      <c r="GU4" s="16"/>
      <c r="GV4" s="16"/>
      <c r="GW4" s="16"/>
      <c r="GX4" s="16"/>
      <c r="GY4" s="16"/>
      <c r="GZ4" s="16"/>
      <c r="HA4" s="16"/>
      <c r="HB4" s="16"/>
      <c r="HC4" s="16"/>
      <c r="HD4" s="16"/>
      <c r="HE4" s="16"/>
      <c r="HF4" s="16"/>
      <c r="HG4" s="16"/>
      <c r="HH4" s="16"/>
      <c r="HI4" s="16"/>
      <c r="HJ4" s="16"/>
      <c r="HK4" s="16"/>
      <c r="HL4" s="16"/>
      <c r="HM4" s="16"/>
      <c r="HN4" s="16"/>
      <c r="HO4" s="16"/>
      <c r="HP4" s="16"/>
      <c r="HQ4" s="16"/>
      <c r="HR4" s="16"/>
      <c r="HS4" s="16"/>
      <c r="HT4" s="16"/>
      <c r="HU4" s="16"/>
      <c r="HV4" s="16"/>
      <c r="HW4" s="16"/>
      <c r="HX4" s="16"/>
      <c r="HY4" s="16"/>
      <c r="HZ4" s="16"/>
      <c r="IA4" s="16"/>
      <c r="IB4" s="16"/>
      <c r="IC4" s="16"/>
      <c r="ID4" s="16"/>
      <c r="IE4" s="16"/>
      <c r="IF4" s="16"/>
      <c r="IG4" s="16"/>
      <c r="IH4" s="16"/>
      <c r="II4" s="16"/>
      <c r="IJ4" s="16"/>
      <c r="IK4" s="16"/>
      <c r="IL4" s="16"/>
      <c r="IM4" s="16"/>
      <c r="IN4" s="16"/>
      <c r="IO4" s="16"/>
      <c r="IP4" s="16"/>
      <c r="IQ4" s="16"/>
      <c r="IR4" s="16"/>
      <c r="IS4" s="16"/>
      <c r="IT4" s="16"/>
    </row>
    <row r="5" spans="1:254" s="25" customFormat="1">
      <c r="A5" s="18" t="s">
        <v>186</v>
      </c>
      <c r="B5" s="19" t="s">
        <v>187</v>
      </c>
      <c r="C5" s="20">
        <v>390638.64</v>
      </c>
      <c r="D5" s="21">
        <v>386512.35</v>
      </c>
      <c r="E5" s="21">
        <v>386512.35</v>
      </c>
      <c r="F5" s="21">
        <v>390690.44</v>
      </c>
      <c r="G5" s="21">
        <v>392182.61499999999</v>
      </c>
      <c r="H5" s="22">
        <f t="shared" si="0"/>
        <v>0.395243798718937</v>
      </c>
      <c r="I5" s="23" t="str">
        <f t="shared" si="1"/>
        <v>è</v>
      </c>
      <c r="J5" s="24"/>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c r="HB5" s="16"/>
      <c r="HC5" s="16"/>
      <c r="HD5" s="16"/>
      <c r="HE5" s="16"/>
      <c r="HF5" s="16"/>
      <c r="HG5" s="16"/>
      <c r="HH5" s="16"/>
      <c r="HI5" s="16"/>
      <c r="HJ5" s="16"/>
      <c r="HK5" s="16"/>
      <c r="HL5" s="16"/>
      <c r="HM5" s="16"/>
      <c r="HN5" s="16"/>
      <c r="HO5" s="16"/>
      <c r="HP5" s="16"/>
      <c r="HQ5" s="16"/>
      <c r="HR5" s="16"/>
      <c r="HS5" s="16"/>
      <c r="HT5" s="16"/>
      <c r="HU5" s="16"/>
      <c r="HV5" s="16"/>
      <c r="HW5" s="16"/>
      <c r="HX5" s="16"/>
      <c r="HY5" s="16"/>
      <c r="HZ5" s="16"/>
      <c r="IA5" s="16"/>
      <c r="IB5" s="16"/>
      <c r="IC5" s="16"/>
      <c r="ID5" s="16"/>
      <c r="IE5" s="16"/>
      <c r="IF5" s="16"/>
      <c r="IG5" s="16"/>
      <c r="IH5" s="16"/>
      <c r="II5" s="16"/>
      <c r="IJ5" s="16"/>
      <c r="IK5" s="16"/>
      <c r="IL5" s="16"/>
      <c r="IM5" s="16"/>
      <c r="IN5" s="16"/>
      <c r="IO5" s="16"/>
      <c r="IP5" s="16"/>
      <c r="IQ5" s="16"/>
      <c r="IR5" s="16"/>
      <c r="IS5" s="16"/>
      <c r="IT5" s="16"/>
    </row>
    <row r="6" spans="1:254" s="25" customFormat="1" ht="24">
      <c r="A6" s="26" t="s">
        <v>184</v>
      </c>
      <c r="B6" s="27" t="s">
        <v>185</v>
      </c>
      <c r="C6" s="28">
        <v>3242764</v>
      </c>
      <c r="D6" s="29">
        <v>3679112.906</v>
      </c>
      <c r="E6" s="29">
        <v>3679112.906</v>
      </c>
      <c r="F6" s="29">
        <v>3709683.7344</v>
      </c>
      <c r="G6" s="29">
        <v>3626856.9003999997</v>
      </c>
      <c r="H6" s="30">
        <f t="shared" si="0"/>
        <v>11.844614668227464</v>
      </c>
      <c r="I6" s="115" t="str">
        <f t="shared" si="1"/>
        <v>ì</v>
      </c>
      <c r="J6" s="365" t="s">
        <v>533</v>
      </c>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c r="IR6" s="16"/>
      <c r="IS6" s="16"/>
      <c r="IT6" s="16"/>
    </row>
    <row r="7" spans="1:254" s="25" customFormat="1">
      <c r="A7" s="18" t="s">
        <v>183</v>
      </c>
      <c r="B7" s="19" t="s">
        <v>12</v>
      </c>
      <c r="C7" s="20">
        <v>1954989.8699999999</v>
      </c>
      <c r="D7" s="21">
        <v>1942710.6222999999</v>
      </c>
      <c r="E7" s="21">
        <v>1934722.6222999999</v>
      </c>
      <c r="F7" s="21">
        <v>1954480.3635199999</v>
      </c>
      <c r="G7" s="21">
        <v>1961536.6996699998</v>
      </c>
      <c r="H7" s="22">
        <f t="shared" si="0"/>
        <v>0.33487793315265435</v>
      </c>
      <c r="I7" s="23" t="str">
        <f t="shared" si="1"/>
        <v>è</v>
      </c>
      <c r="J7" s="24"/>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c r="EM7" s="16"/>
      <c r="EN7" s="16"/>
      <c r="EO7" s="16"/>
      <c r="EP7" s="16"/>
      <c r="EQ7" s="16"/>
      <c r="ER7" s="16"/>
      <c r="ES7" s="16"/>
      <c r="ET7" s="16"/>
      <c r="EU7" s="16"/>
      <c r="EV7" s="16"/>
      <c r="EW7" s="16"/>
      <c r="EX7" s="16"/>
      <c r="EY7" s="16"/>
      <c r="EZ7" s="16"/>
      <c r="FA7" s="16"/>
      <c r="FB7" s="16"/>
      <c r="FC7" s="16"/>
      <c r="FD7" s="16"/>
      <c r="FE7" s="16"/>
      <c r="FF7" s="16"/>
      <c r="FG7" s="16"/>
      <c r="FH7" s="16"/>
      <c r="FI7" s="16"/>
      <c r="FJ7" s="16"/>
      <c r="FK7" s="16"/>
      <c r="FL7" s="16"/>
      <c r="FM7" s="16"/>
      <c r="FN7" s="16"/>
      <c r="FO7" s="16"/>
      <c r="FP7" s="16"/>
      <c r="FQ7" s="16"/>
      <c r="FR7" s="16"/>
      <c r="FS7" s="16"/>
      <c r="FT7" s="16"/>
      <c r="FU7" s="16"/>
      <c r="FV7" s="16"/>
      <c r="FW7" s="16"/>
      <c r="FX7" s="16"/>
      <c r="FY7" s="16"/>
      <c r="FZ7" s="16"/>
      <c r="GA7" s="16"/>
      <c r="GB7" s="16"/>
      <c r="GC7" s="16"/>
      <c r="GD7" s="16"/>
      <c r="GE7" s="16"/>
      <c r="GF7" s="16"/>
      <c r="GG7" s="16"/>
      <c r="GH7" s="16"/>
      <c r="GI7" s="16"/>
      <c r="GJ7" s="16"/>
      <c r="GK7" s="16"/>
      <c r="GL7" s="16"/>
      <c r="GM7" s="16"/>
      <c r="GN7" s="16"/>
      <c r="GO7" s="16"/>
      <c r="GP7" s="16"/>
      <c r="GQ7" s="16"/>
      <c r="GR7" s="16"/>
      <c r="GS7" s="16"/>
      <c r="GT7" s="16"/>
      <c r="GU7" s="16"/>
      <c r="GV7" s="16"/>
      <c r="GW7" s="16"/>
      <c r="GX7" s="16"/>
      <c r="GY7" s="16"/>
      <c r="GZ7" s="16"/>
      <c r="HA7" s="16"/>
      <c r="HB7" s="16"/>
      <c r="HC7" s="16"/>
      <c r="HD7" s="16"/>
      <c r="HE7" s="16"/>
      <c r="HF7" s="16"/>
      <c r="HG7" s="16"/>
      <c r="HH7" s="16"/>
      <c r="HI7" s="16"/>
      <c r="HJ7" s="16"/>
      <c r="HK7" s="16"/>
      <c r="HL7" s="16"/>
      <c r="HM7" s="16"/>
      <c r="HN7" s="16"/>
      <c r="HO7" s="16"/>
      <c r="HP7" s="16"/>
      <c r="HQ7" s="16"/>
      <c r="HR7" s="16"/>
      <c r="HS7" s="16"/>
      <c r="HT7" s="16"/>
      <c r="HU7" s="16"/>
      <c r="HV7" s="16"/>
      <c r="HW7" s="16"/>
      <c r="HX7" s="16"/>
      <c r="HY7" s="16"/>
      <c r="HZ7" s="16"/>
      <c r="IA7" s="16"/>
      <c r="IB7" s="16"/>
      <c r="IC7" s="16"/>
      <c r="ID7" s="16"/>
      <c r="IE7" s="16"/>
      <c r="IF7" s="16"/>
      <c r="IG7" s="16"/>
      <c r="IH7" s="16"/>
      <c r="II7" s="16"/>
      <c r="IJ7" s="16"/>
      <c r="IK7" s="16"/>
      <c r="IL7" s="16"/>
      <c r="IM7" s="16"/>
      <c r="IN7" s="16"/>
      <c r="IO7" s="16"/>
      <c r="IP7" s="16"/>
      <c r="IQ7" s="16"/>
      <c r="IR7" s="16"/>
      <c r="IS7" s="16"/>
      <c r="IT7" s="16"/>
    </row>
    <row r="8" spans="1:254" s="25" customFormat="1" ht="36">
      <c r="A8" s="26" t="s">
        <v>181</v>
      </c>
      <c r="B8" s="27" t="s">
        <v>182</v>
      </c>
      <c r="C8" s="28">
        <v>1975919.22</v>
      </c>
      <c r="D8" s="29">
        <v>1526241.0600999999</v>
      </c>
      <c r="E8" s="29">
        <v>1919034.0600999999</v>
      </c>
      <c r="F8" s="29">
        <v>1728041.24024</v>
      </c>
      <c r="G8" s="29">
        <v>1931670.09029</v>
      </c>
      <c r="H8" s="30">
        <f t="shared" si="0"/>
        <v>-2.2394199753773307</v>
      </c>
      <c r="I8" s="115" t="str">
        <f t="shared" si="1"/>
        <v>è</v>
      </c>
      <c r="J8" s="365" t="s">
        <v>479</v>
      </c>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c r="EM8" s="16"/>
      <c r="EN8" s="16"/>
      <c r="EO8" s="16"/>
      <c r="EP8" s="16"/>
      <c r="EQ8" s="16"/>
      <c r="ER8" s="16"/>
      <c r="ES8" s="16"/>
      <c r="ET8" s="16"/>
      <c r="EU8" s="16"/>
      <c r="EV8" s="16"/>
      <c r="EW8" s="16"/>
      <c r="EX8" s="16"/>
      <c r="EY8" s="16"/>
      <c r="EZ8" s="16"/>
      <c r="FA8" s="16"/>
      <c r="FB8" s="16"/>
      <c r="FC8" s="16"/>
      <c r="FD8" s="16"/>
      <c r="FE8" s="16"/>
      <c r="FF8" s="16"/>
      <c r="FG8" s="16"/>
      <c r="FH8" s="16"/>
      <c r="FI8" s="16"/>
      <c r="FJ8" s="16"/>
      <c r="FK8" s="16"/>
      <c r="FL8" s="16"/>
      <c r="FM8" s="16"/>
      <c r="FN8" s="16"/>
      <c r="FO8" s="16"/>
      <c r="FP8" s="16"/>
      <c r="FQ8" s="16"/>
      <c r="FR8" s="16"/>
      <c r="FS8" s="16"/>
      <c r="FT8" s="16"/>
      <c r="FU8" s="16"/>
      <c r="FV8" s="16"/>
      <c r="FW8" s="16"/>
      <c r="FX8" s="16"/>
      <c r="FY8" s="16"/>
      <c r="FZ8" s="16"/>
      <c r="GA8" s="16"/>
      <c r="GB8" s="16"/>
      <c r="GC8" s="16"/>
      <c r="GD8" s="16"/>
      <c r="GE8" s="16"/>
      <c r="GF8" s="16"/>
      <c r="GG8" s="16"/>
      <c r="GH8" s="16"/>
      <c r="GI8" s="16"/>
      <c r="GJ8" s="16"/>
      <c r="GK8" s="16"/>
      <c r="GL8" s="16"/>
      <c r="GM8" s="16"/>
      <c r="GN8" s="16"/>
      <c r="GO8" s="16"/>
      <c r="GP8" s="16"/>
      <c r="GQ8" s="16"/>
      <c r="GR8" s="16"/>
      <c r="GS8" s="16"/>
      <c r="GT8" s="16"/>
      <c r="GU8" s="16"/>
      <c r="GV8" s="16"/>
      <c r="GW8" s="16"/>
      <c r="GX8" s="16"/>
      <c r="GY8" s="16"/>
      <c r="GZ8" s="16"/>
      <c r="HA8" s="16"/>
      <c r="HB8" s="16"/>
      <c r="HC8" s="16"/>
      <c r="HD8" s="16"/>
      <c r="HE8" s="16"/>
      <c r="HF8" s="16"/>
      <c r="HG8" s="16"/>
      <c r="HH8" s="16"/>
      <c r="HI8" s="16"/>
      <c r="HJ8" s="16"/>
      <c r="HK8" s="16"/>
      <c r="HL8" s="16"/>
      <c r="HM8" s="16"/>
      <c r="HN8" s="16"/>
      <c r="HO8" s="16"/>
      <c r="HP8" s="16"/>
      <c r="HQ8" s="16"/>
      <c r="HR8" s="16"/>
      <c r="HS8" s="16"/>
      <c r="HT8" s="16"/>
      <c r="HU8" s="16"/>
      <c r="HV8" s="16"/>
      <c r="HW8" s="16"/>
      <c r="HX8" s="16"/>
      <c r="HY8" s="16"/>
      <c r="HZ8" s="16"/>
      <c r="IA8" s="16"/>
      <c r="IB8" s="16"/>
      <c r="IC8" s="16"/>
      <c r="ID8" s="16"/>
      <c r="IE8" s="16"/>
      <c r="IF8" s="16"/>
      <c r="IG8" s="16"/>
      <c r="IH8" s="16"/>
      <c r="II8" s="16"/>
      <c r="IJ8" s="16"/>
      <c r="IK8" s="16"/>
      <c r="IL8" s="16"/>
      <c r="IM8" s="16"/>
      <c r="IN8" s="16"/>
      <c r="IO8" s="16"/>
      <c r="IP8" s="16"/>
      <c r="IQ8" s="16"/>
      <c r="IR8" s="16"/>
      <c r="IS8" s="16"/>
      <c r="IT8" s="16"/>
    </row>
    <row r="9" spans="1:254" s="25" customFormat="1">
      <c r="A9" s="18" t="s">
        <v>179</v>
      </c>
      <c r="B9" s="19" t="s">
        <v>180</v>
      </c>
      <c r="C9" s="20">
        <v>1324766.92</v>
      </c>
      <c r="D9" s="21">
        <v>1529863.8030000001</v>
      </c>
      <c r="E9" s="21">
        <v>1524457.8030000001</v>
      </c>
      <c r="F9" s="21">
        <v>1537573.7631999999</v>
      </c>
      <c r="G9" s="21">
        <v>1542258.0347</v>
      </c>
      <c r="H9" s="22">
        <f t="shared" si="0"/>
        <v>16.417311710953669</v>
      </c>
      <c r="I9" s="23" t="str">
        <f t="shared" si="1"/>
        <v>ì</v>
      </c>
      <c r="J9" s="366" t="s">
        <v>480</v>
      </c>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c r="EM9" s="16"/>
      <c r="EN9" s="16"/>
      <c r="EO9" s="16"/>
      <c r="EP9" s="16"/>
      <c r="EQ9" s="16"/>
      <c r="ER9" s="16"/>
      <c r="ES9" s="16"/>
      <c r="ET9" s="16"/>
      <c r="EU9" s="16"/>
      <c r="EV9" s="16"/>
      <c r="EW9" s="16"/>
      <c r="EX9" s="16"/>
      <c r="EY9" s="16"/>
      <c r="EZ9" s="16"/>
      <c r="FA9" s="16"/>
      <c r="FB9" s="16"/>
      <c r="FC9" s="16"/>
      <c r="FD9" s="16"/>
      <c r="FE9" s="16"/>
      <c r="FF9" s="16"/>
      <c r="FG9" s="16"/>
      <c r="FH9" s="16"/>
      <c r="FI9" s="16"/>
      <c r="FJ9" s="16"/>
      <c r="FK9" s="16"/>
      <c r="FL9" s="16"/>
      <c r="FM9" s="16"/>
      <c r="FN9" s="16"/>
      <c r="FO9" s="16"/>
      <c r="FP9" s="16"/>
      <c r="FQ9" s="16"/>
      <c r="FR9" s="16"/>
      <c r="FS9" s="16"/>
      <c r="FT9" s="16"/>
      <c r="FU9" s="16"/>
      <c r="FV9" s="16"/>
      <c r="FW9" s="16"/>
      <c r="FX9" s="16"/>
      <c r="FY9" s="16"/>
      <c r="FZ9" s="16"/>
      <c r="GA9" s="16"/>
      <c r="GB9" s="16"/>
      <c r="GC9" s="16"/>
      <c r="GD9" s="16"/>
      <c r="GE9" s="16"/>
      <c r="GF9" s="16"/>
      <c r="GG9" s="16"/>
      <c r="GH9" s="16"/>
      <c r="GI9" s="16"/>
      <c r="GJ9" s="16"/>
      <c r="GK9" s="16"/>
      <c r="GL9" s="16"/>
      <c r="GM9" s="16"/>
      <c r="GN9" s="16"/>
      <c r="GO9" s="16"/>
      <c r="GP9" s="16"/>
      <c r="GQ9" s="16"/>
      <c r="GR9" s="16"/>
      <c r="GS9" s="16"/>
      <c r="GT9" s="16"/>
      <c r="GU9" s="16"/>
      <c r="GV9" s="16"/>
      <c r="GW9" s="16"/>
      <c r="GX9" s="16"/>
      <c r="GY9" s="16"/>
      <c r="GZ9" s="16"/>
      <c r="HA9" s="16"/>
      <c r="HB9" s="16"/>
      <c r="HC9" s="16"/>
      <c r="HD9" s="16"/>
      <c r="HE9" s="16"/>
      <c r="HF9" s="16"/>
      <c r="HG9" s="16"/>
      <c r="HH9" s="16"/>
      <c r="HI9" s="16"/>
      <c r="HJ9" s="16"/>
      <c r="HK9" s="16"/>
      <c r="HL9" s="16"/>
      <c r="HM9" s="16"/>
      <c r="HN9" s="16"/>
      <c r="HO9" s="16"/>
      <c r="HP9" s="16"/>
      <c r="HQ9" s="16"/>
      <c r="HR9" s="16"/>
      <c r="HS9" s="16"/>
      <c r="HT9" s="16"/>
      <c r="HU9" s="16"/>
      <c r="HV9" s="16"/>
      <c r="HW9" s="16"/>
      <c r="HX9" s="16"/>
      <c r="HY9" s="16"/>
      <c r="HZ9" s="16"/>
      <c r="IA9" s="16"/>
      <c r="IB9" s="16"/>
      <c r="IC9" s="16"/>
      <c r="ID9" s="16"/>
      <c r="IE9" s="16"/>
      <c r="IF9" s="16"/>
      <c r="IG9" s="16"/>
      <c r="IH9" s="16"/>
      <c r="II9" s="16"/>
      <c r="IJ9" s="16"/>
      <c r="IK9" s="16"/>
      <c r="IL9" s="16"/>
      <c r="IM9" s="16"/>
      <c r="IN9" s="16"/>
      <c r="IO9" s="16"/>
      <c r="IP9" s="16"/>
      <c r="IQ9" s="16"/>
      <c r="IR9" s="16"/>
      <c r="IS9" s="16"/>
      <c r="IT9" s="16"/>
    </row>
    <row r="10" spans="1:254" s="25" customFormat="1">
      <c r="A10" s="26" t="s">
        <v>177</v>
      </c>
      <c r="B10" s="27" t="s">
        <v>178</v>
      </c>
      <c r="C10" s="28">
        <v>0</v>
      </c>
      <c r="D10" s="29">
        <v>0</v>
      </c>
      <c r="E10" s="29">
        <v>0</v>
      </c>
      <c r="F10" s="29">
        <v>0</v>
      </c>
      <c r="G10" s="29">
        <v>0</v>
      </c>
      <c r="H10" s="30">
        <v>0</v>
      </c>
      <c r="I10" s="115" t="str">
        <f t="shared" si="1"/>
        <v>è</v>
      </c>
      <c r="J10" s="367" t="s">
        <v>481</v>
      </c>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c r="EM10" s="16"/>
      <c r="EN10" s="16"/>
      <c r="EO10" s="16"/>
      <c r="EP10" s="16"/>
      <c r="EQ10" s="16"/>
      <c r="ER10" s="16"/>
      <c r="ES10" s="16"/>
      <c r="ET10" s="16"/>
      <c r="EU10" s="16"/>
      <c r="EV10" s="16"/>
      <c r="EW10" s="16"/>
      <c r="EX10" s="16"/>
      <c r="EY10" s="16"/>
      <c r="EZ10" s="16"/>
      <c r="FA10" s="16"/>
      <c r="FB10" s="16"/>
      <c r="FC10" s="16"/>
      <c r="FD10" s="16"/>
      <c r="FE10" s="16"/>
      <c r="FF10" s="16"/>
      <c r="FG10" s="16"/>
      <c r="FH10" s="16"/>
      <c r="FI10" s="16"/>
      <c r="FJ10" s="16"/>
      <c r="FK10" s="16"/>
      <c r="FL10" s="16"/>
      <c r="FM10" s="16"/>
      <c r="FN10" s="16"/>
      <c r="FO10" s="16"/>
      <c r="FP10" s="16"/>
      <c r="FQ10" s="16"/>
      <c r="FR10" s="16"/>
      <c r="FS10" s="16"/>
      <c r="FT10" s="16"/>
      <c r="FU10" s="16"/>
      <c r="FV10" s="16"/>
      <c r="FW10" s="16"/>
      <c r="FX10" s="16"/>
      <c r="FY10" s="16"/>
      <c r="FZ10" s="16"/>
      <c r="GA10" s="16"/>
      <c r="GB10" s="16"/>
      <c r="GC10" s="16"/>
      <c r="GD10" s="16"/>
      <c r="GE10" s="16"/>
      <c r="GF10" s="16"/>
      <c r="GG10" s="16"/>
      <c r="GH10" s="16"/>
      <c r="GI10" s="16"/>
      <c r="GJ10" s="16"/>
      <c r="GK10" s="16"/>
      <c r="GL10" s="16"/>
      <c r="GM10" s="16"/>
      <c r="GN10" s="16"/>
      <c r="GO10" s="16"/>
      <c r="GP10" s="16"/>
      <c r="GQ10" s="16"/>
      <c r="GR10" s="16"/>
      <c r="GS10" s="16"/>
      <c r="GT10" s="16"/>
      <c r="GU10" s="16"/>
      <c r="GV10" s="16"/>
      <c r="GW10" s="16"/>
      <c r="GX10" s="16"/>
      <c r="GY10" s="16"/>
      <c r="GZ10" s="16"/>
      <c r="HA10" s="16"/>
      <c r="HB10" s="16"/>
      <c r="HC10" s="16"/>
      <c r="HD10" s="16"/>
      <c r="HE10" s="16"/>
      <c r="HF10" s="16"/>
      <c r="HG10" s="16"/>
      <c r="HH10" s="16"/>
      <c r="HI10" s="16"/>
      <c r="HJ10" s="16"/>
      <c r="HK10" s="16"/>
      <c r="HL10" s="16"/>
      <c r="HM10" s="16"/>
      <c r="HN10" s="16"/>
      <c r="HO10" s="16"/>
      <c r="HP10" s="16"/>
      <c r="HQ10" s="16"/>
      <c r="HR10" s="16"/>
      <c r="HS10" s="16"/>
      <c r="HT10" s="16"/>
      <c r="HU10" s="16"/>
      <c r="HV10" s="16"/>
      <c r="HW10" s="16"/>
      <c r="HX10" s="16"/>
      <c r="HY10" s="16"/>
      <c r="HZ10" s="16"/>
      <c r="IA10" s="16"/>
      <c r="IB10" s="16"/>
      <c r="IC10" s="16"/>
      <c r="ID10" s="16"/>
      <c r="IE10" s="16"/>
      <c r="IF10" s="16"/>
      <c r="IG10" s="16"/>
      <c r="IH10" s="16"/>
      <c r="II10" s="16"/>
      <c r="IJ10" s="16"/>
      <c r="IK10" s="16"/>
      <c r="IL10" s="16"/>
      <c r="IM10" s="16"/>
      <c r="IN10" s="16"/>
      <c r="IO10" s="16"/>
      <c r="IP10" s="16"/>
      <c r="IQ10" s="16"/>
      <c r="IR10" s="16"/>
      <c r="IS10" s="16"/>
      <c r="IT10" s="16"/>
    </row>
    <row r="11" spans="1:254" s="25" customFormat="1">
      <c r="A11" s="18" t="s">
        <v>175</v>
      </c>
      <c r="B11" s="19" t="s">
        <v>176</v>
      </c>
      <c r="C11" s="20">
        <v>0</v>
      </c>
      <c r="D11" s="21">
        <v>0</v>
      </c>
      <c r="E11" s="21">
        <v>0</v>
      </c>
      <c r="F11" s="21">
        <v>0</v>
      </c>
      <c r="G11" s="21">
        <v>0</v>
      </c>
      <c r="H11" s="22">
        <v>0</v>
      </c>
      <c r="I11" s="23" t="str">
        <f t="shared" si="1"/>
        <v>è</v>
      </c>
      <c r="J11" s="366" t="s">
        <v>481</v>
      </c>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c r="EM11" s="16"/>
      <c r="EN11" s="16"/>
      <c r="EO11" s="16"/>
      <c r="EP11" s="16"/>
      <c r="EQ11" s="16"/>
      <c r="ER11" s="16"/>
      <c r="ES11" s="16"/>
      <c r="ET11" s="16"/>
      <c r="EU11" s="16"/>
      <c r="EV11" s="16"/>
      <c r="EW11" s="16"/>
      <c r="EX11" s="16"/>
      <c r="EY11" s="16"/>
      <c r="EZ11" s="16"/>
      <c r="FA11" s="16"/>
      <c r="FB11" s="16"/>
      <c r="FC11" s="16"/>
      <c r="FD11" s="16"/>
      <c r="FE11" s="16"/>
      <c r="FF11" s="16"/>
      <c r="FG11" s="16"/>
      <c r="FH11" s="16"/>
      <c r="FI11" s="16"/>
      <c r="FJ11" s="16"/>
      <c r="FK11" s="16"/>
      <c r="FL11" s="16"/>
      <c r="FM11" s="16"/>
      <c r="FN11" s="16"/>
      <c r="FO11" s="16"/>
      <c r="FP11" s="16"/>
      <c r="FQ11" s="16"/>
      <c r="FR11" s="16"/>
      <c r="FS11" s="16"/>
      <c r="FT11" s="16"/>
      <c r="FU11" s="16"/>
      <c r="FV11" s="16"/>
      <c r="FW11" s="16"/>
      <c r="FX11" s="16"/>
      <c r="FY11" s="16"/>
      <c r="FZ11" s="16"/>
      <c r="GA11" s="16"/>
      <c r="GB11" s="16"/>
      <c r="GC11" s="16"/>
      <c r="GD11" s="16"/>
      <c r="GE11" s="16"/>
      <c r="GF11" s="16"/>
      <c r="GG11" s="16"/>
      <c r="GH11" s="16"/>
      <c r="GI11" s="16"/>
      <c r="GJ11" s="16"/>
      <c r="GK11" s="16"/>
      <c r="GL11" s="16"/>
      <c r="GM11" s="16"/>
      <c r="GN11" s="16"/>
      <c r="GO11" s="16"/>
      <c r="GP11" s="16"/>
      <c r="GQ11" s="16"/>
      <c r="GR11" s="16"/>
      <c r="GS11" s="16"/>
      <c r="GT11" s="16"/>
      <c r="GU11" s="16"/>
      <c r="GV11" s="16"/>
      <c r="GW11" s="16"/>
      <c r="GX11" s="16"/>
      <c r="GY11" s="16"/>
      <c r="GZ11" s="16"/>
      <c r="HA11" s="16"/>
      <c r="HB11" s="16"/>
      <c r="HC11" s="16"/>
      <c r="HD11" s="16"/>
      <c r="HE11" s="16"/>
      <c r="HF11" s="16"/>
      <c r="HG11" s="16"/>
      <c r="HH11" s="16"/>
      <c r="HI11" s="16"/>
      <c r="HJ11" s="16"/>
      <c r="HK11" s="16"/>
      <c r="HL11" s="16"/>
      <c r="HM11" s="16"/>
      <c r="HN11" s="16"/>
      <c r="HO11" s="16"/>
      <c r="HP11" s="16"/>
      <c r="HQ11" s="16"/>
      <c r="HR11" s="16"/>
      <c r="HS11" s="16"/>
      <c r="HT11" s="16"/>
      <c r="HU11" s="16"/>
      <c r="HV11" s="16"/>
      <c r="HW11" s="16"/>
      <c r="HX11" s="16"/>
      <c r="HY11" s="16"/>
      <c r="HZ11" s="16"/>
      <c r="IA11" s="16"/>
      <c r="IB11" s="16"/>
      <c r="IC11" s="16"/>
      <c r="ID11" s="16"/>
      <c r="IE11" s="16"/>
      <c r="IF11" s="16"/>
      <c r="IG11" s="16"/>
      <c r="IH11" s="16"/>
      <c r="II11" s="16"/>
      <c r="IJ11" s="16"/>
      <c r="IK11" s="16"/>
      <c r="IL11" s="16"/>
      <c r="IM11" s="16"/>
      <c r="IN11" s="16"/>
      <c r="IO11" s="16"/>
      <c r="IP11" s="16"/>
      <c r="IQ11" s="16"/>
      <c r="IR11" s="16"/>
      <c r="IS11" s="16"/>
      <c r="IT11" s="16"/>
    </row>
    <row r="12" spans="1:254" s="25" customFormat="1">
      <c r="A12" s="26" t="s">
        <v>174</v>
      </c>
      <c r="B12" s="27" t="s">
        <v>378</v>
      </c>
      <c r="C12" s="46">
        <v>1037952.9700000001</v>
      </c>
      <c r="D12" s="47">
        <v>1033471.75</v>
      </c>
      <c r="E12" s="47">
        <v>1022471.75</v>
      </c>
      <c r="F12" s="47">
        <v>1032947.18</v>
      </c>
      <c r="G12" s="47">
        <v>1036688.405</v>
      </c>
      <c r="H12" s="30">
        <f t="shared" si="0"/>
        <v>-0.12183259131674617</v>
      </c>
      <c r="I12" s="115" t="str">
        <f t="shared" si="1"/>
        <v>è</v>
      </c>
      <c r="J12" s="50"/>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c r="EM12" s="16"/>
      <c r="EN12" s="16"/>
      <c r="EO12" s="16"/>
      <c r="EP12" s="16"/>
      <c r="EQ12" s="16"/>
      <c r="ER12" s="16"/>
      <c r="ES12" s="16"/>
      <c r="ET12" s="16"/>
      <c r="EU12" s="16"/>
      <c r="EV12" s="16"/>
      <c r="EW12" s="16"/>
      <c r="EX12" s="16"/>
      <c r="EY12" s="16"/>
      <c r="EZ12" s="16"/>
      <c r="FA12" s="16"/>
      <c r="FB12" s="16"/>
      <c r="FC12" s="16"/>
      <c r="FD12" s="16"/>
      <c r="FE12" s="16"/>
      <c r="FF12" s="16"/>
      <c r="FG12" s="16"/>
      <c r="FH12" s="16"/>
      <c r="FI12" s="16"/>
      <c r="FJ12" s="16"/>
      <c r="FK12" s="16"/>
      <c r="FL12" s="16"/>
      <c r="FM12" s="16"/>
      <c r="FN12" s="16"/>
      <c r="FO12" s="16"/>
      <c r="FP12" s="16"/>
      <c r="FQ12" s="16"/>
      <c r="FR12" s="16"/>
      <c r="FS12" s="16"/>
      <c r="FT12" s="16"/>
      <c r="FU12" s="16"/>
      <c r="FV12" s="16"/>
      <c r="FW12" s="16"/>
      <c r="FX12" s="16"/>
      <c r="FY12" s="16"/>
      <c r="FZ12" s="16"/>
      <c r="GA12" s="16"/>
      <c r="GB12" s="16"/>
      <c r="GC12" s="16"/>
      <c r="GD12" s="16"/>
      <c r="GE12" s="16"/>
      <c r="GF12" s="16"/>
      <c r="GG12" s="16"/>
      <c r="GH12" s="16"/>
      <c r="GI12" s="16"/>
      <c r="GJ12" s="16"/>
      <c r="GK12" s="16"/>
      <c r="GL12" s="16"/>
      <c r="GM12" s="16"/>
      <c r="GN12" s="16"/>
      <c r="GO12" s="16"/>
      <c r="GP12" s="16"/>
      <c r="GQ12" s="16"/>
      <c r="GR12" s="16"/>
      <c r="GS12" s="16"/>
      <c r="GT12" s="16"/>
      <c r="GU12" s="16"/>
      <c r="GV12" s="16"/>
      <c r="GW12" s="16"/>
      <c r="GX12" s="16"/>
      <c r="GY12" s="16"/>
      <c r="GZ12" s="16"/>
      <c r="HA12" s="16"/>
      <c r="HB12" s="16"/>
      <c r="HC12" s="16"/>
      <c r="HD12" s="16"/>
      <c r="HE12" s="16"/>
      <c r="HF12" s="16"/>
      <c r="HG12" s="16"/>
      <c r="HH12" s="16"/>
      <c r="HI12" s="16"/>
      <c r="HJ12" s="16"/>
      <c r="HK12" s="16"/>
      <c r="HL12" s="16"/>
      <c r="HM12" s="16"/>
      <c r="HN12" s="16"/>
      <c r="HO12" s="16"/>
      <c r="HP12" s="16"/>
      <c r="HQ12" s="16"/>
      <c r="HR12" s="16"/>
      <c r="HS12" s="16"/>
      <c r="HT12" s="16"/>
      <c r="HU12" s="16"/>
      <c r="HV12" s="16"/>
      <c r="HW12" s="16"/>
      <c r="HX12" s="16"/>
      <c r="HY12" s="16"/>
      <c r="HZ12" s="16"/>
      <c r="IA12" s="16"/>
      <c r="IB12" s="16"/>
      <c r="IC12" s="16"/>
      <c r="ID12" s="16"/>
      <c r="IE12" s="16"/>
      <c r="IF12" s="16"/>
      <c r="IG12" s="16"/>
      <c r="IH12" s="16"/>
      <c r="II12" s="16"/>
      <c r="IJ12" s="16"/>
      <c r="IK12" s="16"/>
      <c r="IL12" s="16"/>
      <c r="IM12" s="16"/>
      <c r="IN12" s="16"/>
      <c r="IO12" s="16"/>
      <c r="IP12" s="16"/>
      <c r="IQ12" s="16"/>
      <c r="IR12" s="16"/>
      <c r="IS12" s="16"/>
      <c r="IT12" s="16"/>
    </row>
    <row r="13" spans="1:254" s="25" customFormat="1" ht="36">
      <c r="A13" s="18" t="s">
        <v>172</v>
      </c>
      <c r="B13" s="19" t="s">
        <v>173</v>
      </c>
      <c r="C13" s="20">
        <v>0</v>
      </c>
      <c r="D13" s="21">
        <v>0</v>
      </c>
      <c r="E13" s="21">
        <v>0</v>
      </c>
      <c r="F13" s="21">
        <v>0</v>
      </c>
      <c r="G13" s="21">
        <v>0</v>
      </c>
      <c r="H13" s="22">
        <v>0</v>
      </c>
      <c r="I13" s="23" t="str">
        <f t="shared" si="1"/>
        <v>è</v>
      </c>
      <c r="J13" s="368" t="s">
        <v>492</v>
      </c>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c r="EM13" s="16"/>
      <c r="EN13" s="16"/>
      <c r="EO13" s="16"/>
      <c r="EP13" s="16"/>
      <c r="EQ13" s="16"/>
      <c r="ER13" s="16"/>
      <c r="ES13" s="16"/>
      <c r="ET13" s="16"/>
      <c r="EU13" s="16"/>
      <c r="EV13" s="16"/>
      <c r="EW13" s="16"/>
      <c r="EX13" s="16"/>
      <c r="EY13" s="16"/>
      <c r="EZ13" s="16"/>
      <c r="FA13" s="16"/>
      <c r="FB13" s="16"/>
      <c r="FC13" s="16"/>
      <c r="FD13" s="16"/>
      <c r="FE13" s="16"/>
      <c r="FF13" s="16"/>
      <c r="FG13" s="16"/>
      <c r="FH13" s="16"/>
      <c r="FI13" s="16"/>
      <c r="FJ13" s="16"/>
      <c r="FK13" s="16"/>
      <c r="FL13" s="16"/>
      <c r="FM13" s="16"/>
      <c r="FN13" s="16"/>
      <c r="FO13" s="16"/>
      <c r="FP13" s="16"/>
      <c r="FQ13" s="16"/>
      <c r="FR13" s="16"/>
      <c r="FS13" s="16"/>
      <c r="FT13" s="16"/>
      <c r="FU13" s="16"/>
      <c r="FV13" s="16"/>
      <c r="FW13" s="16"/>
      <c r="FX13" s="16"/>
      <c r="FY13" s="16"/>
      <c r="FZ13" s="16"/>
      <c r="GA13" s="16"/>
      <c r="GB13" s="16"/>
      <c r="GC13" s="16"/>
      <c r="GD13" s="16"/>
      <c r="GE13" s="16"/>
      <c r="GF13" s="16"/>
      <c r="GG13" s="16"/>
      <c r="GH13" s="16"/>
      <c r="GI13" s="16"/>
      <c r="GJ13" s="16"/>
      <c r="GK13" s="16"/>
      <c r="GL13" s="16"/>
      <c r="GM13" s="16"/>
      <c r="GN13" s="16"/>
      <c r="GO13" s="16"/>
      <c r="GP13" s="16"/>
      <c r="GQ13" s="16"/>
      <c r="GR13" s="16"/>
      <c r="GS13" s="16"/>
      <c r="GT13" s="16"/>
      <c r="GU13" s="16"/>
      <c r="GV13" s="16"/>
      <c r="GW13" s="16"/>
      <c r="GX13" s="16"/>
      <c r="GY13" s="16"/>
      <c r="GZ13" s="16"/>
      <c r="HA13" s="16"/>
      <c r="HB13" s="16"/>
      <c r="HC13" s="16"/>
      <c r="HD13" s="16"/>
      <c r="HE13" s="16"/>
      <c r="HF13" s="16"/>
      <c r="HG13" s="16"/>
      <c r="HH13" s="16"/>
      <c r="HI13" s="16"/>
      <c r="HJ13" s="16"/>
      <c r="HK13" s="16"/>
      <c r="HL13" s="16"/>
      <c r="HM13" s="16"/>
      <c r="HN13" s="16"/>
      <c r="HO13" s="16"/>
      <c r="HP13" s="16"/>
      <c r="HQ13" s="16"/>
      <c r="HR13" s="16"/>
      <c r="HS13" s="16"/>
      <c r="HT13" s="16"/>
      <c r="HU13" s="16"/>
      <c r="HV13" s="16"/>
      <c r="HW13" s="16"/>
      <c r="HX13" s="16"/>
      <c r="HY13" s="16"/>
      <c r="HZ13" s="16"/>
      <c r="IA13" s="16"/>
      <c r="IB13" s="16"/>
      <c r="IC13" s="16"/>
      <c r="ID13" s="16"/>
      <c r="IE13" s="16"/>
      <c r="IF13" s="16"/>
      <c r="IG13" s="16"/>
      <c r="IH13" s="16"/>
      <c r="II13" s="16"/>
      <c r="IJ13" s="16"/>
      <c r="IK13" s="16"/>
      <c r="IL13" s="16"/>
      <c r="IM13" s="16"/>
      <c r="IN13" s="16"/>
      <c r="IO13" s="16"/>
      <c r="IP13" s="16"/>
      <c r="IQ13" s="16"/>
      <c r="IR13" s="16"/>
      <c r="IS13" s="16"/>
      <c r="IT13" s="16"/>
    </row>
    <row r="14" spans="1:254" ht="24" customHeight="1">
      <c r="A14" s="57"/>
      <c r="B14" s="58" t="s">
        <v>363</v>
      </c>
      <c r="C14" s="59">
        <f>SUM(C3:C13)</f>
        <v>11769340.82</v>
      </c>
      <c r="D14" s="59">
        <f>SUM(D3:D13)</f>
        <v>11946187.1164</v>
      </c>
      <c r="E14" s="59">
        <f>SUM(E3:E13)</f>
        <v>12314586.1164</v>
      </c>
      <c r="F14" s="59">
        <f>SUM(F3:F13)</f>
        <v>12208666.941360001</v>
      </c>
      <c r="G14" s="59">
        <f>SUM(G3:G13)</f>
        <v>12352505.67756</v>
      </c>
      <c r="H14" s="60">
        <f t="shared" si="0"/>
        <v>4.9549491894143216</v>
      </c>
      <c r="I14" s="129"/>
      <c r="J14" s="130"/>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c r="EM14" s="16"/>
      <c r="EN14" s="16"/>
      <c r="EO14" s="16"/>
      <c r="EP14" s="16"/>
      <c r="EQ14" s="16"/>
      <c r="ER14" s="16"/>
      <c r="ES14" s="16"/>
      <c r="ET14" s="16"/>
      <c r="EU14" s="16"/>
      <c r="EV14" s="16"/>
      <c r="EW14" s="16"/>
      <c r="EX14" s="16"/>
      <c r="EY14" s="16"/>
      <c r="EZ14" s="16"/>
      <c r="FA14" s="16"/>
      <c r="FB14" s="16"/>
      <c r="FC14" s="16"/>
      <c r="FD14" s="16"/>
      <c r="FE14" s="16"/>
      <c r="FF14" s="16"/>
      <c r="FG14" s="16"/>
      <c r="FH14" s="16"/>
      <c r="FI14" s="16"/>
      <c r="FJ14" s="16"/>
      <c r="FK14" s="16"/>
      <c r="FL14" s="16"/>
      <c r="FM14" s="16"/>
      <c r="FN14" s="16"/>
      <c r="FO14" s="16"/>
      <c r="FP14" s="16"/>
      <c r="FQ14" s="16"/>
      <c r="FR14" s="16"/>
      <c r="FS14" s="16"/>
      <c r="FT14" s="16"/>
      <c r="FU14" s="16"/>
      <c r="FV14" s="16"/>
      <c r="FW14" s="16"/>
      <c r="FX14" s="16"/>
      <c r="FY14" s="16"/>
      <c r="FZ14" s="16"/>
      <c r="GA14" s="16"/>
      <c r="GB14" s="16"/>
      <c r="GC14" s="16"/>
      <c r="GD14" s="16"/>
      <c r="GE14" s="16"/>
      <c r="GF14" s="16"/>
      <c r="GG14" s="16"/>
      <c r="GH14" s="16"/>
      <c r="GI14" s="16"/>
      <c r="GJ14" s="16"/>
      <c r="GK14" s="16"/>
      <c r="GL14" s="16"/>
      <c r="GM14" s="16"/>
      <c r="GN14" s="16"/>
      <c r="GO14" s="16"/>
      <c r="GP14" s="16"/>
      <c r="GQ14" s="16"/>
      <c r="GR14" s="16"/>
      <c r="GS14" s="16"/>
      <c r="GT14" s="16"/>
      <c r="GU14" s="16"/>
      <c r="GV14" s="16"/>
      <c r="GW14" s="16"/>
      <c r="GX14" s="16"/>
      <c r="GY14" s="16"/>
      <c r="GZ14" s="16"/>
      <c r="HA14" s="16"/>
      <c r="HB14" s="16"/>
      <c r="HC14" s="16"/>
      <c r="HD14" s="16"/>
      <c r="HE14" s="16"/>
      <c r="HF14" s="16"/>
      <c r="HG14" s="16"/>
      <c r="HH14" s="16"/>
      <c r="HI14" s="16"/>
      <c r="HJ14" s="16"/>
      <c r="HK14" s="16"/>
      <c r="HL14" s="16"/>
      <c r="HM14" s="16"/>
      <c r="HN14" s="16"/>
      <c r="HO14" s="16"/>
      <c r="HP14" s="16"/>
      <c r="HQ14" s="16"/>
      <c r="HR14" s="16"/>
      <c r="HS14" s="16"/>
      <c r="HT14" s="16"/>
      <c r="HU14" s="16"/>
      <c r="HV14" s="16"/>
      <c r="HW14" s="16"/>
      <c r="HX14" s="16"/>
      <c r="HY14" s="16"/>
      <c r="HZ14" s="16"/>
      <c r="IA14" s="16"/>
      <c r="IB14" s="16"/>
      <c r="IC14" s="16"/>
      <c r="ID14" s="16"/>
      <c r="IE14" s="16"/>
      <c r="IF14" s="16"/>
      <c r="IG14" s="16"/>
      <c r="IH14" s="16"/>
      <c r="II14" s="16"/>
      <c r="IJ14" s="16"/>
      <c r="IK14" s="16"/>
      <c r="IL14" s="16"/>
      <c r="IM14" s="16"/>
      <c r="IN14" s="16"/>
      <c r="IO14" s="16"/>
      <c r="IP14" s="16"/>
      <c r="IQ14" s="16"/>
      <c r="IR14" s="16"/>
      <c r="IS14" s="16"/>
      <c r="IT14" s="16"/>
    </row>
    <row r="15" spans="1:254" ht="24" customHeight="1">
      <c r="A15" s="33"/>
      <c r="B15" s="10" t="s">
        <v>194</v>
      </c>
      <c r="C15" s="11"/>
      <c r="D15" s="29"/>
      <c r="E15" s="29"/>
      <c r="F15" s="29"/>
      <c r="G15" s="29"/>
      <c r="H15" s="30"/>
      <c r="I15" s="34"/>
      <c r="J15" s="15"/>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c r="EM15" s="16"/>
      <c r="EN15" s="16"/>
      <c r="EO15" s="16"/>
      <c r="EP15" s="16"/>
      <c r="EQ15" s="16"/>
      <c r="ER15" s="16"/>
      <c r="ES15" s="16"/>
      <c r="ET15" s="16"/>
      <c r="EU15" s="16"/>
      <c r="EV15" s="16"/>
      <c r="EW15" s="16"/>
      <c r="EX15" s="16"/>
      <c r="EY15" s="16"/>
      <c r="EZ15" s="16"/>
      <c r="FA15" s="16"/>
      <c r="FB15" s="16"/>
      <c r="FC15" s="16"/>
      <c r="FD15" s="16"/>
      <c r="FE15" s="16"/>
      <c r="FF15" s="16"/>
      <c r="FG15" s="16"/>
      <c r="FH15" s="16"/>
      <c r="FI15" s="16"/>
      <c r="FJ15" s="16"/>
      <c r="FK15" s="16"/>
      <c r="FL15" s="16"/>
      <c r="FM15" s="16"/>
      <c r="FN15" s="16"/>
      <c r="FO15" s="16"/>
      <c r="FP15" s="16"/>
      <c r="FQ15" s="16"/>
      <c r="FR15" s="16"/>
      <c r="FS15" s="16"/>
      <c r="FT15" s="16"/>
      <c r="FU15" s="16"/>
      <c r="FV15" s="16"/>
      <c r="FW15" s="16"/>
      <c r="FX15" s="16"/>
      <c r="FY15" s="16"/>
      <c r="FZ15" s="16"/>
      <c r="GA15" s="16"/>
      <c r="GB15" s="16"/>
      <c r="GC15" s="16"/>
      <c r="GD15" s="16"/>
      <c r="GE15" s="16"/>
      <c r="GF15" s="16"/>
      <c r="GG15" s="16"/>
      <c r="GH15" s="16"/>
      <c r="GI15" s="16"/>
      <c r="GJ15" s="16"/>
      <c r="GK15" s="16"/>
      <c r="GL15" s="16"/>
      <c r="GM15" s="16"/>
      <c r="GN15" s="16"/>
      <c r="GO15" s="16"/>
      <c r="GP15" s="16"/>
      <c r="GQ15" s="16"/>
      <c r="GR15" s="16"/>
      <c r="GS15" s="16"/>
      <c r="GT15" s="16"/>
      <c r="GU15" s="16"/>
      <c r="GV15" s="16"/>
      <c r="GW15" s="16"/>
      <c r="GX15" s="16"/>
      <c r="GY15" s="16"/>
      <c r="GZ15" s="16"/>
      <c r="HA15" s="16"/>
      <c r="HB15" s="16"/>
      <c r="HC15" s="16"/>
      <c r="HD15" s="16"/>
      <c r="HE15" s="16"/>
      <c r="HF15" s="16"/>
      <c r="HG15" s="16"/>
      <c r="HH15" s="16"/>
      <c r="HI15" s="16"/>
      <c r="HJ15" s="16"/>
      <c r="HK15" s="16"/>
      <c r="HL15" s="16"/>
      <c r="HM15" s="16"/>
      <c r="HN15" s="16"/>
      <c r="HO15" s="16"/>
      <c r="HP15" s="16"/>
      <c r="HQ15" s="16"/>
      <c r="HR15" s="16"/>
      <c r="HS15" s="16"/>
      <c r="HT15" s="16"/>
      <c r="HU15" s="16"/>
      <c r="HV15" s="16"/>
      <c r="HW15" s="16"/>
      <c r="HX15" s="16"/>
      <c r="HY15" s="16"/>
      <c r="HZ15" s="16"/>
      <c r="IA15" s="16"/>
      <c r="IB15" s="16"/>
      <c r="IC15" s="16"/>
      <c r="ID15" s="16"/>
      <c r="IE15" s="16"/>
      <c r="IF15" s="16"/>
      <c r="IG15" s="16"/>
      <c r="IH15" s="16"/>
      <c r="II15" s="16"/>
      <c r="IJ15" s="16"/>
      <c r="IK15" s="16"/>
      <c r="IL15" s="16"/>
      <c r="IM15" s="16"/>
      <c r="IN15" s="16"/>
      <c r="IO15" s="16"/>
      <c r="IP15" s="16"/>
      <c r="IQ15" s="16"/>
      <c r="IR15" s="16"/>
      <c r="IS15" s="16"/>
      <c r="IT15" s="16"/>
    </row>
    <row r="16" spans="1:254" s="25" customFormat="1">
      <c r="A16" s="18" t="s">
        <v>195</v>
      </c>
      <c r="B16" s="19" t="s">
        <v>12</v>
      </c>
      <c r="C16" s="20">
        <v>1827238.27</v>
      </c>
      <c r="D16" s="21">
        <v>1756194.2238999999</v>
      </c>
      <c r="E16" s="21">
        <v>1623493.9638999999</v>
      </c>
      <c r="F16" s="21">
        <v>1639459.7793599998</v>
      </c>
      <c r="G16" s="21">
        <v>1645161.8563099997</v>
      </c>
      <c r="H16" s="22">
        <f t="shared" ref="H16:H26" si="2">SUM(G16/C16*100-100)</f>
        <v>-9.9645687527111733</v>
      </c>
      <c r="I16" s="23" t="str">
        <f t="shared" ref="I16:I26" si="3">IF((SQRT((G16-C16)^2)&lt;20000),$I$158,IF((G16-C16)&gt;(SQRT(C16^2))*5%,$I$159,IF((G16-C16)&lt;-(SQRT(C16^2))*5%,$I$157,$I$158)))</f>
        <v>î</v>
      </c>
      <c r="J16" s="368" t="s">
        <v>482</v>
      </c>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c r="EQ16" s="16"/>
      <c r="ER16" s="16"/>
      <c r="ES16" s="16"/>
      <c r="ET16" s="16"/>
      <c r="EU16" s="16"/>
      <c r="EV16" s="16"/>
      <c r="EW16" s="16"/>
      <c r="EX16" s="16"/>
      <c r="EY16" s="16"/>
      <c r="EZ16" s="16"/>
      <c r="FA16" s="16"/>
      <c r="FB16" s="16"/>
      <c r="FC16" s="16"/>
      <c r="FD16" s="16"/>
      <c r="FE16" s="16"/>
      <c r="FF16" s="16"/>
      <c r="FG16" s="16"/>
      <c r="FH16" s="16"/>
      <c r="FI16" s="16"/>
      <c r="FJ16" s="16"/>
      <c r="FK16" s="16"/>
      <c r="FL16" s="16"/>
      <c r="FM16" s="16"/>
      <c r="FN16" s="16"/>
      <c r="FO16" s="16"/>
      <c r="FP16" s="16"/>
      <c r="FQ16" s="16"/>
      <c r="FR16" s="16"/>
      <c r="FS16" s="16"/>
      <c r="FT16" s="16"/>
      <c r="FU16" s="16"/>
      <c r="FV16" s="16"/>
      <c r="FW16" s="16"/>
      <c r="FX16" s="16"/>
      <c r="FY16" s="16"/>
      <c r="FZ16" s="16"/>
      <c r="GA16" s="16"/>
      <c r="GB16" s="16"/>
      <c r="GC16" s="16"/>
      <c r="GD16" s="16"/>
      <c r="GE16" s="16"/>
      <c r="GF16" s="16"/>
      <c r="GG16" s="16"/>
      <c r="GH16" s="16"/>
      <c r="GI16" s="16"/>
      <c r="GJ16" s="16"/>
      <c r="GK16" s="16"/>
      <c r="GL16" s="16"/>
      <c r="GM16" s="16"/>
      <c r="GN16" s="16"/>
      <c r="GO16" s="16"/>
      <c r="GP16" s="16"/>
      <c r="GQ16" s="16"/>
      <c r="GR16" s="16"/>
      <c r="GS16" s="16"/>
      <c r="GT16" s="16"/>
      <c r="GU16" s="16"/>
      <c r="GV16" s="16"/>
      <c r="GW16" s="16"/>
      <c r="GX16" s="16"/>
      <c r="GY16" s="16"/>
      <c r="GZ16" s="16"/>
      <c r="HA16" s="16"/>
      <c r="HB16" s="16"/>
      <c r="HC16" s="16"/>
      <c r="HD16" s="16"/>
      <c r="HE16" s="16"/>
      <c r="HF16" s="16"/>
      <c r="HG16" s="16"/>
      <c r="HH16" s="16"/>
      <c r="HI16" s="16"/>
      <c r="HJ16" s="16"/>
      <c r="HK16" s="16"/>
      <c r="HL16" s="16"/>
      <c r="HM16" s="16"/>
      <c r="HN16" s="16"/>
      <c r="HO16" s="16"/>
      <c r="HP16" s="16"/>
      <c r="HQ16" s="16"/>
      <c r="HR16" s="16"/>
      <c r="HS16" s="16"/>
      <c r="HT16" s="16"/>
      <c r="HU16" s="16"/>
      <c r="HV16" s="16"/>
      <c r="HW16" s="16"/>
      <c r="HX16" s="16"/>
      <c r="HY16" s="16"/>
      <c r="HZ16" s="16"/>
      <c r="IA16" s="16"/>
      <c r="IB16" s="16"/>
      <c r="IC16" s="16"/>
      <c r="ID16" s="16"/>
      <c r="IE16" s="16"/>
      <c r="IF16" s="16"/>
      <c r="IG16" s="16"/>
      <c r="IH16" s="16"/>
      <c r="II16" s="16"/>
      <c r="IJ16" s="16"/>
      <c r="IK16" s="16"/>
      <c r="IL16" s="16"/>
      <c r="IM16" s="16"/>
      <c r="IN16" s="16"/>
      <c r="IO16" s="16"/>
      <c r="IP16" s="16"/>
      <c r="IQ16" s="16"/>
      <c r="IR16" s="16"/>
      <c r="IS16" s="16"/>
      <c r="IT16" s="16"/>
    </row>
    <row r="17" spans="1:254" ht="24">
      <c r="A17" s="26" t="s">
        <v>196</v>
      </c>
      <c r="B17" s="27" t="s">
        <v>197</v>
      </c>
      <c r="C17" s="28">
        <v>1249703.6099999999</v>
      </c>
      <c r="D17" s="29">
        <v>1290983.4595999999</v>
      </c>
      <c r="E17" s="29">
        <v>1301033.4595999999</v>
      </c>
      <c r="F17" s="29">
        <v>1326581.2490399999</v>
      </c>
      <c r="G17" s="29">
        <v>1342261.1738399998</v>
      </c>
      <c r="H17" s="30">
        <f t="shared" si="2"/>
        <v>7.4063612443273712</v>
      </c>
      <c r="I17" s="115" t="str">
        <f t="shared" si="3"/>
        <v>ì</v>
      </c>
      <c r="J17" s="369" t="s">
        <v>534</v>
      </c>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c r="EQ17" s="16"/>
      <c r="ER17" s="16"/>
      <c r="ES17" s="16"/>
      <c r="ET17" s="16"/>
      <c r="EU17" s="16"/>
      <c r="EV17" s="16"/>
      <c r="EW17" s="16"/>
      <c r="EX17" s="16"/>
      <c r="EY17" s="16"/>
      <c r="EZ17" s="16"/>
      <c r="FA17" s="16"/>
      <c r="FB17" s="16"/>
      <c r="FC17" s="16"/>
      <c r="FD17" s="16"/>
      <c r="FE17" s="16"/>
      <c r="FF17" s="16"/>
      <c r="FG17" s="16"/>
      <c r="FH17" s="16"/>
      <c r="FI17" s="16"/>
      <c r="FJ17" s="16"/>
      <c r="FK17" s="16"/>
      <c r="FL17" s="16"/>
      <c r="FM17" s="16"/>
      <c r="FN17" s="16"/>
      <c r="FO17" s="16"/>
      <c r="FP17" s="16"/>
      <c r="FQ17" s="16"/>
      <c r="FR17" s="16"/>
      <c r="FS17" s="16"/>
      <c r="FT17" s="16"/>
      <c r="FU17" s="16"/>
      <c r="FV17" s="16"/>
      <c r="FW17" s="16"/>
      <c r="FX17" s="16"/>
      <c r="FY17" s="16"/>
      <c r="FZ17" s="16"/>
      <c r="GA17" s="16"/>
      <c r="GB17" s="16"/>
      <c r="GC17" s="16"/>
      <c r="GD17" s="16"/>
      <c r="GE17" s="16"/>
      <c r="GF17" s="16"/>
      <c r="GG17" s="16"/>
      <c r="GH17" s="16"/>
      <c r="GI17" s="16"/>
      <c r="GJ17" s="16"/>
      <c r="GK17" s="16"/>
      <c r="GL17" s="16"/>
      <c r="GM17" s="16"/>
      <c r="GN17" s="16"/>
      <c r="GO17" s="16"/>
      <c r="GP17" s="16"/>
      <c r="GQ17" s="16"/>
      <c r="GR17" s="16"/>
      <c r="GS17" s="16"/>
      <c r="GT17" s="16"/>
      <c r="GU17" s="16"/>
      <c r="GV17" s="16"/>
      <c r="GW17" s="16"/>
      <c r="GX17" s="16"/>
      <c r="GY17" s="16"/>
      <c r="GZ17" s="16"/>
      <c r="HA17" s="16"/>
      <c r="HB17" s="16"/>
      <c r="HC17" s="16"/>
      <c r="HD17" s="16"/>
      <c r="HE17" s="16"/>
      <c r="HF17" s="16"/>
      <c r="HG17" s="16"/>
      <c r="HH17" s="16"/>
      <c r="HI17" s="16"/>
      <c r="HJ17" s="16"/>
      <c r="HK17" s="16"/>
      <c r="HL17" s="16"/>
      <c r="HM17" s="16"/>
      <c r="HN17" s="16"/>
      <c r="HO17" s="16"/>
      <c r="HP17" s="16"/>
      <c r="HQ17" s="16"/>
      <c r="HR17" s="16"/>
      <c r="HS17" s="16"/>
      <c r="HT17" s="16"/>
      <c r="HU17" s="16"/>
      <c r="HV17" s="16"/>
      <c r="HW17" s="16"/>
      <c r="HX17" s="16"/>
      <c r="HY17" s="16"/>
      <c r="HZ17" s="16"/>
      <c r="IA17" s="16"/>
      <c r="IB17" s="16"/>
      <c r="IC17" s="16"/>
      <c r="ID17" s="16"/>
      <c r="IE17" s="16"/>
      <c r="IF17" s="16"/>
      <c r="IG17" s="16"/>
      <c r="IH17" s="16"/>
      <c r="II17" s="16"/>
      <c r="IJ17" s="16"/>
      <c r="IK17" s="16"/>
      <c r="IL17" s="16"/>
      <c r="IM17" s="16"/>
      <c r="IN17" s="16"/>
      <c r="IO17" s="16"/>
      <c r="IP17" s="16"/>
      <c r="IQ17" s="16"/>
      <c r="IR17" s="16"/>
      <c r="IS17" s="16"/>
      <c r="IT17" s="16"/>
    </row>
    <row r="18" spans="1:254">
      <c r="A18" s="18" t="s">
        <v>198</v>
      </c>
      <c r="B18" s="19" t="s">
        <v>199</v>
      </c>
      <c r="C18" s="20">
        <v>455825.02999999997</v>
      </c>
      <c r="D18" s="21">
        <f>462559.24-20000-10000</f>
        <v>432559.24</v>
      </c>
      <c r="E18" s="21">
        <f>452559.24-20000</f>
        <v>432559.24</v>
      </c>
      <c r="F18" s="21">
        <f>457145.766-20000</f>
        <v>437145.766</v>
      </c>
      <c r="G18" s="21">
        <f>458783.811-20000</f>
        <v>438783.81099999999</v>
      </c>
      <c r="H18" s="22">
        <f t="shared" si="2"/>
        <v>-3.7385439320872678</v>
      </c>
      <c r="I18" s="23" t="str">
        <f t="shared" si="3"/>
        <v>è</v>
      </c>
      <c r="J18" s="368" t="s">
        <v>530</v>
      </c>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c r="CM18" s="16"/>
      <c r="CN18" s="16"/>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c r="EQ18" s="16"/>
      <c r="ER18" s="16"/>
      <c r="ES18" s="16"/>
      <c r="ET18" s="16"/>
      <c r="EU18" s="16"/>
      <c r="EV18" s="16"/>
      <c r="EW18" s="16"/>
      <c r="EX18" s="16"/>
      <c r="EY18" s="16"/>
      <c r="EZ18" s="16"/>
      <c r="FA18" s="16"/>
      <c r="FB18" s="16"/>
      <c r="FC18" s="16"/>
      <c r="FD18" s="16"/>
      <c r="FE18" s="16"/>
      <c r="FF18" s="16"/>
      <c r="FG18" s="16"/>
      <c r="FH18" s="16"/>
      <c r="FI18" s="16"/>
      <c r="FJ18" s="16"/>
      <c r="FK18" s="16"/>
      <c r="FL18" s="16"/>
      <c r="FM18" s="16"/>
      <c r="FN18" s="16"/>
      <c r="FO18" s="16"/>
      <c r="FP18" s="16"/>
      <c r="FQ18" s="16"/>
      <c r="FR18" s="16"/>
      <c r="FS18" s="16"/>
      <c r="FT18" s="16"/>
      <c r="FU18" s="16"/>
      <c r="FV18" s="16"/>
      <c r="FW18" s="16"/>
      <c r="FX18" s="16"/>
      <c r="FY18" s="16"/>
      <c r="FZ18" s="16"/>
      <c r="GA18" s="16"/>
      <c r="GB18" s="16"/>
      <c r="GC18" s="16"/>
      <c r="GD18" s="16"/>
      <c r="GE18" s="16"/>
      <c r="GF18" s="16"/>
      <c r="GG18" s="16"/>
      <c r="GH18" s="16"/>
      <c r="GI18" s="16"/>
      <c r="GJ18" s="16"/>
      <c r="GK18" s="16"/>
      <c r="GL18" s="16"/>
      <c r="GM18" s="16"/>
      <c r="GN18" s="16"/>
      <c r="GO18" s="16"/>
      <c r="GP18" s="16"/>
      <c r="GQ18" s="16"/>
      <c r="GR18" s="16"/>
      <c r="GS18" s="16"/>
      <c r="GT18" s="16"/>
      <c r="GU18" s="16"/>
      <c r="GV18" s="16"/>
      <c r="GW18" s="16"/>
      <c r="GX18" s="16"/>
      <c r="GY18" s="16"/>
      <c r="GZ18" s="16"/>
      <c r="HA18" s="16"/>
      <c r="HB18" s="16"/>
      <c r="HC18" s="16"/>
      <c r="HD18" s="16"/>
      <c r="HE18" s="16"/>
      <c r="HF18" s="16"/>
      <c r="HG18" s="16"/>
      <c r="HH18" s="16"/>
      <c r="HI18" s="16"/>
      <c r="HJ18" s="16"/>
      <c r="HK18" s="16"/>
      <c r="HL18" s="16"/>
      <c r="HM18" s="16"/>
      <c r="HN18" s="16"/>
      <c r="HO18" s="16"/>
      <c r="HP18" s="16"/>
      <c r="HQ18" s="16"/>
      <c r="HR18" s="16"/>
      <c r="HS18" s="16"/>
      <c r="HT18" s="16"/>
      <c r="HU18" s="16"/>
      <c r="HV18" s="16"/>
      <c r="HW18" s="16"/>
      <c r="HX18" s="16"/>
      <c r="HY18" s="16"/>
      <c r="HZ18" s="16"/>
      <c r="IA18" s="16"/>
      <c r="IB18" s="16"/>
      <c r="IC18" s="16"/>
      <c r="ID18" s="16"/>
      <c r="IE18" s="16"/>
      <c r="IF18" s="16"/>
      <c r="IG18" s="16"/>
      <c r="IH18" s="16"/>
      <c r="II18" s="16"/>
      <c r="IJ18" s="16"/>
      <c r="IK18" s="16"/>
      <c r="IL18" s="16"/>
      <c r="IM18" s="16"/>
      <c r="IN18" s="16"/>
      <c r="IO18" s="16"/>
      <c r="IP18" s="16"/>
      <c r="IQ18" s="16"/>
      <c r="IR18" s="16"/>
      <c r="IS18" s="16"/>
      <c r="IT18" s="16"/>
    </row>
    <row r="19" spans="1:254" ht="24">
      <c r="A19" s="26" t="s">
        <v>200</v>
      </c>
      <c r="B19" s="27" t="s">
        <v>201</v>
      </c>
      <c r="C19" s="28">
        <v>364680.04</v>
      </c>
      <c r="D19" s="29">
        <v>329417.33999999997</v>
      </c>
      <c r="E19" s="29">
        <v>265310.31</v>
      </c>
      <c r="F19" s="29">
        <v>265310.31</v>
      </c>
      <c r="G19" s="29">
        <v>265310.31</v>
      </c>
      <c r="H19" s="30">
        <f t="shared" si="2"/>
        <v>-27.248469644787804</v>
      </c>
      <c r="I19" s="115" t="str">
        <f t="shared" si="3"/>
        <v>î</v>
      </c>
      <c r="J19" s="15" t="s">
        <v>128</v>
      </c>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c r="CF19" s="16"/>
      <c r="CG19" s="16"/>
      <c r="CH19" s="16"/>
      <c r="CI19" s="16"/>
      <c r="CJ19" s="16"/>
      <c r="CK19" s="16"/>
      <c r="CL19" s="16"/>
      <c r="CM19" s="16"/>
      <c r="CN19" s="16"/>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c r="EQ19" s="16"/>
      <c r="ER19" s="16"/>
      <c r="ES19" s="16"/>
      <c r="ET19" s="16"/>
      <c r="EU19" s="16"/>
      <c r="EV19" s="16"/>
      <c r="EW19" s="16"/>
      <c r="EX19" s="16"/>
      <c r="EY19" s="16"/>
      <c r="EZ19" s="16"/>
      <c r="FA19" s="16"/>
      <c r="FB19" s="16"/>
      <c r="FC19" s="16"/>
      <c r="FD19" s="16"/>
      <c r="FE19" s="16"/>
      <c r="FF19" s="16"/>
      <c r="FG19" s="16"/>
      <c r="FH19" s="16"/>
      <c r="FI19" s="16"/>
      <c r="FJ19" s="16"/>
      <c r="FK19" s="16"/>
      <c r="FL19" s="16"/>
      <c r="FM19" s="16"/>
      <c r="FN19" s="16"/>
      <c r="FO19" s="16"/>
      <c r="FP19" s="16"/>
      <c r="FQ19" s="16"/>
      <c r="FR19" s="16"/>
      <c r="FS19" s="16"/>
      <c r="FT19" s="16"/>
      <c r="FU19" s="16"/>
      <c r="FV19" s="16"/>
      <c r="FW19" s="16"/>
      <c r="FX19" s="16"/>
      <c r="FY19" s="16"/>
      <c r="FZ19" s="16"/>
      <c r="GA19" s="16"/>
      <c r="GB19" s="16"/>
      <c r="GC19" s="16"/>
      <c r="GD19" s="16"/>
      <c r="GE19" s="16"/>
      <c r="GF19" s="16"/>
      <c r="GG19" s="16"/>
      <c r="GH19" s="16"/>
      <c r="GI19" s="16"/>
      <c r="GJ19" s="16"/>
      <c r="GK19" s="16"/>
      <c r="GL19" s="16"/>
      <c r="GM19" s="16"/>
      <c r="GN19" s="16"/>
      <c r="GO19" s="16"/>
      <c r="GP19" s="16"/>
      <c r="GQ19" s="16"/>
      <c r="GR19" s="16"/>
      <c r="GS19" s="16"/>
      <c r="GT19" s="16"/>
      <c r="GU19" s="16"/>
      <c r="GV19" s="16"/>
      <c r="GW19" s="16"/>
      <c r="GX19" s="16"/>
      <c r="GY19" s="16"/>
      <c r="GZ19" s="16"/>
      <c r="HA19" s="16"/>
      <c r="HB19" s="16"/>
      <c r="HC19" s="16"/>
      <c r="HD19" s="16"/>
      <c r="HE19" s="16"/>
      <c r="HF19" s="16"/>
      <c r="HG19" s="16"/>
      <c r="HH19" s="16"/>
      <c r="HI19" s="16"/>
      <c r="HJ19" s="16"/>
      <c r="HK19" s="16"/>
      <c r="HL19" s="16"/>
      <c r="HM19" s="16"/>
      <c r="HN19" s="16"/>
      <c r="HO19" s="16"/>
      <c r="HP19" s="16"/>
      <c r="HQ19" s="16"/>
      <c r="HR19" s="16"/>
      <c r="HS19" s="16"/>
      <c r="HT19" s="16"/>
      <c r="HU19" s="16"/>
      <c r="HV19" s="16"/>
      <c r="HW19" s="16"/>
      <c r="HX19" s="16"/>
      <c r="HY19" s="16"/>
      <c r="HZ19" s="16"/>
      <c r="IA19" s="16"/>
      <c r="IB19" s="16"/>
      <c r="IC19" s="16"/>
      <c r="ID19" s="16"/>
      <c r="IE19" s="16"/>
      <c r="IF19" s="16"/>
      <c r="IG19" s="16"/>
      <c r="IH19" s="16"/>
      <c r="II19" s="16"/>
      <c r="IJ19" s="16"/>
      <c r="IK19" s="16"/>
      <c r="IL19" s="16"/>
      <c r="IM19" s="16"/>
      <c r="IN19" s="16"/>
      <c r="IO19" s="16"/>
      <c r="IP19" s="16"/>
      <c r="IQ19" s="16"/>
      <c r="IR19" s="16"/>
      <c r="IS19" s="16"/>
      <c r="IT19" s="16"/>
    </row>
    <row r="20" spans="1:254" ht="48">
      <c r="A20" s="18" t="s">
        <v>202</v>
      </c>
      <c r="B20" s="19" t="s">
        <v>203</v>
      </c>
      <c r="C20" s="20">
        <v>34674699.810000002</v>
      </c>
      <c r="D20" s="21">
        <v>34498311.743200004</v>
      </c>
      <c r="E20" s="21">
        <v>29949949.893199995</v>
      </c>
      <c r="F20" s="21">
        <v>31036521.549699999</v>
      </c>
      <c r="G20" s="21">
        <v>33663130.911300004</v>
      </c>
      <c r="H20" s="22">
        <f t="shared" si="2"/>
        <v>-2.9173111930107325</v>
      </c>
      <c r="I20" s="23" t="str">
        <f t="shared" si="3"/>
        <v>è</v>
      </c>
      <c r="J20" s="368" t="s">
        <v>539</v>
      </c>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c r="CE20" s="16"/>
      <c r="CF20" s="16"/>
      <c r="CG20" s="16"/>
      <c r="CH20" s="16"/>
      <c r="CI20" s="16"/>
      <c r="CJ20" s="16"/>
      <c r="CK20" s="16"/>
      <c r="CL20" s="16"/>
      <c r="CM20" s="16"/>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c r="EQ20" s="16"/>
      <c r="ER20" s="16"/>
      <c r="ES20" s="16"/>
      <c r="ET20" s="16"/>
      <c r="EU20" s="16"/>
      <c r="EV20" s="16"/>
      <c r="EW20" s="16"/>
      <c r="EX20" s="16"/>
      <c r="EY20" s="16"/>
      <c r="EZ20" s="16"/>
      <c r="FA20" s="16"/>
      <c r="FB20" s="16"/>
      <c r="FC20" s="16"/>
      <c r="FD20" s="16"/>
      <c r="FE20" s="16"/>
      <c r="FF20" s="16"/>
      <c r="FG20" s="16"/>
      <c r="FH20" s="16"/>
      <c r="FI20" s="16"/>
      <c r="FJ20" s="16"/>
      <c r="FK20" s="16"/>
      <c r="FL20" s="16"/>
      <c r="FM20" s="16"/>
      <c r="FN20" s="16"/>
      <c r="FO20" s="16"/>
      <c r="FP20" s="16"/>
      <c r="FQ20" s="16"/>
      <c r="FR20" s="16"/>
      <c r="FS20" s="16"/>
      <c r="FT20" s="16"/>
      <c r="FU20" s="16"/>
      <c r="FV20" s="16"/>
      <c r="FW20" s="16"/>
      <c r="FX20" s="16"/>
      <c r="FY20" s="16"/>
      <c r="FZ20" s="16"/>
      <c r="GA20" s="16"/>
      <c r="GB20" s="16"/>
      <c r="GC20" s="16"/>
      <c r="GD20" s="16"/>
      <c r="GE20" s="16"/>
      <c r="GF20" s="16"/>
      <c r="GG20" s="16"/>
      <c r="GH20" s="16"/>
      <c r="GI20" s="16"/>
      <c r="GJ20" s="16"/>
      <c r="GK20" s="16"/>
      <c r="GL20" s="16"/>
      <c r="GM20" s="16"/>
      <c r="GN20" s="16"/>
      <c r="GO20" s="16"/>
      <c r="GP20" s="16"/>
      <c r="GQ20" s="16"/>
      <c r="GR20" s="16"/>
      <c r="GS20" s="16"/>
      <c r="GT20" s="16"/>
      <c r="GU20" s="16"/>
      <c r="GV20" s="16"/>
      <c r="GW20" s="16"/>
      <c r="GX20" s="16"/>
      <c r="GY20" s="16"/>
      <c r="GZ20" s="16"/>
      <c r="HA20" s="16"/>
      <c r="HB20" s="16"/>
      <c r="HC20" s="16"/>
      <c r="HD20" s="16"/>
      <c r="HE20" s="16"/>
      <c r="HF20" s="16"/>
      <c r="HG20" s="16"/>
      <c r="HH20" s="16"/>
      <c r="HI20" s="16"/>
      <c r="HJ20" s="16"/>
      <c r="HK20" s="16"/>
      <c r="HL20" s="16"/>
      <c r="HM20" s="16"/>
      <c r="HN20" s="16"/>
      <c r="HO20" s="16"/>
      <c r="HP20" s="16"/>
      <c r="HQ20" s="16"/>
      <c r="HR20" s="16"/>
      <c r="HS20" s="16"/>
      <c r="HT20" s="16"/>
      <c r="HU20" s="16"/>
      <c r="HV20" s="16"/>
      <c r="HW20" s="16"/>
      <c r="HX20" s="16"/>
      <c r="HY20" s="16"/>
      <c r="HZ20" s="16"/>
      <c r="IA20" s="16"/>
      <c r="IB20" s="16"/>
      <c r="IC20" s="16"/>
      <c r="ID20" s="16"/>
      <c r="IE20" s="16"/>
      <c r="IF20" s="16"/>
      <c r="IG20" s="16"/>
      <c r="IH20" s="16"/>
      <c r="II20" s="16"/>
      <c r="IJ20" s="16"/>
      <c r="IK20" s="16"/>
      <c r="IL20" s="16"/>
      <c r="IM20" s="16"/>
      <c r="IN20" s="16"/>
      <c r="IO20" s="16"/>
      <c r="IP20" s="16"/>
      <c r="IQ20" s="16"/>
      <c r="IR20" s="16"/>
      <c r="IS20" s="16"/>
      <c r="IT20" s="16"/>
    </row>
    <row r="21" spans="1:254" ht="24">
      <c r="A21" s="26" t="s">
        <v>204</v>
      </c>
      <c r="B21" s="27" t="s">
        <v>205</v>
      </c>
      <c r="C21" s="28">
        <v>696320.81999999983</v>
      </c>
      <c r="D21" s="29">
        <v>732527.81</v>
      </c>
      <c r="E21" s="29">
        <v>689914.33999999985</v>
      </c>
      <c r="F21" s="29">
        <v>745475.93800000008</v>
      </c>
      <c r="G21" s="29">
        <v>749087.223</v>
      </c>
      <c r="H21" s="30">
        <f t="shared" si="2"/>
        <v>7.5778867275575976</v>
      </c>
      <c r="I21" s="115" t="str">
        <f t="shared" si="3"/>
        <v>ì</v>
      </c>
      <c r="J21" s="369" t="s">
        <v>549</v>
      </c>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c r="EQ21" s="16"/>
      <c r="ER21" s="16"/>
      <c r="ES21" s="16"/>
      <c r="ET21" s="16"/>
      <c r="EU21" s="16"/>
      <c r="EV21" s="16"/>
      <c r="EW21" s="16"/>
      <c r="EX21" s="16"/>
      <c r="EY21" s="16"/>
      <c r="EZ21" s="16"/>
      <c r="FA21" s="16"/>
      <c r="FB21" s="16"/>
      <c r="FC21" s="16"/>
      <c r="FD21" s="16"/>
      <c r="FE21" s="16"/>
      <c r="FF21" s="16"/>
      <c r="FG21" s="16"/>
      <c r="FH21" s="16"/>
      <c r="FI21" s="16"/>
      <c r="FJ21" s="16"/>
      <c r="FK21" s="16"/>
      <c r="FL21" s="16"/>
      <c r="FM21" s="16"/>
      <c r="FN21" s="16"/>
      <c r="FO21" s="16"/>
      <c r="FP21" s="16"/>
      <c r="FQ21" s="16"/>
      <c r="FR21" s="16"/>
      <c r="FS21" s="16"/>
      <c r="FT21" s="16"/>
      <c r="FU21" s="16"/>
      <c r="FV21" s="16"/>
      <c r="FW21" s="16"/>
      <c r="FX21" s="16"/>
      <c r="FY21" s="16"/>
      <c r="FZ21" s="16"/>
      <c r="GA21" s="16"/>
      <c r="GB21" s="16"/>
      <c r="GC21" s="16"/>
      <c r="GD21" s="16"/>
      <c r="GE21" s="16"/>
      <c r="GF21" s="16"/>
      <c r="GG21" s="16"/>
      <c r="GH21" s="16"/>
      <c r="GI21" s="16"/>
      <c r="GJ21" s="16"/>
      <c r="GK21" s="16"/>
      <c r="GL21" s="16"/>
      <c r="GM21" s="16"/>
      <c r="GN21" s="16"/>
      <c r="GO21" s="16"/>
      <c r="GP21" s="16"/>
      <c r="GQ21" s="16"/>
      <c r="GR21" s="16"/>
      <c r="GS21" s="16"/>
      <c r="GT21" s="16"/>
      <c r="GU21" s="16"/>
      <c r="GV21" s="16"/>
      <c r="GW21" s="16"/>
      <c r="GX21" s="16"/>
      <c r="GY21" s="16"/>
      <c r="GZ21" s="16"/>
      <c r="HA21" s="16"/>
      <c r="HB21" s="16"/>
      <c r="HC21" s="16"/>
      <c r="HD21" s="16"/>
      <c r="HE21" s="16"/>
      <c r="HF21" s="16"/>
      <c r="HG21" s="16"/>
      <c r="HH21" s="16"/>
      <c r="HI21" s="16"/>
      <c r="HJ21" s="16"/>
      <c r="HK21" s="16"/>
      <c r="HL21" s="16"/>
      <c r="HM21" s="16"/>
      <c r="HN21" s="16"/>
      <c r="HO21" s="16"/>
      <c r="HP21" s="16"/>
      <c r="HQ21" s="16"/>
      <c r="HR21" s="16"/>
      <c r="HS21" s="16"/>
      <c r="HT21" s="16"/>
      <c r="HU21" s="16"/>
      <c r="HV21" s="16"/>
      <c r="HW21" s="16"/>
      <c r="HX21" s="16"/>
      <c r="HY21" s="16"/>
      <c r="HZ21" s="16"/>
      <c r="IA21" s="16"/>
      <c r="IB21" s="16"/>
      <c r="IC21" s="16"/>
      <c r="ID21" s="16"/>
      <c r="IE21" s="16"/>
      <c r="IF21" s="16"/>
      <c r="IG21" s="16"/>
      <c r="IH21" s="16"/>
      <c r="II21" s="16"/>
      <c r="IJ21" s="16"/>
      <c r="IK21" s="16"/>
      <c r="IL21" s="16"/>
      <c r="IM21" s="16"/>
      <c r="IN21" s="16"/>
      <c r="IO21" s="16"/>
      <c r="IP21" s="16"/>
      <c r="IQ21" s="16"/>
      <c r="IR21" s="16"/>
      <c r="IS21" s="16"/>
      <c r="IT21" s="16"/>
    </row>
    <row r="22" spans="1:254" s="35" customFormat="1">
      <c r="A22" s="18" t="s">
        <v>365</v>
      </c>
      <c r="B22" s="19" t="s">
        <v>206</v>
      </c>
      <c r="C22" s="20">
        <v>2233275.0499999998</v>
      </c>
      <c r="D22" s="21">
        <v>2404550.0779999997</v>
      </c>
      <c r="E22" s="21">
        <v>2284550.0779999997</v>
      </c>
      <c r="F22" s="21">
        <v>2422907.5071999999</v>
      </c>
      <c r="G22" s="21">
        <v>2351249.4461999997</v>
      </c>
      <c r="H22" s="22">
        <f t="shared" si="2"/>
        <v>5.2825735101460083</v>
      </c>
      <c r="I22" s="23" t="str">
        <f t="shared" si="3"/>
        <v>ì</v>
      </c>
      <c r="J22" s="368" t="s">
        <v>483</v>
      </c>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c r="CF22" s="16"/>
      <c r="CG22" s="16"/>
      <c r="CH22" s="16"/>
      <c r="CI22" s="16"/>
      <c r="CJ22" s="16"/>
      <c r="CK22" s="16"/>
      <c r="CL22" s="16"/>
      <c r="CM22" s="16"/>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c r="EQ22" s="16"/>
      <c r="ER22" s="16"/>
      <c r="ES22" s="16"/>
      <c r="ET22" s="16"/>
      <c r="EU22" s="16"/>
      <c r="EV22" s="16"/>
      <c r="EW22" s="16"/>
      <c r="EX22" s="16"/>
      <c r="EY22" s="16"/>
      <c r="EZ22" s="16"/>
      <c r="FA22" s="16"/>
      <c r="FB22" s="16"/>
      <c r="FC22" s="16"/>
      <c r="FD22" s="16"/>
      <c r="FE22" s="16"/>
      <c r="FF22" s="16"/>
      <c r="FG22" s="16"/>
      <c r="FH22" s="16"/>
      <c r="FI22" s="16"/>
      <c r="FJ22" s="16"/>
      <c r="FK22" s="16"/>
      <c r="FL22" s="16"/>
      <c r="FM22" s="16"/>
      <c r="FN22" s="16"/>
      <c r="FO22" s="16"/>
      <c r="FP22" s="16"/>
      <c r="FQ22" s="16"/>
      <c r="FR22" s="16"/>
      <c r="FS22" s="16"/>
      <c r="FT22" s="16"/>
      <c r="FU22" s="16"/>
      <c r="FV22" s="16"/>
      <c r="FW22" s="16"/>
      <c r="FX22" s="16"/>
      <c r="FY22" s="16"/>
      <c r="FZ22" s="16"/>
      <c r="GA22" s="16"/>
      <c r="GB22" s="16"/>
      <c r="GC22" s="16"/>
      <c r="GD22" s="16"/>
      <c r="GE22" s="16"/>
      <c r="GF22" s="16"/>
      <c r="GG22" s="16"/>
      <c r="GH22" s="16"/>
      <c r="GI22" s="16"/>
      <c r="GJ22" s="16"/>
      <c r="GK22" s="16"/>
      <c r="GL22" s="16"/>
      <c r="GM22" s="16"/>
      <c r="GN22" s="16"/>
      <c r="GO22" s="16"/>
      <c r="GP22" s="16"/>
      <c r="GQ22" s="16"/>
      <c r="GR22" s="16"/>
      <c r="GS22" s="16"/>
      <c r="GT22" s="16"/>
      <c r="GU22" s="16"/>
      <c r="GV22" s="16"/>
      <c r="GW22" s="16"/>
      <c r="GX22" s="16"/>
      <c r="GY22" s="16"/>
      <c r="GZ22" s="16"/>
      <c r="HA22" s="16"/>
      <c r="HB22" s="16"/>
      <c r="HC22" s="16"/>
      <c r="HD22" s="16"/>
      <c r="HE22" s="16"/>
      <c r="HF22" s="16"/>
      <c r="HG22" s="16"/>
      <c r="HH22" s="16"/>
      <c r="HI22" s="16"/>
      <c r="HJ22" s="16"/>
      <c r="HK22" s="16"/>
      <c r="HL22" s="16"/>
      <c r="HM22" s="16"/>
      <c r="HN22" s="16"/>
      <c r="HO22" s="16"/>
      <c r="HP22" s="16"/>
      <c r="HQ22" s="16"/>
      <c r="HR22" s="16"/>
      <c r="HS22" s="16"/>
      <c r="HT22" s="16"/>
      <c r="HU22" s="16"/>
      <c r="HV22" s="16"/>
      <c r="HW22" s="16"/>
      <c r="HX22" s="16"/>
      <c r="HY22" s="16"/>
      <c r="HZ22" s="16"/>
      <c r="IA22" s="16"/>
      <c r="IB22" s="16"/>
      <c r="IC22" s="16"/>
      <c r="ID22" s="16"/>
      <c r="IE22" s="16"/>
      <c r="IF22" s="16"/>
      <c r="IG22" s="16"/>
      <c r="IH22" s="16"/>
      <c r="II22" s="16"/>
      <c r="IJ22" s="16"/>
      <c r="IK22" s="16"/>
      <c r="IL22" s="16"/>
      <c r="IM22" s="16"/>
      <c r="IN22" s="16"/>
      <c r="IO22" s="16"/>
      <c r="IP22" s="16"/>
      <c r="IQ22" s="16"/>
      <c r="IR22" s="16"/>
      <c r="IS22" s="16"/>
      <c r="IT22" s="16"/>
    </row>
    <row r="23" spans="1:254">
      <c r="A23" s="26" t="s">
        <v>207</v>
      </c>
      <c r="B23" s="27" t="s">
        <v>379</v>
      </c>
      <c r="C23" s="28">
        <v>1368955.5899999999</v>
      </c>
      <c r="D23" s="47">
        <v>1299978.1929000001</v>
      </c>
      <c r="E23" s="47">
        <v>1263629.8999999999</v>
      </c>
      <c r="F23" s="47">
        <v>1298892.372</v>
      </c>
      <c r="G23" s="47">
        <v>1311486.1119999997</v>
      </c>
      <c r="H23" s="30">
        <f t="shared" si="2"/>
        <v>-4.1980527651740829</v>
      </c>
      <c r="I23" s="115" t="str">
        <f t="shared" si="3"/>
        <v>è</v>
      </c>
      <c r="J23" s="50"/>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c r="EQ23" s="16"/>
      <c r="ER23" s="16"/>
      <c r="ES23" s="16"/>
      <c r="ET23" s="16"/>
      <c r="EU23" s="16"/>
      <c r="EV23" s="16"/>
      <c r="EW23" s="16"/>
      <c r="EX23" s="16"/>
      <c r="EY23" s="16"/>
      <c r="EZ23" s="16"/>
      <c r="FA23" s="16"/>
      <c r="FB23" s="16"/>
      <c r="FC23" s="16"/>
      <c r="FD23" s="16"/>
      <c r="FE23" s="16"/>
      <c r="FF23" s="16"/>
      <c r="FG23" s="16"/>
      <c r="FH23" s="16"/>
      <c r="FI23" s="16"/>
      <c r="FJ23" s="16"/>
      <c r="FK23" s="16"/>
      <c r="FL23" s="16"/>
      <c r="FM23" s="16"/>
      <c r="FN23" s="16"/>
      <c r="FO23" s="16"/>
      <c r="FP23" s="16"/>
      <c r="FQ23" s="16"/>
      <c r="FR23" s="16"/>
      <c r="FS23" s="16"/>
      <c r="FT23" s="16"/>
      <c r="FU23" s="16"/>
      <c r="FV23" s="16"/>
      <c r="FW23" s="16"/>
      <c r="FX23" s="16"/>
      <c r="FY23" s="16"/>
      <c r="FZ23" s="16"/>
      <c r="GA23" s="16"/>
      <c r="GB23" s="16"/>
      <c r="GC23" s="16"/>
      <c r="GD23" s="16"/>
      <c r="GE23" s="16"/>
      <c r="GF23" s="16"/>
      <c r="GG23" s="16"/>
      <c r="GH23" s="16"/>
      <c r="GI23" s="16"/>
      <c r="GJ23" s="16"/>
      <c r="GK23" s="16"/>
      <c r="GL23" s="16"/>
      <c r="GM23" s="16"/>
      <c r="GN23" s="16"/>
      <c r="GO23" s="16"/>
      <c r="GP23" s="16"/>
      <c r="GQ23" s="16"/>
      <c r="GR23" s="16"/>
      <c r="GS23" s="16"/>
      <c r="GT23" s="16"/>
      <c r="GU23" s="16"/>
      <c r="GV23" s="16"/>
      <c r="GW23" s="16"/>
      <c r="GX23" s="16"/>
      <c r="GY23" s="16"/>
      <c r="GZ23" s="16"/>
      <c r="HA23" s="16"/>
      <c r="HB23" s="16"/>
      <c r="HC23" s="16"/>
      <c r="HD23" s="16"/>
      <c r="HE23" s="16"/>
      <c r="HF23" s="16"/>
      <c r="HG23" s="16"/>
      <c r="HH23" s="16"/>
      <c r="HI23" s="16"/>
      <c r="HJ23" s="16"/>
      <c r="HK23" s="16"/>
      <c r="HL23" s="16"/>
      <c r="HM23" s="16"/>
      <c r="HN23" s="16"/>
      <c r="HO23" s="16"/>
      <c r="HP23" s="16"/>
      <c r="HQ23" s="16"/>
      <c r="HR23" s="16"/>
      <c r="HS23" s="16"/>
      <c r="HT23" s="16"/>
      <c r="HU23" s="16"/>
      <c r="HV23" s="16"/>
      <c r="HW23" s="16"/>
      <c r="HX23" s="16"/>
      <c r="HY23" s="16"/>
      <c r="HZ23" s="16"/>
      <c r="IA23" s="16"/>
      <c r="IB23" s="16"/>
      <c r="IC23" s="16"/>
      <c r="ID23" s="16"/>
      <c r="IE23" s="16"/>
      <c r="IF23" s="16"/>
      <c r="IG23" s="16"/>
      <c r="IH23" s="16"/>
      <c r="II23" s="16"/>
      <c r="IJ23" s="16"/>
      <c r="IK23" s="16"/>
      <c r="IL23" s="16"/>
      <c r="IM23" s="16"/>
      <c r="IN23" s="16"/>
      <c r="IO23" s="16"/>
      <c r="IP23" s="16"/>
      <c r="IQ23" s="16"/>
      <c r="IR23" s="16"/>
      <c r="IS23" s="16"/>
      <c r="IT23" s="16"/>
    </row>
    <row r="24" spans="1:254">
      <c r="A24" s="18" t="s">
        <v>208</v>
      </c>
      <c r="B24" s="19" t="s">
        <v>209</v>
      </c>
      <c r="C24" s="20">
        <v>191443.96</v>
      </c>
      <c r="D24" s="21">
        <v>324525.11000000004</v>
      </c>
      <c r="E24" s="21">
        <v>322387.11000000004</v>
      </c>
      <c r="F24" s="21">
        <v>326201.36800000002</v>
      </c>
      <c r="G24" s="21">
        <v>327563.603</v>
      </c>
      <c r="H24" s="22">
        <f t="shared" si="2"/>
        <v>71.101560477541312</v>
      </c>
      <c r="I24" s="23" t="str">
        <f t="shared" si="3"/>
        <v>ì</v>
      </c>
      <c r="J24" s="368" t="s">
        <v>484</v>
      </c>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c r="EQ24" s="16"/>
      <c r="ER24" s="16"/>
      <c r="ES24" s="16"/>
      <c r="ET24" s="16"/>
      <c r="EU24" s="16"/>
      <c r="EV24" s="16"/>
      <c r="EW24" s="16"/>
      <c r="EX24" s="16"/>
      <c r="EY24" s="16"/>
      <c r="EZ24" s="16"/>
      <c r="FA24" s="16"/>
      <c r="FB24" s="16"/>
      <c r="FC24" s="16"/>
      <c r="FD24" s="16"/>
      <c r="FE24" s="16"/>
      <c r="FF24" s="16"/>
      <c r="FG24" s="16"/>
      <c r="FH24" s="16"/>
      <c r="FI24" s="16"/>
      <c r="FJ24" s="16"/>
      <c r="FK24" s="16"/>
      <c r="FL24" s="16"/>
      <c r="FM24" s="16"/>
      <c r="FN24" s="16"/>
      <c r="FO24" s="16"/>
      <c r="FP24" s="16"/>
      <c r="FQ24" s="16"/>
      <c r="FR24" s="16"/>
      <c r="FS24" s="16"/>
      <c r="FT24" s="16"/>
      <c r="FU24" s="16"/>
      <c r="FV24" s="16"/>
      <c r="FW24" s="16"/>
      <c r="FX24" s="16"/>
      <c r="FY24" s="16"/>
      <c r="FZ24" s="16"/>
      <c r="GA24" s="16"/>
      <c r="GB24" s="16"/>
      <c r="GC24" s="16"/>
      <c r="GD24" s="16"/>
      <c r="GE24" s="16"/>
      <c r="GF24" s="16"/>
      <c r="GG24" s="16"/>
      <c r="GH24" s="16"/>
      <c r="GI24" s="16"/>
      <c r="GJ24" s="16"/>
      <c r="GK24" s="16"/>
      <c r="GL24" s="16"/>
      <c r="GM24" s="16"/>
      <c r="GN24" s="16"/>
      <c r="GO24" s="16"/>
      <c r="GP24" s="16"/>
      <c r="GQ24" s="16"/>
      <c r="GR24" s="16"/>
      <c r="GS24" s="16"/>
      <c r="GT24" s="16"/>
      <c r="GU24" s="16"/>
      <c r="GV24" s="16"/>
      <c r="GW24" s="16"/>
      <c r="GX24" s="16"/>
      <c r="GY24" s="16"/>
      <c r="GZ24" s="16"/>
      <c r="HA24" s="16"/>
      <c r="HB24" s="16"/>
      <c r="HC24" s="16"/>
      <c r="HD24" s="16"/>
      <c r="HE24" s="16"/>
      <c r="HF24" s="16"/>
      <c r="HG24" s="16"/>
      <c r="HH24" s="16"/>
      <c r="HI24" s="16"/>
      <c r="HJ24" s="16"/>
      <c r="HK24" s="16"/>
      <c r="HL24" s="16"/>
      <c r="HM24" s="16"/>
      <c r="HN24" s="16"/>
      <c r="HO24" s="16"/>
      <c r="HP24" s="16"/>
      <c r="HQ24" s="16"/>
      <c r="HR24" s="16"/>
      <c r="HS24" s="16"/>
      <c r="HT24" s="16"/>
      <c r="HU24" s="16"/>
      <c r="HV24" s="16"/>
      <c r="HW24" s="16"/>
      <c r="HX24" s="16"/>
      <c r="HY24" s="16"/>
      <c r="HZ24" s="16"/>
      <c r="IA24" s="16"/>
      <c r="IB24" s="16"/>
      <c r="IC24" s="16"/>
      <c r="ID24" s="16"/>
      <c r="IE24" s="16"/>
      <c r="IF24" s="16"/>
      <c r="IG24" s="16"/>
      <c r="IH24" s="16"/>
      <c r="II24" s="16"/>
      <c r="IJ24" s="16"/>
      <c r="IK24" s="16"/>
      <c r="IL24" s="16"/>
      <c r="IM24" s="16"/>
      <c r="IN24" s="16"/>
      <c r="IO24" s="16"/>
      <c r="IP24" s="16"/>
      <c r="IQ24" s="16"/>
      <c r="IR24" s="16"/>
      <c r="IS24" s="16"/>
      <c r="IT24" s="16"/>
    </row>
    <row r="25" spans="1:254">
      <c r="A25" s="26" t="s">
        <v>210</v>
      </c>
      <c r="B25" s="27" t="s">
        <v>380</v>
      </c>
      <c r="C25" s="28">
        <v>377433.78</v>
      </c>
      <c r="D25" s="29">
        <v>375397.66380000004</v>
      </c>
      <c r="E25" s="29">
        <v>371121.66380000004</v>
      </c>
      <c r="F25" s="29">
        <v>375081.65312000003</v>
      </c>
      <c r="G25" s="29">
        <v>376504.93502000003</v>
      </c>
      <c r="H25" s="30">
        <f t="shared" si="2"/>
        <v>-0.24609481959987534</v>
      </c>
      <c r="I25" s="115" t="str">
        <f t="shared" si="3"/>
        <v>è</v>
      </c>
      <c r="J25" s="15"/>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c r="DN25" s="16"/>
      <c r="DO25" s="16"/>
      <c r="DP25" s="16"/>
      <c r="DQ25" s="16"/>
      <c r="DR25" s="16"/>
      <c r="DS25" s="16"/>
      <c r="DT25" s="16"/>
      <c r="DU25" s="16"/>
      <c r="DV25" s="16"/>
      <c r="DW25" s="16"/>
      <c r="DX25" s="16"/>
      <c r="DY25" s="16"/>
      <c r="DZ25" s="16"/>
      <c r="EA25" s="16"/>
      <c r="EB25" s="16"/>
      <c r="EC25" s="16"/>
      <c r="ED25" s="16"/>
      <c r="EE25" s="16"/>
      <c r="EF25" s="16"/>
      <c r="EG25" s="16"/>
      <c r="EH25" s="16"/>
      <c r="EI25" s="16"/>
      <c r="EJ25" s="16"/>
      <c r="EK25" s="16"/>
      <c r="EL25" s="16"/>
      <c r="EM25" s="16"/>
      <c r="EN25" s="16"/>
      <c r="EO25" s="16"/>
      <c r="EP25" s="16"/>
      <c r="EQ25" s="16"/>
      <c r="ER25" s="16"/>
      <c r="ES25" s="16"/>
      <c r="ET25" s="16"/>
      <c r="EU25" s="16"/>
      <c r="EV25" s="16"/>
      <c r="EW25" s="16"/>
      <c r="EX25" s="16"/>
      <c r="EY25" s="16"/>
      <c r="EZ25" s="16"/>
      <c r="FA25" s="16"/>
      <c r="FB25" s="16"/>
      <c r="FC25" s="16"/>
      <c r="FD25" s="16"/>
      <c r="FE25" s="16"/>
      <c r="FF25" s="16"/>
      <c r="FG25" s="16"/>
      <c r="FH25" s="16"/>
      <c r="FI25" s="16"/>
      <c r="FJ25" s="16"/>
      <c r="FK25" s="16"/>
      <c r="FL25" s="16"/>
      <c r="FM25" s="16"/>
      <c r="FN25" s="16"/>
      <c r="FO25" s="16"/>
      <c r="FP25" s="16"/>
      <c r="FQ25" s="16"/>
      <c r="FR25" s="16"/>
      <c r="FS25" s="16"/>
      <c r="FT25" s="16"/>
      <c r="FU25" s="16"/>
      <c r="FV25" s="16"/>
      <c r="FW25" s="16"/>
      <c r="FX25" s="16"/>
      <c r="FY25" s="16"/>
      <c r="FZ25" s="16"/>
      <c r="GA25" s="16"/>
      <c r="GB25" s="16"/>
      <c r="GC25" s="16"/>
      <c r="GD25" s="16"/>
      <c r="GE25" s="16"/>
      <c r="GF25" s="16"/>
      <c r="GG25" s="16"/>
      <c r="GH25" s="16"/>
      <c r="GI25" s="16"/>
      <c r="GJ25" s="16"/>
      <c r="GK25" s="16"/>
      <c r="GL25" s="16"/>
      <c r="GM25" s="16"/>
      <c r="GN25" s="16"/>
      <c r="GO25" s="16"/>
      <c r="GP25" s="16"/>
      <c r="GQ25" s="16"/>
      <c r="GR25" s="16"/>
      <c r="GS25" s="16"/>
      <c r="GT25" s="16"/>
      <c r="GU25" s="16"/>
      <c r="GV25" s="16"/>
      <c r="GW25" s="16"/>
      <c r="GX25" s="16"/>
      <c r="GY25" s="16"/>
      <c r="GZ25" s="16"/>
      <c r="HA25" s="16"/>
      <c r="HB25" s="16"/>
      <c r="HC25" s="16"/>
      <c r="HD25" s="16"/>
      <c r="HE25" s="16"/>
      <c r="HF25" s="16"/>
      <c r="HG25" s="16"/>
      <c r="HH25" s="16"/>
      <c r="HI25" s="16"/>
      <c r="HJ25" s="16"/>
      <c r="HK25" s="16"/>
      <c r="HL25" s="16"/>
      <c r="HM25" s="16"/>
      <c r="HN25" s="16"/>
      <c r="HO25" s="16"/>
      <c r="HP25" s="16"/>
      <c r="HQ25" s="16"/>
      <c r="HR25" s="16"/>
      <c r="HS25" s="16"/>
      <c r="HT25" s="16"/>
      <c r="HU25" s="16"/>
      <c r="HV25" s="16"/>
      <c r="HW25" s="16"/>
      <c r="HX25" s="16"/>
      <c r="HY25" s="16"/>
      <c r="HZ25" s="16"/>
      <c r="IA25" s="16"/>
      <c r="IB25" s="16"/>
      <c r="IC25" s="16"/>
      <c r="ID25" s="16"/>
      <c r="IE25" s="16"/>
      <c r="IF25" s="16"/>
      <c r="IG25" s="16"/>
      <c r="IH25" s="16"/>
      <c r="II25" s="16"/>
      <c r="IJ25" s="16"/>
      <c r="IK25" s="16"/>
      <c r="IL25" s="16"/>
      <c r="IM25" s="16"/>
      <c r="IN25" s="16"/>
      <c r="IO25" s="16"/>
      <c r="IP25" s="16"/>
      <c r="IQ25" s="16"/>
      <c r="IR25" s="16"/>
      <c r="IS25" s="16"/>
      <c r="IT25" s="16"/>
    </row>
    <row r="26" spans="1:254" ht="24">
      <c r="A26" s="51" t="s">
        <v>212</v>
      </c>
      <c r="B26" s="52" t="s">
        <v>213</v>
      </c>
      <c r="C26" s="53">
        <v>4504188.7499999991</v>
      </c>
      <c r="D26" s="54">
        <v>4431931.8416000009</v>
      </c>
      <c r="E26" s="54">
        <v>4569533.8316000002</v>
      </c>
      <c r="F26" s="54">
        <v>4604777.9798400002</v>
      </c>
      <c r="G26" s="54">
        <v>4368608.9156400003</v>
      </c>
      <c r="H26" s="55">
        <f t="shared" si="2"/>
        <v>-3.0100833221076471</v>
      </c>
      <c r="I26" s="131" t="str">
        <f t="shared" si="3"/>
        <v>è</v>
      </c>
      <c r="J26" s="370" t="s">
        <v>531</v>
      </c>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c r="EM26" s="16"/>
      <c r="EN26" s="16"/>
      <c r="EO26" s="16"/>
      <c r="EP26" s="16"/>
      <c r="EQ26" s="16"/>
      <c r="ER26" s="16"/>
      <c r="ES26" s="16"/>
      <c r="ET26" s="16"/>
      <c r="EU26" s="16"/>
      <c r="EV26" s="16"/>
      <c r="EW26" s="16"/>
      <c r="EX26" s="16"/>
      <c r="EY26" s="16"/>
      <c r="EZ26" s="16"/>
      <c r="FA26" s="16"/>
      <c r="FB26" s="16"/>
      <c r="FC26" s="16"/>
      <c r="FD26" s="16"/>
      <c r="FE26" s="16"/>
      <c r="FF26" s="16"/>
      <c r="FG26" s="16"/>
      <c r="FH26" s="16"/>
      <c r="FI26" s="16"/>
      <c r="FJ26" s="16"/>
      <c r="FK26" s="16"/>
      <c r="FL26" s="16"/>
      <c r="FM26" s="16"/>
      <c r="FN26" s="16"/>
      <c r="FO26" s="16"/>
      <c r="FP26" s="16"/>
      <c r="FQ26" s="16"/>
      <c r="FR26" s="16"/>
      <c r="FS26" s="16"/>
      <c r="FT26" s="16"/>
      <c r="FU26" s="16"/>
      <c r="FV26" s="16"/>
      <c r="FW26" s="16"/>
      <c r="FX26" s="16"/>
      <c r="FY26" s="16"/>
      <c r="FZ26" s="16"/>
      <c r="GA26" s="16"/>
      <c r="GB26" s="16"/>
      <c r="GC26" s="16"/>
      <c r="GD26" s="16"/>
      <c r="GE26" s="16"/>
      <c r="GF26" s="16"/>
      <c r="GG26" s="16"/>
      <c r="GH26" s="16"/>
      <c r="GI26" s="16"/>
      <c r="GJ26" s="16"/>
      <c r="GK26" s="16"/>
      <c r="GL26" s="16"/>
      <c r="GM26" s="16"/>
      <c r="GN26" s="16"/>
      <c r="GO26" s="16"/>
      <c r="GP26" s="16"/>
      <c r="GQ26" s="16"/>
      <c r="GR26" s="16"/>
      <c r="GS26" s="16"/>
      <c r="GT26" s="16"/>
      <c r="GU26" s="16"/>
      <c r="GV26" s="16"/>
      <c r="GW26" s="16"/>
      <c r="GX26" s="16"/>
      <c r="GY26" s="16"/>
      <c r="GZ26" s="16"/>
      <c r="HA26" s="16"/>
      <c r="HB26" s="16"/>
      <c r="HC26" s="16"/>
      <c r="HD26" s="16"/>
      <c r="HE26" s="16"/>
      <c r="HF26" s="16"/>
      <c r="HG26" s="16"/>
      <c r="HH26" s="16"/>
      <c r="HI26" s="16"/>
      <c r="HJ26" s="16"/>
      <c r="HK26" s="16"/>
      <c r="HL26" s="16"/>
      <c r="HM26" s="16"/>
      <c r="HN26" s="16"/>
      <c r="HO26" s="16"/>
      <c r="HP26" s="16"/>
      <c r="HQ26" s="16"/>
      <c r="HR26" s="16"/>
      <c r="HS26" s="16"/>
      <c r="HT26" s="16"/>
      <c r="HU26" s="16"/>
      <c r="HV26" s="16"/>
      <c r="HW26" s="16"/>
      <c r="HX26" s="16"/>
      <c r="HY26" s="16"/>
      <c r="HZ26" s="16"/>
      <c r="IA26" s="16"/>
      <c r="IB26" s="16"/>
      <c r="IC26" s="16"/>
      <c r="ID26" s="16"/>
      <c r="IE26" s="16"/>
      <c r="IF26" s="16"/>
      <c r="IG26" s="16"/>
      <c r="IH26" s="16"/>
      <c r="II26" s="16"/>
      <c r="IJ26" s="16"/>
      <c r="IK26" s="16"/>
      <c r="IL26" s="16"/>
      <c r="IM26" s="16"/>
      <c r="IN26" s="16"/>
      <c r="IO26" s="16"/>
      <c r="IP26" s="16"/>
      <c r="IQ26" s="16"/>
      <c r="IR26" s="16"/>
      <c r="IS26" s="16"/>
      <c r="IT26" s="16"/>
    </row>
    <row r="27" spans="1:254">
      <c r="A27" s="44"/>
      <c r="B27" s="45"/>
      <c r="C27" s="46"/>
      <c r="D27" s="47"/>
      <c r="E27" s="47"/>
      <c r="F27" s="47"/>
      <c r="G27" s="47"/>
      <c r="H27" s="48"/>
      <c r="I27" s="49"/>
      <c r="J27" s="50"/>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c r="DN27" s="16"/>
      <c r="DO27" s="16"/>
      <c r="DP27" s="16"/>
      <c r="DQ27" s="16"/>
      <c r="DR27" s="16"/>
      <c r="DS27" s="16"/>
      <c r="DT27" s="16"/>
      <c r="DU27" s="16"/>
      <c r="DV27" s="16"/>
      <c r="DW27" s="16"/>
      <c r="DX27" s="16"/>
      <c r="DY27" s="16"/>
      <c r="DZ27" s="16"/>
      <c r="EA27" s="16"/>
      <c r="EB27" s="16"/>
      <c r="EC27" s="16"/>
      <c r="ED27" s="16"/>
      <c r="EE27" s="16"/>
      <c r="EF27" s="16"/>
      <c r="EG27" s="16"/>
      <c r="EH27" s="16"/>
      <c r="EI27" s="16"/>
      <c r="EJ27" s="16"/>
      <c r="EK27" s="16"/>
      <c r="EL27" s="16"/>
      <c r="EM27" s="16"/>
      <c r="EN27" s="16"/>
      <c r="EO27" s="16"/>
      <c r="EP27" s="16"/>
      <c r="EQ27" s="16"/>
      <c r="ER27" s="16"/>
      <c r="ES27" s="16"/>
      <c r="ET27" s="16"/>
      <c r="EU27" s="16"/>
      <c r="EV27" s="16"/>
      <c r="EW27" s="16"/>
      <c r="EX27" s="16"/>
      <c r="EY27" s="16"/>
      <c r="EZ27" s="16"/>
      <c r="FA27" s="16"/>
      <c r="FB27" s="16"/>
      <c r="FC27" s="16"/>
      <c r="FD27" s="16"/>
      <c r="FE27" s="16"/>
      <c r="FF27" s="16"/>
      <c r="FG27" s="16"/>
      <c r="FH27" s="16"/>
      <c r="FI27" s="16"/>
      <c r="FJ27" s="16"/>
      <c r="FK27" s="16"/>
      <c r="FL27" s="16"/>
      <c r="FM27" s="16"/>
      <c r="FN27" s="16"/>
      <c r="FO27" s="16"/>
      <c r="FP27" s="16"/>
      <c r="FQ27" s="16"/>
      <c r="FR27" s="16"/>
      <c r="FS27" s="16"/>
      <c r="FT27" s="16"/>
      <c r="FU27" s="16"/>
      <c r="FV27" s="16"/>
      <c r="FW27" s="16"/>
      <c r="FX27" s="16"/>
      <c r="FY27" s="16"/>
      <c r="FZ27" s="16"/>
      <c r="GA27" s="16"/>
      <c r="GB27" s="16"/>
      <c r="GC27" s="16"/>
      <c r="GD27" s="16"/>
      <c r="GE27" s="16"/>
      <c r="GF27" s="16"/>
      <c r="GG27" s="16"/>
      <c r="GH27" s="16"/>
      <c r="GI27" s="16"/>
      <c r="GJ27" s="16"/>
      <c r="GK27" s="16"/>
      <c r="GL27" s="16"/>
      <c r="GM27" s="16"/>
      <c r="GN27" s="16"/>
      <c r="GO27" s="16"/>
      <c r="GP27" s="16"/>
      <c r="GQ27" s="16"/>
      <c r="GR27" s="16"/>
      <c r="GS27" s="16"/>
      <c r="GT27" s="16"/>
      <c r="GU27" s="16"/>
      <c r="GV27" s="16"/>
      <c r="GW27" s="16"/>
      <c r="GX27" s="16"/>
      <c r="GY27" s="16"/>
      <c r="GZ27" s="16"/>
      <c r="HA27" s="16"/>
      <c r="HB27" s="16"/>
      <c r="HC27" s="16"/>
      <c r="HD27" s="16"/>
      <c r="HE27" s="16"/>
      <c r="HF27" s="16"/>
      <c r="HG27" s="16"/>
      <c r="HH27" s="16"/>
      <c r="HI27" s="16"/>
      <c r="HJ27" s="16"/>
      <c r="HK27" s="16"/>
      <c r="HL27" s="16"/>
      <c r="HM27" s="16"/>
      <c r="HN27" s="16"/>
      <c r="HO27" s="16"/>
      <c r="HP27" s="16"/>
      <c r="HQ27" s="16"/>
      <c r="HR27" s="16"/>
      <c r="HS27" s="16"/>
      <c r="HT27" s="16"/>
      <c r="HU27" s="16"/>
      <c r="HV27" s="16"/>
      <c r="HW27" s="16"/>
      <c r="HX27" s="16"/>
      <c r="HY27" s="16"/>
      <c r="HZ27" s="16"/>
      <c r="IA27" s="16"/>
      <c r="IB27" s="16"/>
      <c r="IC27" s="16"/>
      <c r="ID27" s="16"/>
      <c r="IE27" s="16"/>
      <c r="IF27" s="16"/>
      <c r="IG27" s="16"/>
      <c r="IH27" s="16"/>
      <c r="II27" s="16"/>
      <c r="IJ27" s="16"/>
      <c r="IK27" s="16"/>
      <c r="IL27" s="16"/>
      <c r="IM27" s="16"/>
      <c r="IN27" s="16"/>
      <c r="IO27" s="16"/>
      <c r="IP27" s="16"/>
      <c r="IQ27" s="16"/>
      <c r="IR27" s="16"/>
      <c r="IS27" s="16"/>
      <c r="IT27" s="16"/>
    </row>
    <row r="28" spans="1:254" ht="24" customHeight="1">
      <c r="A28" s="39"/>
      <c r="B28" s="40" t="s">
        <v>214</v>
      </c>
      <c r="C28" s="41">
        <f>SUM(C16:C26)</f>
        <v>47943764.710000001</v>
      </c>
      <c r="D28" s="41">
        <f>SUM(D16:D26)</f>
        <v>47876376.703000009</v>
      </c>
      <c r="E28" s="41">
        <f>SUM(E16:E26)</f>
        <v>43073483.790100001</v>
      </c>
      <c r="F28" s="41">
        <f>SUM(F16:F26)</f>
        <v>44478355.472260013</v>
      </c>
      <c r="G28" s="41">
        <f>SUM(G16:G26)</f>
        <v>46839148.297309995</v>
      </c>
      <c r="H28" s="42">
        <f>SUM(G28/C28*100-100)</f>
        <v>-2.3039834676553994</v>
      </c>
      <c r="I28" s="43"/>
      <c r="J28" s="77"/>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c r="DN28" s="16"/>
      <c r="DO28" s="16"/>
      <c r="DP28" s="16"/>
      <c r="DQ28" s="16"/>
      <c r="DR28" s="16"/>
      <c r="DS28" s="16"/>
      <c r="DT28" s="16"/>
      <c r="DU28" s="16"/>
      <c r="DV28" s="16"/>
      <c r="DW28" s="16"/>
      <c r="DX28" s="16"/>
      <c r="DY28" s="16"/>
      <c r="DZ28" s="16"/>
      <c r="EA28" s="16"/>
      <c r="EB28" s="16"/>
      <c r="EC28" s="16"/>
      <c r="ED28" s="16"/>
      <c r="EE28" s="16"/>
      <c r="EF28" s="16"/>
      <c r="EG28" s="16"/>
      <c r="EH28" s="16"/>
      <c r="EI28" s="16"/>
      <c r="EJ28" s="16"/>
      <c r="EK28" s="16"/>
      <c r="EL28" s="16"/>
      <c r="EM28" s="16"/>
      <c r="EN28" s="16"/>
      <c r="EO28" s="16"/>
      <c r="EP28" s="16"/>
      <c r="EQ28" s="16"/>
      <c r="ER28" s="16"/>
      <c r="ES28" s="16"/>
      <c r="ET28" s="16"/>
      <c r="EU28" s="16"/>
      <c r="EV28" s="16"/>
      <c r="EW28" s="16"/>
      <c r="EX28" s="16"/>
      <c r="EY28" s="16"/>
      <c r="EZ28" s="16"/>
      <c r="FA28" s="16"/>
      <c r="FB28" s="16"/>
      <c r="FC28" s="16"/>
      <c r="FD28" s="16"/>
      <c r="FE28" s="16"/>
      <c r="FF28" s="16"/>
      <c r="FG28" s="16"/>
      <c r="FH28" s="16"/>
      <c r="FI28" s="16"/>
      <c r="FJ28" s="16"/>
      <c r="FK28" s="16"/>
      <c r="FL28" s="16"/>
      <c r="FM28" s="16"/>
      <c r="FN28" s="16"/>
      <c r="FO28" s="16"/>
      <c r="FP28" s="16"/>
      <c r="FQ28" s="16"/>
      <c r="FR28" s="16"/>
      <c r="FS28" s="16"/>
      <c r="FT28" s="16"/>
      <c r="FU28" s="16"/>
      <c r="FV28" s="16"/>
      <c r="FW28" s="16"/>
      <c r="FX28" s="16"/>
      <c r="FY28" s="16"/>
      <c r="FZ28" s="16"/>
      <c r="GA28" s="16"/>
      <c r="GB28" s="16"/>
      <c r="GC28" s="16"/>
      <c r="GD28" s="16"/>
      <c r="GE28" s="16"/>
      <c r="GF28" s="16"/>
      <c r="GG28" s="16"/>
      <c r="GH28" s="16"/>
      <c r="GI28" s="16"/>
      <c r="GJ28" s="16"/>
      <c r="GK28" s="16"/>
      <c r="GL28" s="16"/>
      <c r="GM28" s="16"/>
      <c r="GN28" s="16"/>
      <c r="GO28" s="16"/>
      <c r="GP28" s="16"/>
      <c r="GQ28" s="16"/>
      <c r="GR28" s="16"/>
      <c r="GS28" s="16"/>
      <c r="GT28" s="16"/>
      <c r="GU28" s="16"/>
      <c r="GV28" s="16"/>
      <c r="GW28" s="16"/>
      <c r="GX28" s="16"/>
      <c r="GY28" s="16"/>
      <c r="GZ28" s="16"/>
      <c r="HA28" s="16"/>
      <c r="HB28" s="16"/>
      <c r="HC28" s="16"/>
      <c r="HD28" s="16"/>
      <c r="HE28" s="16"/>
      <c r="HF28" s="16"/>
      <c r="HG28" s="16"/>
      <c r="HH28" s="16"/>
      <c r="HI28" s="16"/>
      <c r="HJ28" s="16"/>
      <c r="HK28" s="16"/>
      <c r="HL28" s="16"/>
      <c r="HM28" s="16"/>
      <c r="HN28" s="16"/>
      <c r="HO28" s="16"/>
      <c r="HP28" s="16"/>
      <c r="HQ28" s="16"/>
      <c r="HR28" s="16"/>
      <c r="HS28" s="16"/>
      <c r="HT28" s="16"/>
      <c r="HU28" s="16"/>
      <c r="HV28" s="16"/>
      <c r="HW28" s="16"/>
      <c r="HX28" s="16"/>
      <c r="HY28" s="16"/>
      <c r="HZ28" s="16"/>
      <c r="IA28" s="16"/>
      <c r="IB28" s="16"/>
      <c r="IC28" s="16"/>
      <c r="ID28" s="16"/>
      <c r="IE28" s="16"/>
      <c r="IF28" s="16"/>
      <c r="IG28" s="16"/>
      <c r="IH28" s="16"/>
      <c r="II28" s="16"/>
      <c r="IJ28" s="16"/>
      <c r="IK28" s="16"/>
      <c r="IL28" s="16"/>
      <c r="IM28" s="16"/>
      <c r="IN28" s="16"/>
      <c r="IO28" s="16"/>
      <c r="IP28" s="16"/>
      <c r="IQ28" s="16"/>
      <c r="IR28" s="16"/>
      <c r="IS28" s="16"/>
      <c r="IT28" s="16"/>
    </row>
    <row r="29" spans="1:254" ht="12" customHeight="1">
      <c r="A29" s="64"/>
      <c r="B29" s="64"/>
      <c r="C29" s="65"/>
      <c r="D29" s="66"/>
      <c r="E29" s="66"/>
      <c r="F29" s="66"/>
      <c r="G29" s="66"/>
      <c r="H29" s="67"/>
      <c r="I29" s="68"/>
      <c r="J29" s="69"/>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c r="EM29" s="16"/>
      <c r="EN29" s="16"/>
      <c r="EO29" s="16"/>
      <c r="EP29" s="16"/>
      <c r="EQ29" s="16"/>
      <c r="ER29" s="16"/>
      <c r="ES29" s="16"/>
      <c r="ET29" s="16"/>
      <c r="EU29" s="16"/>
      <c r="EV29" s="16"/>
      <c r="EW29" s="16"/>
      <c r="EX29" s="16"/>
      <c r="EY29" s="16"/>
      <c r="EZ29" s="16"/>
      <c r="FA29" s="16"/>
      <c r="FB29" s="16"/>
      <c r="FC29" s="16"/>
      <c r="FD29" s="16"/>
      <c r="FE29" s="16"/>
      <c r="FF29" s="16"/>
      <c r="FG29" s="16"/>
      <c r="FH29" s="16"/>
      <c r="FI29" s="16"/>
      <c r="FJ29" s="16"/>
      <c r="FK29" s="16"/>
      <c r="FL29" s="16"/>
      <c r="FM29" s="16"/>
      <c r="FN29" s="16"/>
      <c r="FO29" s="16"/>
      <c r="FP29" s="16"/>
      <c r="FQ29" s="16"/>
      <c r="FR29" s="16"/>
      <c r="FS29" s="16"/>
      <c r="FT29" s="16"/>
      <c r="FU29" s="16"/>
      <c r="FV29" s="16"/>
      <c r="FW29" s="16"/>
      <c r="FX29" s="16"/>
      <c r="FY29" s="16"/>
      <c r="FZ29" s="16"/>
      <c r="GA29" s="16"/>
      <c r="GB29" s="16"/>
      <c r="GC29" s="16"/>
      <c r="GD29" s="16"/>
      <c r="GE29" s="16"/>
      <c r="GF29" s="16"/>
      <c r="GG29" s="16"/>
      <c r="GH29" s="16"/>
      <c r="GI29" s="16"/>
      <c r="GJ29" s="16"/>
      <c r="GK29" s="16"/>
      <c r="GL29" s="16"/>
      <c r="GM29" s="16"/>
      <c r="GN29" s="16"/>
      <c r="GO29" s="16"/>
      <c r="GP29" s="16"/>
      <c r="GQ29" s="16"/>
      <c r="GR29" s="16"/>
      <c r="GS29" s="16"/>
      <c r="GT29" s="16"/>
      <c r="GU29" s="16"/>
      <c r="GV29" s="16"/>
      <c r="GW29" s="16"/>
      <c r="GX29" s="16"/>
      <c r="GY29" s="16"/>
      <c r="GZ29" s="16"/>
      <c r="HA29" s="16"/>
      <c r="HB29" s="16"/>
      <c r="HC29" s="16"/>
      <c r="HD29" s="16"/>
      <c r="HE29" s="16"/>
      <c r="HF29" s="16"/>
      <c r="HG29" s="16"/>
      <c r="HH29" s="16"/>
      <c r="HI29" s="16"/>
      <c r="HJ29" s="16"/>
      <c r="HK29" s="16"/>
      <c r="HL29" s="16"/>
      <c r="HM29" s="16"/>
      <c r="HN29" s="16"/>
      <c r="HO29" s="16"/>
      <c r="HP29" s="16"/>
      <c r="HQ29" s="16"/>
      <c r="HR29" s="16"/>
      <c r="HS29" s="16"/>
      <c r="HT29" s="16"/>
      <c r="HU29" s="16"/>
      <c r="HV29" s="16"/>
      <c r="HW29" s="16"/>
      <c r="HX29" s="16"/>
      <c r="HY29" s="16"/>
      <c r="HZ29" s="16"/>
      <c r="IA29" s="16"/>
      <c r="IB29" s="16"/>
      <c r="IC29" s="16"/>
      <c r="ID29" s="16"/>
      <c r="IE29" s="16"/>
      <c r="IF29" s="16"/>
      <c r="IG29" s="16"/>
      <c r="IH29" s="16"/>
      <c r="II29" s="16"/>
      <c r="IJ29" s="16"/>
      <c r="IK29" s="16"/>
      <c r="IL29" s="16"/>
      <c r="IM29" s="16"/>
      <c r="IN29" s="16"/>
      <c r="IO29" s="16"/>
      <c r="IP29" s="16"/>
      <c r="IQ29" s="16"/>
      <c r="IR29" s="16"/>
      <c r="IS29" s="16"/>
      <c r="IT29" s="16"/>
    </row>
    <row r="30" spans="1:254">
      <c r="A30" s="64"/>
      <c r="B30" s="70"/>
      <c r="C30" s="71"/>
      <c r="D30" s="116" t="s">
        <v>4</v>
      </c>
      <c r="E30" s="116"/>
      <c r="F30" s="116"/>
      <c r="I30" s="72" t="s">
        <v>368</v>
      </c>
      <c r="J30" s="69"/>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16"/>
      <c r="EH30" s="16"/>
      <c r="EI30" s="16"/>
      <c r="EJ30" s="16"/>
      <c r="EK30" s="16"/>
      <c r="EL30" s="16"/>
      <c r="EM30" s="16"/>
      <c r="EN30" s="16"/>
      <c r="EO30" s="16"/>
      <c r="EP30" s="16"/>
      <c r="EQ30" s="16"/>
      <c r="ER30" s="16"/>
      <c r="ES30" s="16"/>
      <c r="ET30" s="16"/>
      <c r="EU30" s="16"/>
      <c r="EV30" s="16"/>
      <c r="EW30" s="16"/>
      <c r="EX30" s="16"/>
      <c r="EY30" s="16"/>
      <c r="EZ30" s="16"/>
      <c r="FA30" s="16"/>
      <c r="FB30" s="16"/>
      <c r="FC30" s="16"/>
      <c r="FD30" s="16"/>
      <c r="FE30" s="16"/>
      <c r="FF30" s="16"/>
      <c r="FG30" s="16"/>
      <c r="FH30" s="16"/>
      <c r="FI30" s="16"/>
      <c r="FJ30" s="16"/>
      <c r="FK30" s="16"/>
      <c r="FL30" s="16"/>
      <c r="FM30" s="16"/>
      <c r="FN30" s="16"/>
      <c r="FO30" s="16"/>
      <c r="FP30" s="16"/>
      <c r="FQ30" s="16"/>
      <c r="FR30" s="16"/>
      <c r="FS30" s="16"/>
      <c r="FT30" s="16"/>
      <c r="FU30" s="16"/>
      <c r="FV30" s="16"/>
      <c r="FW30" s="16"/>
      <c r="FX30" s="16"/>
      <c r="FY30" s="16"/>
      <c r="FZ30" s="16"/>
      <c r="GA30" s="16"/>
      <c r="GB30" s="16"/>
      <c r="GC30" s="16"/>
      <c r="GD30" s="16"/>
      <c r="GE30" s="16"/>
      <c r="GF30" s="16"/>
      <c r="GG30" s="16"/>
      <c r="GH30" s="16"/>
      <c r="GI30" s="16"/>
      <c r="GJ30" s="16"/>
      <c r="GK30" s="16"/>
      <c r="GL30" s="16"/>
      <c r="GM30" s="16"/>
      <c r="GN30" s="16"/>
      <c r="GO30" s="16"/>
      <c r="GP30" s="16"/>
      <c r="GQ30" s="16"/>
      <c r="GR30" s="16"/>
      <c r="GS30" s="16"/>
      <c r="GT30" s="16"/>
      <c r="GU30" s="16"/>
      <c r="GV30" s="16"/>
      <c r="GW30" s="16"/>
      <c r="GX30" s="16"/>
      <c r="GY30" s="16"/>
      <c r="GZ30" s="16"/>
      <c r="HA30" s="16"/>
      <c r="HB30" s="16"/>
      <c r="HC30" s="16"/>
      <c r="HD30" s="16"/>
      <c r="HE30" s="16"/>
      <c r="HF30" s="16"/>
      <c r="HG30" s="16"/>
      <c r="HH30" s="16"/>
      <c r="HI30" s="16"/>
      <c r="HJ30" s="16"/>
      <c r="HK30" s="16"/>
      <c r="HL30" s="16"/>
      <c r="HM30" s="16"/>
      <c r="HN30" s="16"/>
      <c r="HO30" s="16"/>
      <c r="HP30" s="16"/>
      <c r="HQ30" s="16"/>
      <c r="HR30" s="16"/>
      <c r="HS30" s="16"/>
      <c r="HT30" s="16"/>
      <c r="HU30" s="16"/>
      <c r="HV30" s="16"/>
      <c r="HW30" s="16"/>
      <c r="HX30" s="16"/>
      <c r="HY30" s="16"/>
      <c r="HZ30" s="16"/>
      <c r="IA30" s="16"/>
      <c r="IB30" s="16"/>
      <c r="IC30" s="16"/>
      <c r="ID30" s="16"/>
      <c r="IE30" s="16"/>
      <c r="IF30" s="16"/>
      <c r="IG30" s="16"/>
      <c r="IH30" s="16"/>
      <c r="II30" s="16"/>
      <c r="IJ30" s="16"/>
      <c r="IK30" s="16"/>
      <c r="IL30" s="16"/>
      <c r="IM30" s="16"/>
      <c r="IN30" s="16"/>
      <c r="IO30" s="16"/>
      <c r="IP30" s="16"/>
      <c r="IQ30" s="16"/>
      <c r="IR30" s="16"/>
      <c r="IS30" s="16"/>
      <c r="IT30" s="16"/>
    </row>
    <row r="31" spans="1:254">
      <c r="D31" s="116" t="s">
        <v>5</v>
      </c>
      <c r="E31" s="116"/>
      <c r="F31" s="116"/>
      <c r="I31" s="72" t="s">
        <v>369</v>
      </c>
      <c r="J31" s="75" t="s">
        <v>3</v>
      </c>
    </row>
    <row r="32" spans="1:254">
      <c r="D32" s="116" t="s">
        <v>6</v>
      </c>
      <c r="E32" s="116"/>
      <c r="F32" s="116"/>
      <c r="I32" s="68" t="s">
        <v>367</v>
      </c>
    </row>
    <row r="33" spans="1:254">
      <c r="A33" s="308"/>
      <c r="B33" s="132" t="s">
        <v>215</v>
      </c>
      <c r="C33" s="133"/>
      <c r="D33" s="134"/>
      <c r="E33" s="134"/>
      <c r="F33" s="134"/>
      <c r="G33" s="134"/>
      <c r="H33" s="48"/>
      <c r="I33" s="49"/>
      <c r="J33" s="50"/>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c r="EM33" s="16"/>
      <c r="EN33" s="16"/>
      <c r="EO33" s="16"/>
      <c r="EP33" s="16"/>
      <c r="EQ33" s="16"/>
      <c r="ER33" s="16"/>
      <c r="ES33" s="16"/>
      <c r="ET33" s="16"/>
      <c r="EU33" s="16"/>
      <c r="EV33" s="16"/>
      <c r="EW33" s="16"/>
      <c r="EX33" s="16"/>
      <c r="EY33" s="16"/>
      <c r="EZ33" s="16"/>
      <c r="FA33" s="16"/>
      <c r="FB33" s="16"/>
      <c r="FC33" s="16"/>
      <c r="FD33" s="16"/>
      <c r="FE33" s="16"/>
      <c r="FF33" s="16"/>
      <c r="FG33" s="16"/>
      <c r="FH33" s="16"/>
      <c r="FI33" s="16"/>
      <c r="FJ33" s="16"/>
      <c r="FK33" s="16"/>
      <c r="FL33" s="16"/>
      <c r="FM33" s="16"/>
      <c r="FN33" s="16"/>
      <c r="FO33" s="16"/>
      <c r="FP33" s="16"/>
      <c r="FQ33" s="16"/>
      <c r="FR33" s="16"/>
      <c r="FS33" s="16"/>
      <c r="FT33" s="16"/>
      <c r="FU33" s="16"/>
      <c r="FV33" s="16"/>
      <c r="FW33" s="16"/>
      <c r="FX33" s="16"/>
      <c r="FY33" s="16"/>
      <c r="FZ33" s="16"/>
      <c r="GA33" s="16"/>
      <c r="GB33" s="16"/>
      <c r="GC33" s="16"/>
      <c r="GD33" s="16"/>
      <c r="GE33" s="16"/>
      <c r="GF33" s="16"/>
      <c r="GG33" s="16"/>
      <c r="GH33" s="16"/>
      <c r="GI33" s="16"/>
      <c r="GJ33" s="16"/>
      <c r="GK33" s="16"/>
      <c r="GL33" s="16"/>
      <c r="GM33" s="16"/>
      <c r="GN33" s="16"/>
      <c r="GO33" s="16"/>
      <c r="GP33" s="16"/>
      <c r="GQ33" s="16"/>
      <c r="GR33" s="16"/>
      <c r="GS33" s="16"/>
      <c r="GT33" s="16"/>
      <c r="GU33" s="16"/>
      <c r="GV33" s="16"/>
      <c r="GW33" s="16"/>
      <c r="GX33" s="16"/>
      <c r="GY33" s="16"/>
      <c r="GZ33" s="16"/>
      <c r="HA33" s="16"/>
      <c r="HB33" s="16"/>
      <c r="HC33" s="16"/>
      <c r="HD33" s="16"/>
      <c r="HE33" s="16"/>
      <c r="HF33" s="16"/>
      <c r="HG33" s="16"/>
      <c r="HH33" s="16"/>
      <c r="HI33" s="16"/>
      <c r="HJ33" s="16"/>
      <c r="HK33" s="16"/>
      <c r="HL33" s="16"/>
      <c r="HM33" s="16"/>
      <c r="HN33" s="16"/>
      <c r="HO33" s="16"/>
      <c r="HP33" s="16"/>
      <c r="HQ33" s="16"/>
      <c r="HR33" s="16"/>
      <c r="HS33" s="16"/>
      <c r="HT33" s="16"/>
      <c r="HU33" s="16"/>
      <c r="HV33" s="16"/>
      <c r="HW33" s="16"/>
      <c r="HX33" s="16"/>
      <c r="HY33" s="16"/>
      <c r="HZ33" s="16"/>
      <c r="IA33" s="16"/>
      <c r="IB33" s="16"/>
      <c r="IC33" s="16"/>
      <c r="ID33" s="16"/>
      <c r="IE33" s="16"/>
      <c r="IF33" s="16"/>
      <c r="IG33" s="16"/>
      <c r="IH33" s="16"/>
      <c r="II33" s="16"/>
      <c r="IJ33" s="16"/>
      <c r="IK33" s="16"/>
      <c r="IL33" s="16"/>
      <c r="IM33" s="16"/>
      <c r="IN33" s="16"/>
      <c r="IO33" s="16"/>
      <c r="IP33" s="16"/>
      <c r="IQ33" s="16"/>
      <c r="IR33" s="16"/>
      <c r="IS33" s="16"/>
      <c r="IT33" s="16"/>
    </row>
    <row r="34" spans="1:254">
      <c r="A34" s="18" t="s">
        <v>216</v>
      </c>
      <c r="B34" s="19" t="s">
        <v>12</v>
      </c>
      <c r="C34" s="20">
        <v>1083776.9899999998</v>
      </c>
      <c r="D34" s="21">
        <v>1089793.6003999999</v>
      </c>
      <c r="E34" s="21">
        <v>1064339.6003999999</v>
      </c>
      <c r="F34" s="21">
        <v>1077661.84696</v>
      </c>
      <c r="G34" s="21">
        <v>1082419.7921599997</v>
      </c>
      <c r="H34" s="22">
        <f t="shared" ref="H34:H43" si="4">SUM(G34/C34*100-100)</f>
        <v>-0.12522851587760897</v>
      </c>
      <c r="I34" s="23" t="str">
        <f t="shared" ref="I34:I53" si="5">IF((SQRT((G34-C34)^2)&lt;20000),$I$158,IF((G34-C34)&gt;(SQRT(C34^2))*5%,$I$159,IF((G34-C34)&lt;-(SQRT(C34^2))*5%,$I$157,$I$158)))</f>
        <v>è</v>
      </c>
      <c r="J34" s="32"/>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c r="EM34" s="16"/>
      <c r="EN34" s="16"/>
      <c r="EO34" s="16"/>
      <c r="EP34" s="16"/>
      <c r="EQ34" s="16"/>
      <c r="ER34" s="16"/>
      <c r="ES34" s="16"/>
      <c r="ET34" s="16"/>
      <c r="EU34" s="16"/>
      <c r="EV34" s="16"/>
      <c r="EW34" s="16"/>
      <c r="EX34" s="16"/>
      <c r="EY34" s="16"/>
      <c r="EZ34" s="16"/>
      <c r="FA34" s="16"/>
      <c r="FB34" s="16"/>
      <c r="FC34" s="16"/>
      <c r="FD34" s="16"/>
      <c r="FE34" s="16"/>
      <c r="FF34" s="16"/>
      <c r="FG34" s="16"/>
      <c r="FH34" s="16"/>
      <c r="FI34" s="16"/>
      <c r="FJ34" s="16"/>
      <c r="FK34" s="16"/>
      <c r="FL34" s="16"/>
      <c r="FM34" s="16"/>
      <c r="FN34" s="16"/>
      <c r="FO34" s="16"/>
      <c r="FP34" s="16"/>
      <c r="FQ34" s="16"/>
      <c r="FR34" s="16"/>
      <c r="FS34" s="16"/>
      <c r="FT34" s="16"/>
      <c r="FU34" s="16"/>
      <c r="FV34" s="16"/>
      <c r="FW34" s="16"/>
      <c r="FX34" s="16"/>
      <c r="FY34" s="16"/>
      <c r="FZ34" s="16"/>
      <c r="GA34" s="16"/>
      <c r="GB34" s="16"/>
      <c r="GC34" s="16"/>
      <c r="GD34" s="16"/>
      <c r="GE34" s="16"/>
      <c r="GF34" s="16"/>
      <c r="GG34" s="16"/>
      <c r="GH34" s="16"/>
      <c r="GI34" s="16"/>
      <c r="GJ34" s="16"/>
      <c r="GK34" s="16"/>
      <c r="GL34" s="16"/>
      <c r="GM34" s="16"/>
      <c r="GN34" s="16"/>
      <c r="GO34" s="16"/>
      <c r="GP34" s="16"/>
      <c r="GQ34" s="16"/>
      <c r="GR34" s="16"/>
      <c r="GS34" s="16"/>
      <c r="GT34" s="16"/>
      <c r="GU34" s="16"/>
      <c r="GV34" s="16"/>
      <c r="GW34" s="16"/>
      <c r="GX34" s="16"/>
      <c r="GY34" s="16"/>
      <c r="GZ34" s="16"/>
      <c r="HA34" s="16"/>
      <c r="HB34" s="16"/>
      <c r="HC34" s="16"/>
      <c r="HD34" s="16"/>
      <c r="HE34" s="16"/>
      <c r="HF34" s="16"/>
      <c r="HG34" s="16"/>
      <c r="HH34" s="16"/>
      <c r="HI34" s="16"/>
      <c r="HJ34" s="16"/>
      <c r="HK34" s="16"/>
      <c r="HL34" s="16"/>
      <c r="HM34" s="16"/>
      <c r="HN34" s="16"/>
      <c r="HO34" s="16"/>
      <c r="HP34" s="16"/>
      <c r="HQ34" s="16"/>
      <c r="HR34" s="16"/>
      <c r="HS34" s="16"/>
      <c r="HT34" s="16"/>
      <c r="HU34" s="16"/>
      <c r="HV34" s="16"/>
      <c r="HW34" s="16"/>
      <c r="HX34" s="16"/>
      <c r="HY34" s="16"/>
      <c r="HZ34" s="16"/>
      <c r="IA34" s="16"/>
      <c r="IB34" s="16"/>
      <c r="IC34" s="16"/>
      <c r="ID34" s="16"/>
      <c r="IE34" s="16"/>
      <c r="IF34" s="16"/>
      <c r="IG34" s="16"/>
      <c r="IH34" s="16"/>
      <c r="II34" s="16"/>
      <c r="IJ34" s="16"/>
      <c r="IK34" s="16"/>
      <c r="IL34" s="16"/>
      <c r="IM34" s="16"/>
      <c r="IN34" s="16"/>
      <c r="IO34" s="16"/>
      <c r="IP34" s="16"/>
      <c r="IQ34" s="16"/>
      <c r="IR34" s="16"/>
      <c r="IS34" s="16"/>
      <c r="IT34" s="16"/>
    </row>
    <row r="35" spans="1:254">
      <c r="A35" s="26" t="s">
        <v>217</v>
      </c>
      <c r="B35" s="27" t="s">
        <v>381</v>
      </c>
      <c r="C35" s="28">
        <v>1202909.8400000001</v>
      </c>
      <c r="D35" s="29">
        <v>1193616.2975999999</v>
      </c>
      <c r="E35" s="29">
        <v>1193616.2975999999</v>
      </c>
      <c r="F35" s="29">
        <v>1213472.5782399999</v>
      </c>
      <c r="G35" s="29">
        <v>1220564.1070399999</v>
      </c>
      <c r="H35" s="30">
        <f t="shared" si="4"/>
        <v>1.4676301126607996</v>
      </c>
      <c r="I35" s="115" t="str">
        <f t="shared" si="5"/>
        <v>è</v>
      </c>
      <c r="J35" s="50"/>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c r="EM35" s="16"/>
      <c r="EN35" s="16"/>
      <c r="EO35" s="16"/>
      <c r="EP35" s="16"/>
      <c r="EQ35" s="16"/>
      <c r="ER35" s="16"/>
      <c r="ES35" s="16"/>
      <c r="ET35" s="16"/>
      <c r="EU35" s="16"/>
      <c r="EV35" s="16"/>
      <c r="EW35" s="16"/>
      <c r="EX35" s="16"/>
      <c r="EY35" s="16"/>
      <c r="EZ35" s="16"/>
      <c r="FA35" s="16"/>
      <c r="FB35" s="16"/>
      <c r="FC35" s="16"/>
      <c r="FD35" s="16"/>
      <c r="FE35" s="16"/>
      <c r="FF35" s="16"/>
      <c r="FG35" s="16"/>
      <c r="FH35" s="16"/>
      <c r="FI35" s="16"/>
      <c r="FJ35" s="16"/>
      <c r="FK35" s="16"/>
      <c r="FL35" s="16"/>
      <c r="FM35" s="16"/>
      <c r="FN35" s="16"/>
      <c r="FO35" s="16"/>
      <c r="FP35" s="16"/>
      <c r="FQ35" s="16"/>
      <c r="FR35" s="16"/>
      <c r="FS35" s="16"/>
      <c r="FT35" s="16"/>
      <c r="FU35" s="16"/>
      <c r="FV35" s="16"/>
      <c r="FW35" s="16"/>
      <c r="FX35" s="16"/>
      <c r="FY35" s="16"/>
      <c r="FZ35" s="16"/>
      <c r="GA35" s="16"/>
      <c r="GB35" s="16"/>
      <c r="GC35" s="16"/>
      <c r="GD35" s="16"/>
      <c r="GE35" s="16"/>
      <c r="GF35" s="16"/>
      <c r="GG35" s="16"/>
      <c r="GH35" s="16"/>
      <c r="GI35" s="16"/>
      <c r="GJ35" s="16"/>
      <c r="GK35" s="16"/>
      <c r="GL35" s="16"/>
      <c r="GM35" s="16"/>
      <c r="GN35" s="16"/>
      <c r="GO35" s="16"/>
      <c r="GP35" s="16"/>
      <c r="GQ35" s="16"/>
      <c r="GR35" s="16"/>
      <c r="GS35" s="16"/>
      <c r="GT35" s="16"/>
      <c r="GU35" s="16"/>
      <c r="GV35" s="16"/>
      <c r="GW35" s="16"/>
      <c r="GX35" s="16"/>
      <c r="GY35" s="16"/>
      <c r="GZ35" s="16"/>
      <c r="HA35" s="16"/>
      <c r="HB35" s="16"/>
      <c r="HC35" s="16"/>
      <c r="HD35" s="16"/>
      <c r="HE35" s="16"/>
      <c r="HF35" s="16"/>
      <c r="HG35" s="16"/>
      <c r="HH35" s="16"/>
      <c r="HI35" s="16"/>
      <c r="HJ35" s="16"/>
      <c r="HK35" s="16"/>
      <c r="HL35" s="16"/>
      <c r="HM35" s="16"/>
      <c r="HN35" s="16"/>
      <c r="HO35" s="16"/>
      <c r="HP35" s="16"/>
      <c r="HQ35" s="16"/>
      <c r="HR35" s="16"/>
      <c r="HS35" s="16"/>
      <c r="HT35" s="16"/>
      <c r="HU35" s="16"/>
      <c r="HV35" s="16"/>
      <c r="HW35" s="16"/>
      <c r="HX35" s="16"/>
      <c r="HY35" s="16"/>
      <c r="HZ35" s="16"/>
      <c r="IA35" s="16"/>
      <c r="IB35" s="16"/>
      <c r="IC35" s="16"/>
      <c r="ID35" s="16"/>
      <c r="IE35" s="16"/>
      <c r="IF35" s="16"/>
      <c r="IG35" s="16"/>
      <c r="IH35" s="16"/>
      <c r="II35" s="16"/>
      <c r="IJ35" s="16"/>
      <c r="IK35" s="16"/>
      <c r="IL35" s="16"/>
      <c r="IM35" s="16"/>
      <c r="IN35" s="16"/>
      <c r="IO35" s="16"/>
      <c r="IP35" s="16"/>
      <c r="IQ35" s="16"/>
      <c r="IR35" s="16"/>
      <c r="IS35" s="16"/>
      <c r="IT35" s="16"/>
    </row>
    <row r="36" spans="1:254" ht="24">
      <c r="A36" s="18" t="s">
        <v>218</v>
      </c>
      <c r="B36" s="19" t="s">
        <v>362</v>
      </c>
      <c r="C36" s="20">
        <v>31475094</v>
      </c>
      <c r="D36" s="21">
        <v>32229162</v>
      </c>
      <c r="E36" s="21">
        <v>32507521</v>
      </c>
      <c r="F36" s="21">
        <v>32816858</v>
      </c>
      <c r="G36" s="21">
        <v>33129172</v>
      </c>
      <c r="H36" s="22">
        <f t="shared" si="4"/>
        <v>5.2551963784444951</v>
      </c>
      <c r="I36" s="23" t="str">
        <f t="shared" si="5"/>
        <v>ì</v>
      </c>
      <c r="J36" s="368" t="s">
        <v>485</v>
      </c>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16"/>
      <c r="EH36" s="16"/>
      <c r="EI36" s="16"/>
      <c r="EJ36" s="16"/>
      <c r="EK36" s="16"/>
      <c r="EL36" s="16"/>
      <c r="EM36" s="16"/>
      <c r="EN36" s="16"/>
      <c r="EO36" s="16"/>
      <c r="EP36" s="16"/>
      <c r="EQ36" s="16"/>
      <c r="ER36" s="16"/>
      <c r="ES36" s="16"/>
      <c r="ET36" s="16"/>
      <c r="EU36" s="16"/>
      <c r="EV36" s="16"/>
      <c r="EW36" s="16"/>
      <c r="EX36" s="16"/>
      <c r="EY36" s="16"/>
      <c r="EZ36" s="16"/>
      <c r="FA36" s="16"/>
      <c r="FB36" s="16"/>
      <c r="FC36" s="16"/>
      <c r="FD36" s="16"/>
      <c r="FE36" s="16"/>
      <c r="FF36" s="16"/>
      <c r="FG36" s="16"/>
      <c r="FH36" s="16"/>
      <c r="FI36" s="16"/>
      <c r="FJ36" s="16"/>
      <c r="FK36" s="16"/>
      <c r="FL36" s="16"/>
      <c r="FM36" s="16"/>
      <c r="FN36" s="16"/>
      <c r="FO36" s="16"/>
      <c r="FP36" s="16"/>
      <c r="FQ36" s="16"/>
      <c r="FR36" s="16"/>
      <c r="FS36" s="16"/>
      <c r="FT36" s="16"/>
      <c r="FU36" s="16"/>
      <c r="FV36" s="16"/>
      <c r="FW36" s="16"/>
      <c r="FX36" s="16"/>
      <c r="FY36" s="16"/>
      <c r="FZ36" s="16"/>
      <c r="GA36" s="16"/>
      <c r="GB36" s="16"/>
      <c r="GC36" s="16"/>
      <c r="GD36" s="16"/>
      <c r="GE36" s="16"/>
      <c r="GF36" s="16"/>
      <c r="GG36" s="16"/>
      <c r="GH36" s="16"/>
      <c r="GI36" s="16"/>
      <c r="GJ36" s="16"/>
      <c r="GK36" s="16"/>
      <c r="GL36" s="16"/>
      <c r="GM36" s="16"/>
      <c r="GN36" s="16"/>
      <c r="GO36" s="16"/>
      <c r="GP36" s="16"/>
      <c r="GQ36" s="16"/>
      <c r="GR36" s="16"/>
      <c r="GS36" s="16"/>
      <c r="GT36" s="16"/>
      <c r="GU36" s="16"/>
      <c r="GV36" s="16"/>
      <c r="GW36" s="16"/>
      <c r="GX36" s="16"/>
      <c r="GY36" s="16"/>
      <c r="GZ36" s="16"/>
      <c r="HA36" s="16"/>
      <c r="HB36" s="16"/>
      <c r="HC36" s="16"/>
      <c r="HD36" s="16"/>
      <c r="HE36" s="16"/>
      <c r="HF36" s="16"/>
      <c r="HG36" s="16"/>
      <c r="HH36" s="16"/>
      <c r="HI36" s="16"/>
      <c r="HJ36" s="16"/>
      <c r="HK36" s="16"/>
      <c r="HL36" s="16"/>
      <c r="HM36" s="16"/>
      <c r="HN36" s="16"/>
      <c r="HO36" s="16"/>
      <c r="HP36" s="16"/>
      <c r="HQ36" s="16"/>
      <c r="HR36" s="16"/>
      <c r="HS36" s="16"/>
      <c r="HT36" s="16"/>
      <c r="HU36" s="16"/>
      <c r="HV36" s="16"/>
      <c r="HW36" s="16"/>
      <c r="HX36" s="16"/>
      <c r="HY36" s="16"/>
      <c r="HZ36" s="16"/>
      <c r="IA36" s="16"/>
      <c r="IB36" s="16"/>
      <c r="IC36" s="16"/>
      <c r="ID36" s="16"/>
      <c r="IE36" s="16"/>
      <c r="IF36" s="16"/>
      <c r="IG36" s="16"/>
      <c r="IH36" s="16"/>
      <c r="II36" s="16"/>
      <c r="IJ36" s="16"/>
      <c r="IK36" s="16"/>
      <c r="IL36" s="16"/>
      <c r="IM36" s="16"/>
      <c r="IN36" s="16"/>
      <c r="IO36" s="16"/>
      <c r="IP36" s="16"/>
      <c r="IQ36" s="16"/>
      <c r="IR36" s="16"/>
      <c r="IS36" s="16"/>
      <c r="IT36" s="16"/>
    </row>
    <row r="37" spans="1:254" ht="24">
      <c r="A37" s="26" t="s">
        <v>219</v>
      </c>
      <c r="B37" s="27" t="s">
        <v>220</v>
      </c>
      <c r="C37" s="28">
        <v>4890449.9199999999</v>
      </c>
      <c r="D37" s="47">
        <v>5070248.9211999997</v>
      </c>
      <c r="E37" s="29">
        <v>5316197.9211999997</v>
      </c>
      <c r="F37" s="29">
        <v>5445656.8868800001</v>
      </c>
      <c r="G37" s="29">
        <v>5243174.5174799999</v>
      </c>
      <c r="H37" s="30">
        <f t="shared" si="4"/>
        <v>7.2125183418706911</v>
      </c>
      <c r="I37" s="115" t="str">
        <f t="shared" si="5"/>
        <v>ì</v>
      </c>
      <c r="J37" s="369" t="s">
        <v>486</v>
      </c>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c r="EM37" s="16"/>
      <c r="EN37" s="16"/>
      <c r="EO37" s="16"/>
      <c r="EP37" s="16"/>
      <c r="EQ37" s="16"/>
      <c r="ER37" s="16"/>
      <c r="ES37" s="16"/>
      <c r="ET37" s="16"/>
      <c r="EU37" s="16"/>
      <c r="EV37" s="16"/>
      <c r="EW37" s="16"/>
      <c r="EX37" s="16"/>
      <c r="EY37" s="16"/>
      <c r="EZ37" s="16"/>
      <c r="FA37" s="16"/>
      <c r="FB37" s="16"/>
      <c r="FC37" s="16"/>
      <c r="FD37" s="16"/>
      <c r="FE37" s="16"/>
      <c r="FF37" s="16"/>
      <c r="FG37" s="16"/>
      <c r="FH37" s="16"/>
      <c r="FI37" s="16"/>
      <c r="FJ37" s="16"/>
      <c r="FK37" s="16"/>
      <c r="FL37" s="16"/>
      <c r="FM37" s="16"/>
      <c r="FN37" s="16"/>
      <c r="FO37" s="16"/>
      <c r="FP37" s="16"/>
      <c r="FQ37" s="16"/>
      <c r="FR37" s="16"/>
      <c r="FS37" s="16"/>
      <c r="FT37" s="16"/>
      <c r="FU37" s="16"/>
      <c r="FV37" s="16"/>
      <c r="FW37" s="16"/>
      <c r="FX37" s="16"/>
      <c r="FY37" s="16"/>
      <c r="FZ37" s="16"/>
      <c r="GA37" s="16"/>
      <c r="GB37" s="16"/>
      <c r="GC37" s="16"/>
      <c r="GD37" s="16"/>
      <c r="GE37" s="16"/>
      <c r="GF37" s="16"/>
      <c r="GG37" s="16"/>
      <c r="GH37" s="16"/>
      <c r="GI37" s="16"/>
      <c r="GJ37" s="16"/>
      <c r="GK37" s="16"/>
      <c r="GL37" s="16"/>
      <c r="GM37" s="16"/>
      <c r="GN37" s="16"/>
      <c r="GO37" s="16"/>
      <c r="GP37" s="16"/>
      <c r="GQ37" s="16"/>
      <c r="GR37" s="16"/>
      <c r="GS37" s="16"/>
      <c r="GT37" s="16"/>
      <c r="GU37" s="16"/>
      <c r="GV37" s="16"/>
      <c r="GW37" s="16"/>
      <c r="GX37" s="16"/>
      <c r="GY37" s="16"/>
      <c r="GZ37" s="16"/>
      <c r="HA37" s="16"/>
      <c r="HB37" s="16"/>
      <c r="HC37" s="16"/>
      <c r="HD37" s="16"/>
      <c r="HE37" s="16"/>
      <c r="HF37" s="16"/>
      <c r="HG37" s="16"/>
      <c r="HH37" s="16"/>
      <c r="HI37" s="16"/>
      <c r="HJ37" s="16"/>
      <c r="HK37" s="16"/>
      <c r="HL37" s="16"/>
      <c r="HM37" s="16"/>
      <c r="HN37" s="16"/>
      <c r="HO37" s="16"/>
      <c r="HP37" s="16"/>
      <c r="HQ37" s="16"/>
      <c r="HR37" s="16"/>
      <c r="HS37" s="16"/>
      <c r="HT37" s="16"/>
      <c r="HU37" s="16"/>
      <c r="HV37" s="16"/>
      <c r="HW37" s="16"/>
      <c r="HX37" s="16"/>
      <c r="HY37" s="16"/>
      <c r="HZ37" s="16"/>
      <c r="IA37" s="16"/>
      <c r="IB37" s="16"/>
      <c r="IC37" s="16"/>
      <c r="ID37" s="16"/>
      <c r="IE37" s="16"/>
      <c r="IF37" s="16"/>
      <c r="IG37" s="16"/>
      <c r="IH37" s="16"/>
      <c r="II37" s="16"/>
      <c r="IJ37" s="16"/>
      <c r="IK37" s="16"/>
      <c r="IL37" s="16"/>
      <c r="IM37" s="16"/>
      <c r="IN37" s="16"/>
      <c r="IO37" s="16"/>
      <c r="IP37" s="16"/>
      <c r="IQ37" s="16"/>
      <c r="IR37" s="16"/>
      <c r="IS37" s="16"/>
      <c r="IT37" s="16"/>
    </row>
    <row r="38" spans="1:254">
      <c r="A38" s="18" t="s">
        <v>221</v>
      </c>
      <c r="B38" s="19" t="s">
        <v>171</v>
      </c>
      <c r="C38" s="20">
        <v>733979.24</v>
      </c>
      <c r="D38" s="21">
        <v>686955.90839999996</v>
      </c>
      <c r="E38" s="21">
        <v>678157.01839999994</v>
      </c>
      <c r="F38" s="21">
        <v>685269.00815999997</v>
      </c>
      <c r="G38" s="21">
        <v>687555.97736000002</v>
      </c>
      <c r="H38" s="22">
        <f t="shared" si="4"/>
        <v>-6.3248740713701892</v>
      </c>
      <c r="I38" s="23" t="str">
        <f t="shared" si="5"/>
        <v>î</v>
      </c>
      <c r="J38" s="32"/>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c r="DN38" s="16"/>
      <c r="DO38" s="16"/>
      <c r="DP38" s="16"/>
      <c r="DQ38" s="16"/>
      <c r="DR38" s="16"/>
      <c r="DS38" s="16"/>
      <c r="DT38" s="16"/>
      <c r="DU38" s="16"/>
      <c r="DV38" s="16"/>
      <c r="DW38" s="16"/>
      <c r="DX38" s="16"/>
      <c r="DY38" s="16"/>
      <c r="DZ38" s="16"/>
      <c r="EA38" s="16"/>
      <c r="EB38" s="16"/>
      <c r="EC38" s="16"/>
      <c r="ED38" s="16"/>
      <c r="EE38" s="16"/>
      <c r="EF38" s="16"/>
      <c r="EG38" s="16"/>
      <c r="EH38" s="16"/>
      <c r="EI38" s="16"/>
      <c r="EJ38" s="16"/>
      <c r="EK38" s="16"/>
      <c r="EL38" s="16"/>
      <c r="EM38" s="16"/>
      <c r="EN38" s="16"/>
      <c r="EO38" s="16"/>
      <c r="EP38" s="16"/>
      <c r="EQ38" s="16"/>
      <c r="ER38" s="16"/>
      <c r="ES38" s="16"/>
      <c r="ET38" s="16"/>
      <c r="EU38" s="16"/>
      <c r="EV38" s="16"/>
      <c r="EW38" s="16"/>
      <c r="EX38" s="16"/>
      <c r="EY38" s="16"/>
      <c r="EZ38" s="16"/>
      <c r="FA38" s="16"/>
      <c r="FB38" s="16"/>
      <c r="FC38" s="16"/>
      <c r="FD38" s="16"/>
      <c r="FE38" s="16"/>
      <c r="FF38" s="16"/>
      <c r="FG38" s="16"/>
      <c r="FH38" s="16"/>
      <c r="FI38" s="16"/>
      <c r="FJ38" s="16"/>
      <c r="FK38" s="16"/>
      <c r="FL38" s="16"/>
      <c r="FM38" s="16"/>
      <c r="FN38" s="16"/>
      <c r="FO38" s="16"/>
      <c r="FP38" s="16"/>
      <c r="FQ38" s="16"/>
      <c r="FR38" s="16"/>
      <c r="FS38" s="16"/>
      <c r="FT38" s="16"/>
      <c r="FU38" s="16"/>
      <c r="FV38" s="16"/>
      <c r="FW38" s="16"/>
      <c r="FX38" s="16"/>
      <c r="FY38" s="16"/>
      <c r="FZ38" s="16"/>
      <c r="GA38" s="16"/>
      <c r="GB38" s="16"/>
      <c r="GC38" s="16"/>
      <c r="GD38" s="16"/>
      <c r="GE38" s="16"/>
      <c r="GF38" s="16"/>
      <c r="GG38" s="16"/>
      <c r="GH38" s="16"/>
      <c r="GI38" s="16"/>
      <c r="GJ38" s="16"/>
      <c r="GK38" s="16"/>
      <c r="GL38" s="16"/>
      <c r="GM38" s="16"/>
      <c r="GN38" s="16"/>
      <c r="GO38" s="16"/>
      <c r="GP38" s="16"/>
      <c r="GQ38" s="16"/>
      <c r="GR38" s="16"/>
      <c r="GS38" s="16"/>
      <c r="GT38" s="16"/>
      <c r="GU38" s="16"/>
      <c r="GV38" s="16"/>
      <c r="GW38" s="16"/>
      <c r="GX38" s="16"/>
      <c r="GY38" s="16"/>
      <c r="GZ38" s="16"/>
      <c r="HA38" s="16"/>
      <c r="HB38" s="16"/>
      <c r="HC38" s="16"/>
      <c r="HD38" s="16"/>
      <c r="HE38" s="16"/>
      <c r="HF38" s="16"/>
      <c r="HG38" s="16"/>
      <c r="HH38" s="16"/>
      <c r="HI38" s="16"/>
      <c r="HJ38" s="16"/>
      <c r="HK38" s="16"/>
      <c r="HL38" s="16"/>
      <c r="HM38" s="16"/>
      <c r="HN38" s="16"/>
      <c r="HO38" s="16"/>
      <c r="HP38" s="16"/>
      <c r="HQ38" s="16"/>
      <c r="HR38" s="16"/>
      <c r="HS38" s="16"/>
      <c r="HT38" s="16"/>
      <c r="HU38" s="16"/>
      <c r="HV38" s="16"/>
      <c r="HW38" s="16"/>
      <c r="HX38" s="16"/>
      <c r="HY38" s="16"/>
      <c r="HZ38" s="16"/>
      <c r="IA38" s="16"/>
      <c r="IB38" s="16"/>
      <c r="IC38" s="16"/>
      <c r="ID38" s="16"/>
      <c r="IE38" s="16"/>
      <c r="IF38" s="16"/>
      <c r="IG38" s="16"/>
      <c r="IH38" s="16"/>
      <c r="II38" s="16"/>
      <c r="IJ38" s="16"/>
      <c r="IK38" s="16"/>
      <c r="IL38" s="16"/>
      <c r="IM38" s="16"/>
      <c r="IN38" s="16"/>
      <c r="IO38" s="16"/>
      <c r="IP38" s="16"/>
      <c r="IQ38" s="16"/>
      <c r="IR38" s="16"/>
      <c r="IS38" s="16"/>
      <c r="IT38" s="16"/>
    </row>
    <row r="39" spans="1:254">
      <c r="A39" s="26" t="s">
        <v>222</v>
      </c>
      <c r="B39" s="27" t="s">
        <v>223</v>
      </c>
      <c r="C39" s="28">
        <v>-1597032.6099999994</v>
      </c>
      <c r="D39" s="29">
        <v>-1582839.6367999995</v>
      </c>
      <c r="E39" s="29">
        <v>-1582839.6367999995</v>
      </c>
      <c r="F39" s="29">
        <v>-1528368.7543199994</v>
      </c>
      <c r="G39" s="29">
        <v>-1508914.8677199995</v>
      </c>
      <c r="H39" s="30">
        <f t="shared" si="4"/>
        <v>-5.5175919219332599</v>
      </c>
      <c r="I39" s="115" t="str">
        <f t="shared" si="5"/>
        <v>ì</v>
      </c>
      <c r="J39" s="369"/>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c r="BN39" s="16"/>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c r="EM39" s="16"/>
      <c r="EN39" s="16"/>
      <c r="EO39" s="16"/>
      <c r="EP39" s="16"/>
      <c r="EQ39" s="16"/>
      <c r="ER39" s="16"/>
      <c r="ES39" s="16"/>
      <c r="ET39" s="16"/>
      <c r="EU39" s="16"/>
      <c r="EV39" s="16"/>
      <c r="EW39" s="16"/>
      <c r="EX39" s="16"/>
      <c r="EY39" s="16"/>
      <c r="EZ39" s="16"/>
      <c r="FA39" s="16"/>
      <c r="FB39" s="16"/>
      <c r="FC39" s="16"/>
      <c r="FD39" s="16"/>
      <c r="FE39" s="16"/>
      <c r="FF39" s="16"/>
      <c r="FG39" s="16"/>
      <c r="FH39" s="16"/>
      <c r="FI39" s="16"/>
      <c r="FJ39" s="16"/>
      <c r="FK39" s="16"/>
      <c r="FL39" s="16"/>
      <c r="FM39" s="16"/>
      <c r="FN39" s="16"/>
      <c r="FO39" s="16"/>
      <c r="FP39" s="16"/>
      <c r="FQ39" s="16"/>
      <c r="FR39" s="16"/>
      <c r="FS39" s="16"/>
      <c r="FT39" s="16"/>
      <c r="FU39" s="16"/>
      <c r="FV39" s="16"/>
      <c r="FW39" s="16"/>
      <c r="FX39" s="16"/>
      <c r="FY39" s="16"/>
      <c r="FZ39" s="16"/>
      <c r="GA39" s="16"/>
      <c r="GB39" s="16"/>
      <c r="GC39" s="16"/>
      <c r="GD39" s="16"/>
      <c r="GE39" s="16"/>
      <c r="GF39" s="16"/>
      <c r="GG39" s="16"/>
      <c r="GH39" s="16"/>
      <c r="GI39" s="16"/>
      <c r="GJ39" s="16"/>
      <c r="GK39" s="16"/>
      <c r="GL39" s="16"/>
      <c r="GM39" s="16"/>
      <c r="GN39" s="16"/>
      <c r="GO39" s="16"/>
      <c r="GP39" s="16"/>
      <c r="GQ39" s="16"/>
      <c r="GR39" s="16"/>
      <c r="GS39" s="16"/>
      <c r="GT39" s="16"/>
      <c r="GU39" s="16"/>
      <c r="GV39" s="16"/>
      <c r="GW39" s="16"/>
      <c r="GX39" s="16"/>
      <c r="GY39" s="16"/>
      <c r="GZ39" s="16"/>
      <c r="HA39" s="16"/>
      <c r="HB39" s="16"/>
      <c r="HC39" s="16"/>
      <c r="HD39" s="16"/>
      <c r="HE39" s="16"/>
      <c r="HF39" s="16"/>
      <c r="HG39" s="16"/>
      <c r="HH39" s="16"/>
      <c r="HI39" s="16"/>
      <c r="HJ39" s="16"/>
      <c r="HK39" s="16"/>
      <c r="HL39" s="16"/>
      <c r="HM39" s="16"/>
      <c r="HN39" s="16"/>
      <c r="HO39" s="16"/>
      <c r="HP39" s="16"/>
      <c r="HQ39" s="16"/>
      <c r="HR39" s="16"/>
      <c r="HS39" s="16"/>
      <c r="HT39" s="16"/>
      <c r="HU39" s="16"/>
      <c r="HV39" s="16"/>
      <c r="HW39" s="16"/>
      <c r="HX39" s="16"/>
      <c r="HY39" s="16"/>
      <c r="HZ39" s="16"/>
      <c r="IA39" s="16"/>
      <c r="IB39" s="16"/>
      <c r="IC39" s="16"/>
      <c r="ID39" s="16"/>
      <c r="IE39" s="16"/>
      <c r="IF39" s="16"/>
      <c r="IG39" s="16"/>
      <c r="IH39" s="16"/>
      <c r="II39" s="16"/>
      <c r="IJ39" s="16"/>
      <c r="IK39" s="16"/>
      <c r="IL39" s="16"/>
      <c r="IM39" s="16"/>
      <c r="IN39" s="16"/>
      <c r="IO39" s="16"/>
      <c r="IP39" s="16"/>
      <c r="IQ39" s="16"/>
      <c r="IR39" s="16"/>
      <c r="IS39" s="16"/>
      <c r="IT39" s="16"/>
    </row>
    <row r="40" spans="1:254">
      <c r="A40" s="18" t="s">
        <v>224</v>
      </c>
      <c r="B40" s="19" t="s">
        <v>382</v>
      </c>
      <c r="C40" s="20">
        <v>-66763.050000000047</v>
      </c>
      <c r="D40" s="21">
        <v>-89227.707599999849</v>
      </c>
      <c r="E40" s="21">
        <v>-91843.047599999933</v>
      </c>
      <c r="F40" s="21">
        <v>-74107.056239999831</v>
      </c>
      <c r="G40" s="21">
        <v>-67513.500040000305</v>
      </c>
      <c r="H40" s="22">
        <f t="shared" si="4"/>
        <v>1.1240499647638273</v>
      </c>
      <c r="I40" s="23" t="str">
        <f t="shared" si="5"/>
        <v>è</v>
      </c>
      <c r="J40" s="368"/>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c r="BM40" s="16"/>
      <c r="BN40" s="16"/>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c r="EM40" s="16"/>
      <c r="EN40" s="16"/>
      <c r="EO40" s="16"/>
      <c r="EP40" s="16"/>
      <c r="EQ40" s="16"/>
      <c r="ER40" s="16"/>
      <c r="ES40" s="16"/>
      <c r="ET40" s="16"/>
      <c r="EU40" s="16"/>
      <c r="EV40" s="16"/>
      <c r="EW40" s="16"/>
      <c r="EX40" s="16"/>
      <c r="EY40" s="16"/>
      <c r="EZ40" s="16"/>
      <c r="FA40" s="16"/>
      <c r="FB40" s="16"/>
      <c r="FC40" s="16"/>
      <c r="FD40" s="16"/>
      <c r="FE40" s="16"/>
      <c r="FF40" s="16"/>
      <c r="FG40" s="16"/>
      <c r="FH40" s="16"/>
      <c r="FI40" s="16"/>
      <c r="FJ40" s="16"/>
      <c r="FK40" s="16"/>
      <c r="FL40" s="16"/>
      <c r="FM40" s="16"/>
      <c r="FN40" s="16"/>
      <c r="FO40" s="16"/>
      <c r="FP40" s="16"/>
      <c r="FQ40" s="16"/>
      <c r="FR40" s="16"/>
      <c r="FS40" s="16"/>
      <c r="FT40" s="16"/>
      <c r="FU40" s="16"/>
      <c r="FV40" s="16"/>
      <c r="FW40" s="16"/>
      <c r="FX40" s="16"/>
      <c r="FY40" s="16"/>
      <c r="FZ40" s="16"/>
      <c r="GA40" s="16"/>
      <c r="GB40" s="16"/>
      <c r="GC40" s="16"/>
      <c r="GD40" s="16"/>
      <c r="GE40" s="16"/>
      <c r="GF40" s="16"/>
      <c r="GG40" s="16"/>
      <c r="GH40" s="16"/>
      <c r="GI40" s="16"/>
      <c r="GJ40" s="16"/>
      <c r="GK40" s="16"/>
      <c r="GL40" s="16"/>
      <c r="GM40" s="16"/>
      <c r="GN40" s="16"/>
      <c r="GO40" s="16"/>
      <c r="GP40" s="16"/>
      <c r="GQ40" s="16"/>
      <c r="GR40" s="16"/>
      <c r="GS40" s="16"/>
      <c r="GT40" s="16"/>
      <c r="GU40" s="16"/>
      <c r="GV40" s="16"/>
      <c r="GW40" s="16"/>
      <c r="GX40" s="16"/>
      <c r="GY40" s="16"/>
      <c r="GZ40" s="16"/>
      <c r="HA40" s="16"/>
      <c r="HB40" s="16"/>
      <c r="HC40" s="16"/>
      <c r="HD40" s="16"/>
      <c r="HE40" s="16"/>
      <c r="HF40" s="16"/>
      <c r="HG40" s="16"/>
      <c r="HH40" s="16"/>
      <c r="HI40" s="16"/>
      <c r="HJ40" s="16"/>
      <c r="HK40" s="16"/>
      <c r="HL40" s="16"/>
      <c r="HM40" s="16"/>
      <c r="HN40" s="16"/>
      <c r="HO40" s="16"/>
      <c r="HP40" s="16"/>
      <c r="HQ40" s="16"/>
      <c r="HR40" s="16"/>
      <c r="HS40" s="16"/>
      <c r="HT40" s="16"/>
      <c r="HU40" s="16"/>
      <c r="HV40" s="16"/>
      <c r="HW40" s="16"/>
      <c r="HX40" s="16"/>
      <c r="HY40" s="16"/>
      <c r="HZ40" s="16"/>
      <c r="IA40" s="16"/>
      <c r="IB40" s="16"/>
      <c r="IC40" s="16"/>
      <c r="ID40" s="16"/>
      <c r="IE40" s="16"/>
      <c r="IF40" s="16"/>
      <c r="IG40" s="16"/>
      <c r="IH40" s="16"/>
      <c r="II40" s="16"/>
      <c r="IJ40" s="16"/>
      <c r="IK40" s="16"/>
      <c r="IL40" s="16"/>
      <c r="IM40" s="16"/>
      <c r="IN40" s="16"/>
      <c r="IO40" s="16"/>
      <c r="IP40" s="16"/>
      <c r="IQ40" s="16"/>
      <c r="IR40" s="16"/>
      <c r="IS40" s="16"/>
      <c r="IT40" s="16"/>
    </row>
    <row r="41" spans="1:254" ht="24">
      <c r="A41" s="26" t="s">
        <v>225</v>
      </c>
      <c r="B41" s="27" t="s">
        <v>226</v>
      </c>
      <c r="C41" s="28">
        <v>5830682.9299999997</v>
      </c>
      <c r="D41" s="29">
        <v>5840862.9651999995</v>
      </c>
      <c r="E41" s="29">
        <v>5717461.4452</v>
      </c>
      <c r="F41" s="29">
        <v>5793808.9244800005</v>
      </c>
      <c r="G41" s="29">
        <v>5818227.0320800003</v>
      </c>
      <c r="H41" s="30">
        <f t="shared" si="4"/>
        <v>-0.21362674097593981</v>
      </c>
      <c r="I41" s="115" t="str">
        <f t="shared" si="5"/>
        <v>è</v>
      </c>
      <c r="J41" s="369" t="s">
        <v>487</v>
      </c>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16"/>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c r="EM41" s="16"/>
      <c r="EN41" s="16"/>
      <c r="EO41" s="16"/>
      <c r="EP41" s="16"/>
      <c r="EQ41" s="16"/>
      <c r="ER41" s="16"/>
      <c r="ES41" s="16"/>
      <c r="ET41" s="16"/>
      <c r="EU41" s="16"/>
      <c r="EV41" s="16"/>
      <c r="EW41" s="16"/>
      <c r="EX41" s="16"/>
      <c r="EY41" s="16"/>
      <c r="EZ41" s="16"/>
      <c r="FA41" s="16"/>
      <c r="FB41" s="16"/>
      <c r="FC41" s="16"/>
      <c r="FD41" s="16"/>
      <c r="FE41" s="16"/>
      <c r="FF41" s="16"/>
      <c r="FG41" s="16"/>
      <c r="FH41" s="16"/>
      <c r="FI41" s="16"/>
      <c r="FJ41" s="16"/>
      <c r="FK41" s="16"/>
      <c r="FL41" s="16"/>
      <c r="FM41" s="16"/>
      <c r="FN41" s="16"/>
      <c r="FO41" s="16"/>
      <c r="FP41" s="16"/>
      <c r="FQ41" s="16"/>
      <c r="FR41" s="16"/>
      <c r="FS41" s="16"/>
      <c r="FT41" s="16"/>
      <c r="FU41" s="16"/>
      <c r="FV41" s="16"/>
      <c r="FW41" s="16"/>
      <c r="FX41" s="16"/>
      <c r="FY41" s="16"/>
      <c r="FZ41" s="16"/>
      <c r="GA41" s="16"/>
      <c r="GB41" s="16"/>
      <c r="GC41" s="16"/>
      <c r="GD41" s="16"/>
      <c r="GE41" s="16"/>
      <c r="GF41" s="16"/>
      <c r="GG41" s="16"/>
      <c r="GH41" s="16"/>
      <c r="GI41" s="16"/>
      <c r="GJ41" s="16"/>
      <c r="GK41" s="16"/>
      <c r="GL41" s="16"/>
      <c r="GM41" s="16"/>
      <c r="GN41" s="16"/>
      <c r="GO41" s="16"/>
      <c r="GP41" s="16"/>
      <c r="GQ41" s="16"/>
      <c r="GR41" s="16"/>
      <c r="GS41" s="16"/>
      <c r="GT41" s="16"/>
      <c r="GU41" s="16"/>
      <c r="GV41" s="16"/>
      <c r="GW41" s="16"/>
      <c r="GX41" s="16"/>
      <c r="GY41" s="16"/>
      <c r="GZ41" s="16"/>
      <c r="HA41" s="16"/>
      <c r="HB41" s="16"/>
      <c r="HC41" s="16"/>
      <c r="HD41" s="16"/>
      <c r="HE41" s="16"/>
      <c r="HF41" s="16"/>
      <c r="HG41" s="16"/>
      <c r="HH41" s="16"/>
      <c r="HI41" s="16"/>
      <c r="HJ41" s="16"/>
      <c r="HK41" s="16"/>
      <c r="HL41" s="16"/>
      <c r="HM41" s="16"/>
      <c r="HN41" s="16"/>
      <c r="HO41" s="16"/>
      <c r="HP41" s="16"/>
      <c r="HQ41" s="16"/>
      <c r="HR41" s="16"/>
      <c r="HS41" s="16"/>
      <c r="HT41" s="16"/>
      <c r="HU41" s="16"/>
      <c r="HV41" s="16"/>
      <c r="HW41" s="16"/>
      <c r="HX41" s="16"/>
      <c r="HY41" s="16"/>
      <c r="HZ41" s="16"/>
      <c r="IA41" s="16"/>
      <c r="IB41" s="16"/>
      <c r="IC41" s="16"/>
      <c r="ID41" s="16"/>
      <c r="IE41" s="16"/>
      <c r="IF41" s="16"/>
      <c r="IG41" s="16"/>
      <c r="IH41" s="16"/>
      <c r="II41" s="16"/>
      <c r="IJ41" s="16"/>
      <c r="IK41" s="16"/>
      <c r="IL41" s="16"/>
      <c r="IM41" s="16"/>
      <c r="IN41" s="16"/>
      <c r="IO41" s="16"/>
      <c r="IP41" s="16"/>
      <c r="IQ41" s="16"/>
      <c r="IR41" s="16"/>
      <c r="IS41" s="16"/>
      <c r="IT41" s="16"/>
    </row>
    <row r="42" spans="1:254" ht="24">
      <c r="A42" s="18" t="s">
        <v>227</v>
      </c>
      <c r="B42" s="19" t="s">
        <v>228</v>
      </c>
      <c r="C42" s="20">
        <v>0</v>
      </c>
      <c r="D42" s="21">
        <v>-0.31270000338554382</v>
      </c>
      <c r="E42" s="21">
        <v>-0.31270000338554382</v>
      </c>
      <c r="F42" s="21">
        <v>-0.25648000091314316</v>
      </c>
      <c r="G42" s="21">
        <v>-5.7830002158880234E-2</v>
      </c>
      <c r="H42" s="22">
        <v>0</v>
      </c>
      <c r="I42" s="23" t="str">
        <f t="shared" si="5"/>
        <v>è</v>
      </c>
      <c r="J42" s="368" t="s">
        <v>488</v>
      </c>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c r="EM42" s="16"/>
      <c r="EN42" s="16"/>
      <c r="EO42" s="16"/>
      <c r="EP42" s="16"/>
      <c r="EQ42" s="16"/>
      <c r="ER42" s="16"/>
      <c r="ES42" s="16"/>
      <c r="ET42" s="16"/>
      <c r="EU42" s="16"/>
      <c r="EV42" s="16"/>
      <c r="EW42" s="16"/>
      <c r="EX42" s="16"/>
      <c r="EY42" s="16"/>
      <c r="EZ42" s="16"/>
      <c r="FA42" s="16"/>
      <c r="FB42" s="16"/>
      <c r="FC42" s="16"/>
      <c r="FD42" s="16"/>
      <c r="FE42" s="16"/>
      <c r="FF42" s="16"/>
      <c r="FG42" s="16"/>
      <c r="FH42" s="16"/>
      <c r="FI42" s="16"/>
      <c r="FJ42" s="16"/>
      <c r="FK42" s="16"/>
      <c r="FL42" s="16"/>
      <c r="FM42" s="16"/>
      <c r="FN42" s="16"/>
      <c r="FO42" s="16"/>
      <c r="FP42" s="16"/>
      <c r="FQ42" s="16"/>
      <c r="FR42" s="16"/>
      <c r="FS42" s="16"/>
      <c r="FT42" s="16"/>
      <c r="FU42" s="16"/>
      <c r="FV42" s="16"/>
      <c r="FW42" s="16"/>
      <c r="FX42" s="16"/>
      <c r="FY42" s="16"/>
      <c r="FZ42" s="16"/>
      <c r="GA42" s="16"/>
      <c r="GB42" s="16"/>
      <c r="GC42" s="16"/>
      <c r="GD42" s="16"/>
      <c r="GE42" s="16"/>
      <c r="GF42" s="16"/>
      <c r="GG42" s="16"/>
      <c r="GH42" s="16"/>
      <c r="GI42" s="16"/>
      <c r="GJ42" s="16"/>
      <c r="GK42" s="16"/>
      <c r="GL42" s="16"/>
      <c r="GM42" s="16"/>
      <c r="GN42" s="16"/>
      <c r="GO42" s="16"/>
      <c r="GP42" s="16"/>
      <c r="GQ42" s="16"/>
      <c r="GR42" s="16"/>
      <c r="GS42" s="16"/>
      <c r="GT42" s="16"/>
      <c r="GU42" s="16"/>
      <c r="GV42" s="16"/>
      <c r="GW42" s="16"/>
      <c r="GX42" s="16"/>
      <c r="GY42" s="16"/>
      <c r="GZ42" s="16"/>
      <c r="HA42" s="16"/>
      <c r="HB42" s="16"/>
      <c r="HC42" s="16"/>
      <c r="HD42" s="16"/>
      <c r="HE42" s="16"/>
      <c r="HF42" s="16"/>
      <c r="HG42" s="16"/>
      <c r="HH42" s="16"/>
      <c r="HI42" s="16"/>
      <c r="HJ42" s="16"/>
      <c r="HK42" s="16"/>
      <c r="HL42" s="16"/>
      <c r="HM42" s="16"/>
      <c r="HN42" s="16"/>
      <c r="HO42" s="16"/>
      <c r="HP42" s="16"/>
      <c r="HQ42" s="16"/>
      <c r="HR42" s="16"/>
      <c r="HS42" s="16"/>
      <c r="HT42" s="16"/>
      <c r="HU42" s="16"/>
      <c r="HV42" s="16"/>
      <c r="HW42" s="16"/>
      <c r="HX42" s="16"/>
      <c r="HY42" s="16"/>
      <c r="HZ42" s="16"/>
      <c r="IA42" s="16"/>
      <c r="IB42" s="16"/>
      <c r="IC42" s="16"/>
      <c r="ID42" s="16"/>
      <c r="IE42" s="16"/>
      <c r="IF42" s="16"/>
      <c r="IG42" s="16"/>
      <c r="IH42" s="16"/>
      <c r="II42" s="16"/>
      <c r="IJ42" s="16"/>
      <c r="IK42" s="16"/>
      <c r="IL42" s="16"/>
      <c r="IM42" s="16"/>
      <c r="IN42" s="16"/>
      <c r="IO42" s="16"/>
      <c r="IP42" s="16"/>
      <c r="IQ42" s="16"/>
      <c r="IR42" s="16"/>
      <c r="IS42" s="16"/>
      <c r="IT42" s="16"/>
    </row>
    <row r="43" spans="1:254" ht="12.75" customHeight="1">
      <c r="A43" s="26" t="s">
        <v>229</v>
      </c>
      <c r="B43" s="27" t="s">
        <v>230</v>
      </c>
      <c r="C43" s="28">
        <v>-10669.219999999972</v>
      </c>
      <c r="D43" s="29">
        <v>0.31449999997857958</v>
      </c>
      <c r="E43" s="29">
        <v>0.31449999997857958</v>
      </c>
      <c r="F43" s="29">
        <v>0.36879999999655411</v>
      </c>
      <c r="G43" s="29">
        <v>-0.46895000006770715</v>
      </c>
      <c r="H43" s="30">
        <f t="shared" si="4"/>
        <v>-99.995604645887255</v>
      </c>
      <c r="I43" s="115" t="str">
        <f t="shared" si="5"/>
        <v>è</v>
      </c>
      <c r="J43" s="50"/>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c r="EM43" s="16"/>
      <c r="EN43" s="16"/>
      <c r="EO43" s="16"/>
      <c r="EP43" s="16"/>
      <c r="EQ43" s="16"/>
      <c r="ER43" s="16"/>
      <c r="ES43" s="16"/>
      <c r="ET43" s="16"/>
      <c r="EU43" s="16"/>
      <c r="EV43" s="16"/>
      <c r="EW43" s="16"/>
      <c r="EX43" s="16"/>
      <c r="EY43" s="16"/>
      <c r="EZ43" s="16"/>
      <c r="FA43" s="16"/>
      <c r="FB43" s="16"/>
      <c r="FC43" s="16"/>
      <c r="FD43" s="16"/>
      <c r="FE43" s="16"/>
      <c r="FF43" s="16"/>
      <c r="FG43" s="16"/>
      <c r="FH43" s="16"/>
      <c r="FI43" s="16"/>
      <c r="FJ43" s="16"/>
      <c r="FK43" s="16"/>
      <c r="FL43" s="16"/>
      <c r="FM43" s="16"/>
      <c r="FN43" s="16"/>
      <c r="FO43" s="16"/>
      <c r="FP43" s="16"/>
      <c r="FQ43" s="16"/>
      <c r="FR43" s="16"/>
      <c r="FS43" s="16"/>
      <c r="FT43" s="16"/>
      <c r="FU43" s="16"/>
      <c r="FV43" s="16"/>
      <c r="FW43" s="16"/>
      <c r="FX43" s="16"/>
      <c r="FY43" s="16"/>
      <c r="FZ43" s="16"/>
      <c r="GA43" s="16"/>
      <c r="GB43" s="16"/>
      <c r="GC43" s="16"/>
      <c r="GD43" s="16"/>
      <c r="GE43" s="16"/>
      <c r="GF43" s="16"/>
      <c r="GG43" s="16"/>
      <c r="GH43" s="16"/>
      <c r="GI43" s="16"/>
      <c r="GJ43" s="16"/>
      <c r="GK43" s="16"/>
      <c r="GL43" s="16"/>
      <c r="GM43" s="16"/>
      <c r="GN43" s="16"/>
      <c r="GO43" s="16"/>
      <c r="GP43" s="16"/>
      <c r="GQ43" s="16"/>
      <c r="GR43" s="16"/>
      <c r="GS43" s="16"/>
      <c r="GT43" s="16"/>
      <c r="GU43" s="16"/>
      <c r="GV43" s="16"/>
      <c r="GW43" s="16"/>
      <c r="GX43" s="16"/>
      <c r="GY43" s="16"/>
      <c r="GZ43" s="16"/>
      <c r="HA43" s="16"/>
      <c r="HB43" s="16"/>
      <c r="HC43" s="16"/>
      <c r="HD43" s="16"/>
      <c r="HE43" s="16"/>
      <c r="HF43" s="16"/>
      <c r="HG43" s="16"/>
      <c r="HH43" s="16"/>
      <c r="HI43" s="16"/>
      <c r="HJ43" s="16"/>
      <c r="HK43" s="16"/>
      <c r="HL43" s="16"/>
      <c r="HM43" s="16"/>
      <c r="HN43" s="16"/>
      <c r="HO43" s="16"/>
      <c r="HP43" s="16"/>
      <c r="HQ43" s="16"/>
      <c r="HR43" s="16"/>
      <c r="HS43" s="16"/>
      <c r="HT43" s="16"/>
      <c r="HU43" s="16"/>
      <c r="HV43" s="16"/>
      <c r="HW43" s="16"/>
      <c r="HX43" s="16"/>
      <c r="HY43" s="16"/>
      <c r="HZ43" s="16"/>
      <c r="IA43" s="16"/>
      <c r="IB43" s="16"/>
      <c r="IC43" s="16"/>
      <c r="ID43" s="16"/>
      <c r="IE43" s="16"/>
      <c r="IF43" s="16"/>
      <c r="IG43" s="16"/>
      <c r="IH43" s="16"/>
      <c r="II43" s="16"/>
      <c r="IJ43" s="16"/>
      <c r="IK43" s="16"/>
      <c r="IL43" s="16"/>
      <c r="IM43" s="16"/>
      <c r="IN43" s="16"/>
      <c r="IO43" s="16"/>
      <c r="IP43" s="16"/>
      <c r="IQ43" s="16"/>
      <c r="IR43" s="16"/>
      <c r="IS43" s="16"/>
      <c r="IT43" s="16"/>
    </row>
    <row r="44" spans="1:254" ht="24">
      <c r="A44" s="18" t="s">
        <v>231</v>
      </c>
      <c r="B44" s="19" t="s">
        <v>232</v>
      </c>
      <c r="C44" s="20">
        <v>13650191.740000002</v>
      </c>
      <c r="D44" s="21">
        <v>13869295.7544</v>
      </c>
      <c r="E44" s="21">
        <v>14491857.7544</v>
      </c>
      <c r="F44" s="21">
        <v>15491073.686560001</v>
      </c>
      <c r="G44" s="21">
        <v>15534735.233759999</v>
      </c>
      <c r="H44" s="22">
        <f t="shared" ref="H44:H55" si="6">SUM(G44/C44*100-100)</f>
        <v>13.805985510354432</v>
      </c>
      <c r="I44" s="23" t="str">
        <f t="shared" si="5"/>
        <v>ì</v>
      </c>
      <c r="J44" s="368" t="s">
        <v>489</v>
      </c>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c r="EM44" s="16"/>
      <c r="EN44" s="16"/>
      <c r="EO44" s="16"/>
      <c r="EP44" s="16"/>
      <c r="EQ44" s="16"/>
      <c r="ER44" s="16"/>
      <c r="ES44" s="16"/>
      <c r="ET44" s="16"/>
      <c r="EU44" s="16"/>
      <c r="EV44" s="16"/>
      <c r="EW44" s="16"/>
      <c r="EX44" s="16"/>
      <c r="EY44" s="16"/>
      <c r="EZ44" s="16"/>
      <c r="FA44" s="16"/>
      <c r="FB44" s="16"/>
      <c r="FC44" s="16"/>
      <c r="FD44" s="16"/>
      <c r="FE44" s="16"/>
      <c r="FF44" s="16"/>
      <c r="FG44" s="16"/>
      <c r="FH44" s="16"/>
      <c r="FI44" s="16"/>
      <c r="FJ44" s="16"/>
      <c r="FK44" s="16"/>
      <c r="FL44" s="16"/>
      <c r="FM44" s="16"/>
      <c r="FN44" s="16"/>
      <c r="FO44" s="16"/>
      <c r="FP44" s="16"/>
      <c r="FQ44" s="16"/>
      <c r="FR44" s="16"/>
      <c r="FS44" s="16"/>
      <c r="FT44" s="16"/>
      <c r="FU44" s="16"/>
      <c r="FV44" s="16"/>
      <c r="FW44" s="16"/>
      <c r="FX44" s="16"/>
      <c r="FY44" s="16"/>
      <c r="FZ44" s="16"/>
      <c r="GA44" s="16"/>
      <c r="GB44" s="16"/>
      <c r="GC44" s="16"/>
      <c r="GD44" s="16"/>
      <c r="GE44" s="16"/>
      <c r="GF44" s="16"/>
      <c r="GG44" s="16"/>
      <c r="GH44" s="16"/>
      <c r="GI44" s="16"/>
      <c r="GJ44" s="16"/>
      <c r="GK44" s="16"/>
      <c r="GL44" s="16"/>
      <c r="GM44" s="16"/>
      <c r="GN44" s="16"/>
      <c r="GO44" s="16"/>
      <c r="GP44" s="16"/>
      <c r="GQ44" s="16"/>
      <c r="GR44" s="16"/>
      <c r="GS44" s="16"/>
      <c r="GT44" s="16"/>
      <c r="GU44" s="16"/>
      <c r="GV44" s="16"/>
      <c r="GW44" s="16"/>
      <c r="GX44" s="16"/>
      <c r="GY44" s="16"/>
      <c r="GZ44" s="16"/>
      <c r="HA44" s="16"/>
      <c r="HB44" s="16"/>
      <c r="HC44" s="16"/>
      <c r="HD44" s="16"/>
      <c r="HE44" s="16"/>
      <c r="HF44" s="16"/>
      <c r="HG44" s="16"/>
      <c r="HH44" s="16"/>
      <c r="HI44" s="16"/>
      <c r="HJ44" s="16"/>
      <c r="HK44" s="16"/>
      <c r="HL44" s="16"/>
      <c r="HM44" s="16"/>
      <c r="HN44" s="16"/>
      <c r="HO44" s="16"/>
      <c r="HP44" s="16"/>
      <c r="HQ44" s="16"/>
      <c r="HR44" s="16"/>
      <c r="HS44" s="16"/>
      <c r="HT44" s="16"/>
      <c r="HU44" s="16"/>
      <c r="HV44" s="16"/>
      <c r="HW44" s="16"/>
      <c r="HX44" s="16"/>
      <c r="HY44" s="16"/>
      <c r="HZ44" s="16"/>
      <c r="IA44" s="16"/>
      <c r="IB44" s="16"/>
      <c r="IC44" s="16"/>
      <c r="ID44" s="16"/>
      <c r="IE44" s="16"/>
      <c r="IF44" s="16"/>
      <c r="IG44" s="16"/>
      <c r="IH44" s="16"/>
      <c r="II44" s="16"/>
      <c r="IJ44" s="16"/>
      <c r="IK44" s="16"/>
      <c r="IL44" s="16"/>
      <c r="IM44" s="16"/>
      <c r="IN44" s="16"/>
      <c r="IO44" s="16"/>
      <c r="IP44" s="16"/>
      <c r="IQ44" s="16"/>
      <c r="IR44" s="16"/>
      <c r="IS44" s="16"/>
      <c r="IT44" s="16"/>
    </row>
    <row r="45" spans="1:254">
      <c r="A45" s="26" t="s">
        <v>233</v>
      </c>
      <c r="B45" s="27" t="s">
        <v>234</v>
      </c>
      <c r="C45" s="28">
        <v>521117.56999999995</v>
      </c>
      <c r="D45" s="29">
        <v>409175.00239999988</v>
      </c>
      <c r="E45" s="29">
        <v>419308.00239999988</v>
      </c>
      <c r="F45" s="29">
        <v>408585.46176000009</v>
      </c>
      <c r="G45" s="29">
        <v>550364.98295999994</v>
      </c>
      <c r="H45" s="30">
        <f t="shared" si="6"/>
        <v>5.6124403865331232</v>
      </c>
      <c r="I45" s="115" t="str">
        <f t="shared" si="5"/>
        <v>ì</v>
      </c>
      <c r="J45" s="369" t="s">
        <v>490</v>
      </c>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c r="EM45" s="16"/>
      <c r="EN45" s="16"/>
      <c r="EO45" s="16"/>
      <c r="EP45" s="16"/>
      <c r="EQ45" s="16"/>
      <c r="ER45" s="16"/>
      <c r="ES45" s="16"/>
      <c r="ET45" s="16"/>
      <c r="EU45" s="16"/>
      <c r="EV45" s="16"/>
      <c r="EW45" s="16"/>
      <c r="EX45" s="16"/>
      <c r="EY45" s="16"/>
      <c r="EZ45" s="16"/>
      <c r="FA45" s="16"/>
      <c r="FB45" s="16"/>
      <c r="FC45" s="16"/>
      <c r="FD45" s="16"/>
      <c r="FE45" s="16"/>
      <c r="FF45" s="16"/>
      <c r="FG45" s="16"/>
      <c r="FH45" s="16"/>
      <c r="FI45" s="16"/>
      <c r="FJ45" s="16"/>
      <c r="FK45" s="16"/>
      <c r="FL45" s="16"/>
      <c r="FM45" s="16"/>
      <c r="FN45" s="16"/>
      <c r="FO45" s="16"/>
      <c r="FP45" s="16"/>
      <c r="FQ45" s="16"/>
      <c r="FR45" s="16"/>
      <c r="FS45" s="16"/>
      <c r="FT45" s="16"/>
      <c r="FU45" s="16"/>
      <c r="FV45" s="16"/>
      <c r="FW45" s="16"/>
      <c r="FX45" s="16"/>
      <c r="FY45" s="16"/>
      <c r="FZ45" s="16"/>
      <c r="GA45" s="16"/>
      <c r="GB45" s="16"/>
      <c r="GC45" s="16"/>
      <c r="GD45" s="16"/>
      <c r="GE45" s="16"/>
      <c r="GF45" s="16"/>
      <c r="GG45" s="16"/>
      <c r="GH45" s="16"/>
      <c r="GI45" s="16"/>
      <c r="GJ45" s="16"/>
      <c r="GK45" s="16"/>
      <c r="GL45" s="16"/>
      <c r="GM45" s="16"/>
      <c r="GN45" s="16"/>
      <c r="GO45" s="16"/>
      <c r="GP45" s="16"/>
      <c r="GQ45" s="16"/>
      <c r="GR45" s="16"/>
      <c r="GS45" s="16"/>
      <c r="GT45" s="16"/>
      <c r="GU45" s="16"/>
      <c r="GV45" s="16"/>
      <c r="GW45" s="16"/>
      <c r="GX45" s="16"/>
      <c r="GY45" s="16"/>
      <c r="GZ45" s="16"/>
      <c r="HA45" s="16"/>
      <c r="HB45" s="16"/>
      <c r="HC45" s="16"/>
      <c r="HD45" s="16"/>
      <c r="HE45" s="16"/>
      <c r="HF45" s="16"/>
      <c r="HG45" s="16"/>
      <c r="HH45" s="16"/>
      <c r="HI45" s="16"/>
      <c r="HJ45" s="16"/>
      <c r="HK45" s="16"/>
      <c r="HL45" s="16"/>
      <c r="HM45" s="16"/>
      <c r="HN45" s="16"/>
      <c r="HO45" s="16"/>
      <c r="HP45" s="16"/>
      <c r="HQ45" s="16"/>
      <c r="HR45" s="16"/>
      <c r="HS45" s="16"/>
      <c r="HT45" s="16"/>
      <c r="HU45" s="16"/>
      <c r="HV45" s="16"/>
      <c r="HW45" s="16"/>
      <c r="HX45" s="16"/>
      <c r="HY45" s="16"/>
      <c r="HZ45" s="16"/>
      <c r="IA45" s="16"/>
      <c r="IB45" s="16"/>
      <c r="IC45" s="16"/>
      <c r="ID45" s="16"/>
      <c r="IE45" s="16"/>
      <c r="IF45" s="16"/>
      <c r="IG45" s="16"/>
      <c r="IH45" s="16"/>
      <c r="II45" s="16"/>
      <c r="IJ45" s="16"/>
      <c r="IK45" s="16"/>
      <c r="IL45" s="16"/>
      <c r="IM45" s="16"/>
      <c r="IN45" s="16"/>
      <c r="IO45" s="16"/>
      <c r="IP45" s="16"/>
      <c r="IQ45" s="16"/>
      <c r="IR45" s="16"/>
      <c r="IS45" s="16"/>
      <c r="IT45" s="16"/>
    </row>
    <row r="46" spans="1:254">
      <c r="A46" s="18" t="s">
        <v>235</v>
      </c>
      <c r="B46" s="19" t="s">
        <v>236</v>
      </c>
      <c r="C46" s="20">
        <v>4012022.0900000003</v>
      </c>
      <c r="D46" s="21">
        <v>3882439.2360000005</v>
      </c>
      <c r="E46" s="21">
        <v>3910979.2360000005</v>
      </c>
      <c r="F46" s="21">
        <v>3910307.1044000005</v>
      </c>
      <c r="G46" s="21">
        <v>3911093.5574000003</v>
      </c>
      <c r="H46" s="22">
        <f t="shared" si="6"/>
        <v>-2.515652464914524</v>
      </c>
      <c r="I46" s="23" t="str">
        <f t="shared" si="5"/>
        <v>è</v>
      </c>
      <c r="J46" s="32"/>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c r="BL46" s="16"/>
      <c r="BM46" s="16"/>
      <c r="BN46" s="16"/>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c r="EM46" s="16"/>
      <c r="EN46" s="16"/>
      <c r="EO46" s="16"/>
      <c r="EP46" s="16"/>
      <c r="EQ46" s="16"/>
      <c r="ER46" s="16"/>
      <c r="ES46" s="16"/>
      <c r="ET46" s="16"/>
      <c r="EU46" s="16"/>
      <c r="EV46" s="16"/>
      <c r="EW46" s="16"/>
      <c r="EX46" s="16"/>
      <c r="EY46" s="16"/>
      <c r="EZ46" s="16"/>
      <c r="FA46" s="16"/>
      <c r="FB46" s="16"/>
      <c r="FC46" s="16"/>
      <c r="FD46" s="16"/>
      <c r="FE46" s="16"/>
      <c r="FF46" s="16"/>
      <c r="FG46" s="16"/>
      <c r="FH46" s="16"/>
      <c r="FI46" s="16"/>
      <c r="FJ46" s="16"/>
      <c r="FK46" s="16"/>
      <c r="FL46" s="16"/>
      <c r="FM46" s="16"/>
      <c r="FN46" s="16"/>
      <c r="FO46" s="16"/>
      <c r="FP46" s="16"/>
      <c r="FQ46" s="16"/>
      <c r="FR46" s="16"/>
      <c r="FS46" s="16"/>
      <c r="FT46" s="16"/>
      <c r="FU46" s="16"/>
      <c r="FV46" s="16"/>
      <c r="FW46" s="16"/>
      <c r="FX46" s="16"/>
      <c r="FY46" s="16"/>
      <c r="FZ46" s="16"/>
      <c r="GA46" s="16"/>
      <c r="GB46" s="16"/>
      <c r="GC46" s="16"/>
      <c r="GD46" s="16"/>
      <c r="GE46" s="16"/>
      <c r="GF46" s="16"/>
      <c r="GG46" s="16"/>
      <c r="GH46" s="16"/>
      <c r="GI46" s="16"/>
      <c r="GJ46" s="16"/>
      <c r="GK46" s="16"/>
      <c r="GL46" s="16"/>
      <c r="GM46" s="16"/>
      <c r="GN46" s="16"/>
      <c r="GO46" s="16"/>
      <c r="GP46" s="16"/>
      <c r="GQ46" s="16"/>
      <c r="GR46" s="16"/>
      <c r="GS46" s="16"/>
      <c r="GT46" s="16"/>
      <c r="GU46" s="16"/>
      <c r="GV46" s="16"/>
      <c r="GW46" s="16"/>
      <c r="GX46" s="16"/>
      <c r="GY46" s="16"/>
      <c r="GZ46" s="16"/>
      <c r="HA46" s="16"/>
      <c r="HB46" s="16"/>
      <c r="HC46" s="16"/>
      <c r="HD46" s="16"/>
      <c r="HE46" s="16"/>
      <c r="HF46" s="16"/>
      <c r="HG46" s="16"/>
      <c r="HH46" s="16"/>
      <c r="HI46" s="16"/>
      <c r="HJ46" s="16"/>
      <c r="HK46" s="16"/>
      <c r="HL46" s="16"/>
      <c r="HM46" s="16"/>
      <c r="HN46" s="16"/>
      <c r="HO46" s="16"/>
      <c r="HP46" s="16"/>
      <c r="HQ46" s="16"/>
      <c r="HR46" s="16"/>
      <c r="HS46" s="16"/>
      <c r="HT46" s="16"/>
      <c r="HU46" s="16"/>
      <c r="HV46" s="16"/>
      <c r="HW46" s="16"/>
      <c r="HX46" s="16"/>
      <c r="HY46" s="16"/>
      <c r="HZ46" s="16"/>
      <c r="IA46" s="16"/>
      <c r="IB46" s="16"/>
      <c r="IC46" s="16"/>
      <c r="ID46" s="16"/>
      <c r="IE46" s="16"/>
      <c r="IF46" s="16"/>
      <c r="IG46" s="16"/>
      <c r="IH46" s="16"/>
      <c r="II46" s="16"/>
      <c r="IJ46" s="16"/>
      <c r="IK46" s="16"/>
      <c r="IL46" s="16"/>
      <c r="IM46" s="16"/>
      <c r="IN46" s="16"/>
      <c r="IO46" s="16"/>
      <c r="IP46" s="16"/>
      <c r="IQ46" s="16"/>
      <c r="IR46" s="16"/>
      <c r="IS46" s="16"/>
      <c r="IT46" s="16"/>
    </row>
    <row r="47" spans="1:254" ht="24">
      <c r="A47" s="26" t="s">
        <v>237</v>
      </c>
      <c r="B47" s="27" t="s">
        <v>238</v>
      </c>
      <c r="C47" s="28">
        <v>1751046.1199999999</v>
      </c>
      <c r="D47" s="29">
        <v>1750718.0419999997</v>
      </c>
      <c r="E47" s="29">
        <v>1751378.0419999997</v>
      </c>
      <c r="F47" s="29">
        <v>1770059.0127999994</v>
      </c>
      <c r="G47" s="29">
        <v>1427154.7893099997</v>
      </c>
      <c r="H47" s="30">
        <f t="shared" si="6"/>
        <v>-18.49701883865859</v>
      </c>
      <c r="I47" s="115" t="str">
        <f t="shared" si="5"/>
        <v>î</v>
      </c>
      <c r="J47" s="369" t="s">
        <v>527</v>
      </c>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c r="BI47" s="16"/>
      <c r="BJ47" s="16"/>
      <c r="BK47" s="16"/>
      <c r="BL47" s="16"/>
      <c r="BM47" s="16"/>
      <c r="BN47" s="16"/>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c r="EM47" s="16"/>
      <c r="EN47" s="16"/>
      <c r="EO47" s="16"/>
      <c r="EP47" s="16"/>
      <c r="EQ47" s="16"/>
      <c r="ER47" s="16"/>
      <c r="ES47" s="16"/>
      <c r="ET47" s="16"/>
      <c r="EU47" s="16"/>
      <c r="EV47" s="16"/>
      <c r="EW47" s="16"/>
      <c r="EX47" s="16"/>
      <c r="EY47" s="16"/>
      <c r="EZ47" s="16"/>
      <c r="FA47" s="16"/>
      <c r="FB47" s="16"/>
      <c r="FC47" s="16"/>
      <c r="FD47" s="16"/>
      <c r="FE47" s="16"/>
      <c r="FF47" s="16"/>
      <c r="FG47" s="16"/>
      <c r="FH47" s="16"/>
      <c r="FI47" s="16"/>
      <c r="FJ47" s="16"/>
      <c r="FK47" s="16"/>
      <c r="FL47" s="16"/>
      <c r="FM47" s="16"/>
      <c r="FN47" s="16"/>
      <c r="FO47" s="16"/>
      <c r="FP47" s="16"/>
      <c r="FQ47" s="16"/>
      <c r="FR47" s="16"/>
      <c r="FS47" s="16"/>
      <c r="FT47" s="16"/>
      <c r="FU47" s="16"/>
      <c r="FV47" s="16"/>
      <c r="FW47" s="16"/>
      <c r="FX47" s="16"/>
      <c r="FY47" s="16"/>
      <c r="FZ47" s="16"/>
      <c r="GA47" s="16"/>
      <c r="GB47" s="16"/>
      <c r="GC47" s="16"/>
      <c r="GD47" s="16"/>
      <c r="GE47" s="16"/>
      <c r="GF47" s="16"/>
      <c r="GG47" s="16"/>
      <c r="GH47" s="16"/>
      <c r="GI47" s="16"/>
      <c r="GJ47" s="16"/>
      <c r="GK47" s="16"/>
      <c r="GL47" s="16"/>
      <c r="GM47" s="16"/>
      <c r="GN47" s="16"/>
      <c r="GO47" s="16"/>
      <c r="GP47" s="16"/>
      <c r="GQ47" s="16"/>
      <c r="GR47" s="16"/>
      <c r="GS47" s="16"/>
      <c r="GT47" s="16"/>
      <c r="GU47" s="16"/>
      <c r="GV47" s="16"/>
      <c r="GW47" s="16"/>
      <c r="GX47" s="16"/>
      <c r="GY47" s="16"/>
      <c r="GZ47" s="16"/>
      <c r="HA47" s="16"/>
      <c r="HB47" s="16"/>
      <c r="HC47" s="16"/>
      <c r="HD47" s="16"/>
      <c r="HE47" s="16"/>
      <c r="HF47" s="16"/>
      <c r="HG47" s="16"/>
      <c r="HH47" s="16"/>
      <c r="HI47" s="16"/>
      <c r="HJ47" s="16"/>
      <c r="HK47" s="16"/>
      <c r="HL47" s="16"/>
      <c r="HM47" s="16"/>
      <c r="HN47" s="16"/>
      <c r="HO47" s="16"/>
      <c r="HP47" s="16"/>
      <c r="HQ47" s="16"/>
      <c r="HR47" s="16"/>
      <c r="HS47" s="16"/>
      <c r="HT47" s="16"/>
      <c r="HU47" s="16"/>
      <c r="HV47" s="16"/>
      <c r="HW47" s="16"/>
      <c r="HX47" s="16"/>
      <c r="HY47" s="16"/>
      <c r="HZ47" s="16"/>
      <c r="IA47" s="16"/>
      <c r="IB47" s="16"/>
      <c r="IC47" s="16"/>
      <c r="ID47" s="16"/>
      <c r="IE47" s="16"/>
      <c r="IF47" s="16"/>
      <c r="IG47" s="16"/>
      <c r="IH47" s="16"/>
      <c r="II47" s="16"/>
      <c r="IJ47" s="16"/>
      <c r="IK47" s="16"/>
      <c r="IL47" s="16"/>
      <c r="IM47" s="16"/>
      <c r="IN47" s="16"/>
      <c r="IO47" s="16"/>
      <c r="IP47" s="16"/>
      <c r="IQ47" s="16"/>
      <c r="IR47" s="16"/>
      <c r="IS47" s="16"/>
      <c r="IT47" s="16"/>
    </row>
    <row r="48" spans="1:254" ht="60">
      <c r="A48" s="395" t="s">
        <v>434</v>
      </c>
      <c r="B48" s="19" t="s">
        <v>211</v>
      </c>
      <c r="C48" s="20">
        <v>3682915.84</v>
      </c>
      <c r="D48" s="21">
        <v>4049167.3447999996</v>
      </c>
      <c r="E48" s="21">
        <v>3771140.3447999996</v>
      </c>
      <c r="F48" s="21">
        <v>3802086.29152</v>
      </c>
      <c r="G48" s="21">
        <v>3825292.8439200004</v>
      </c>
      <c r="H48" s="22">
        <f t="shared" si="6"/>
        <v>3.865877204514149</v>
      </c>
      <c r="I48" s="23" t="str">
        <f t="shared" si="5"/>
        <v>è</v>
      </c>
      <c r="J48" s="368" t="s">
        <v>540</v>
      </c>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c r="BB48" s="16"/>
      <c r="BC48" s="16"/>
      <c r="BD48" s="16"/>
      <c r="BE48" s="16"/>
      <c r="BF48" s="16"/>
      <c r="BG48" s="16"/>
      <c r="BH48" s="16"/>
      <c r="BI48" s="16"/>
      <c r="BJ48" s="16"/>
      <c r="BK48" s="16"/>
      <c r="BL48" s="16"/>
      <c r="BM48" s="16"/>
      <c r="BN48" s="16"/>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c r="EM48" s="16"/>
      <c r="EN48" s="16"/>
      <c r="EO48" s="16"/>
      <c r="EP48" s="16"/>
      <c r="EQ48" s="16"/>
      <c r="ER48" s="16"/>
      <c r="ES48" s="16"/>
      <c r="ET48" s="16"/>
      <c r="EU48" s="16"/>
      <c r="EV48" s="16"/>
      <c r="EW48" s="16"/>
      <c r="EX48" s="16"/>
      <c r="EY48" s="16"/>
      <c r="EZ48" s="16"/>
      <c r="FA48" s="16"/>
      <c r="FB48" s="16"/>
      <c r="FC48" s="16"/>
      <c r="FD48" s="16"/>
      <c r="FE48" s="16"/>
      <c r="FF48" s="16"/>
      <c r="FG48" s="16"/>
      <c r="FH48" s="16"/>
      <c r="FI48" s="16"/>
      <c r="FJ48" s="16"/>
      <c r="FK48" s="16"/>
      <c r="FL48" s="16"/>
      <c r="FM48" s="16"/>
      <c r="FN48" s="16"/>
      <c r="FO48" s="16"/>
      <c r="FP48" s="16"/>
      <c r="FQ48" s="16"/>
      <c r="FR48" s="16"/>
      <c r="FS48" s="16"/>
      <c r="FT48" s="16"/>
      <c r="FU48" s="16"/>
      <c r="FV48" s="16"/>
      <c r="FW48" s="16"/>
      <c r="FX48" s="16"/>
      <c r="FY48" s="16"/>
      <c r="FZ48" s="16"/>
      <c r="GA48" s="16"/>
      <c r="GB48" s="16"/>
      <c r="GC48" s="16"/>
      <c r="GD48" s="16"/>
      <c r="GE48" s="16"/>
      <c r="GF48" s="16"/>
      <c r="GG48" s="16"/>
      <c r="GH48" s="16"/>
      <c r="GI48" s="16"/>
      <c r="GJ48" s="16"/>
      <c r="GK48" s="16"/>
      <c r="GL48" s="16"/>
      <c r="GM48" s="16"/>
      <c r="GN48" s="16"/>
      <c r="GO48" s="16"/>
      <c r="GP48" s="16"/>
      <c r="GQ48" s="16"/>
      <c r="GR48" s="16"/>
      <c r="GS48" s="16"/>
      <c r="GT48" s="16"/>
      <c r="GU48" s="16"/>
      <c r="GV48" s="16"/>
      <c r="GW48" s="16"/>
      <c r="GX48" s="16"/>
      <c r="GY48" s="16"/>
      <c r="GZ48" s="16"/>
      <c r="HA48" s="16"/>
      <c r="HB48" s="16"/>
      <c r="HC48" s="16"/>
      <c r="HD48" s="16"/>
      <c r="HE48" s="16"/>
      <c r="HF48" s="16"/>
      <c r="HG48" s="16"/>
      <c r="HH48" s="16"/>
      <c r="HI48" s="16"/>
      <c r="HJ48" s="16"/>
      <c r="HK48" s="16"/>
      <c r="HL48" s="16"/>
      <c r="HM48" s="16"/>
      <c r="HN48" s="16"/>
      <c r="HO48" s="16"/>
      <c r="HP48" s="16"/>
      <c r="HQ48" s="16"/>
      <c r="HR48" s="16"/>
      <c r="HS48" s="16"/>
      <c r="HT48" s="16"/>
      <c r="HU48" s="16"/>
      <c r="HV48" s="16"/>
      <c r="HW48" s="16"/>
      <c r="HX48" s="16"/>
      <c r="HY48" s="16"/>
      <c r="HZ48" s="16"/>
      <c r="IA48" s="16"/>
      <c r="IB48" s="16"/>
      <c r="IC48" s="16"/>
      <c r="ID48" s="16"/>
      <c r="IE48" s="16"/>
      <c r="IF48" s="16"/>
      <c r="IG48" s="16"/>
      <c r="IH48" s="16"/>
      <c r="II48" s="16"/>
      <c r="IJ48" s="16"/>
      <c r="IK48" s="16"/>
      <c r="IL48" s="16"/>
      <c r="IM48" s="16"/>
      <c r="IN48" s="16"/>
      <c r="IO48" s="16"/>
      <c r="IP48" s="16"/>
      <c r="IQ48" s="16"/>
      <c r="IR48" s="16"/>
      <c r="IS48" s="16"/>
      <c r="IT48" s="16"/>
    </row>
    <row r="49" spans="1:254" ht="24">
      <c r="A49" s="44" t="s">
        <v>239</v>
      </c>
      <c r="B49" s="45" t="s">
        <v>240</v>
      </c>
      <c r="C49" s="46">
        <v>7080186.0199999996</v>
      </c>
      <c r="D49" s="47">
        <v>7359170.4859999996</v>
      </c>
      <c r="E49" s="47">
        <v>7278168.4859999996</v>
      </c>
      <c r="F49" s="47">
        <v>7333018.4824000001</v>
      </c>
      <c r="G49" s="47">
        <v>7350052.6953999996</v>
      </c>
      <c r="H49" s="48">
        <f t="shared" si="6"/>
        <v>3.8115760608222047</v>
      </c>
      <c r="I49" s="115" t="str">
        <f t="shared" si="5"/>
        <v>è</v>
      </c>
      <c r="J49" s="369" t="s">
        <v>557</v>
      </c>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c r="BB49" s="16"/>
      <c r="BC49" s="16"/>
      <c r="BD49" s="16"/>
      <c r="BE49" s="16"/>
      <c r="BF49" s="16"/>
      <c r="BG49" s="16"/>
      <c r="BH49" s="16"/>
      <c r="BI49" s="16"/>
      <c r="BJ49" s="16"/>
      <c r="BK49" s="16"/>
      <c r="BL49" s="16"/>
      <c r="BM49" s="16"/>
      <c r="BN49" s="16"/>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c r="EM49" s="16"/>
      <c r="EN49" s="16"/>
      <c r="EO49" s="16"/>
      <c r="EP49" s="16"/>
      <c r="EQ49" s="16"/>
      <c r="ER49" s="16"/>
      <c r="ES49" s="16"/>
      <c r="ET49" s="16"/>
      <c r="EU49" s="16"/>
      <c r="EV49" s="16"/>
      <c r="EW49" s="16"/>
      <c r="EX49" s="16"/>
      <c r="EY49" s="16"/>
      <c r="EZ49" s="16"/>
      <c r="FA49" s="16"/>
      <c r="FB49" s="16"/>
      <c r="FC49" s="16"/>
      <c r="FD49" s="16"/>
      <c r="FE49" s="16"/>
      <c r="FF49" s="16"/>
      <c r="FG49" s="16"/>
      <c r="FH49" s="16"/>
      <c r="FI49" s="16"/>
      <c r="FJ49" s="16"/>
      <c r="FK49" s="16"/>
      <c r="FL49" s="16"/>
      <c r="FM49" s="16"/>
      <c r="FN49" s="16"/>
      <c r="FO49" s="16"/>
      <c r="FP49" s="16"/>
      <c r="FQ49" s="16"/>
      <c r="FR49" s="16"/>
      <c r="FS49" s="16"/>
      <c r="FT49" s="16"/>
      <c r="FU49" s="16"/>
      <c r="FV49" s="16"/>
      <c r="FW49" s="16"/>
      <c r="FX49" s="16"/>
      <c r="FY49" s="16"/>
      <c r="FZ49" s="16"/>
      <c r="GA49" s="16"/>
      <c r="GB49" s="16"/>
      <c r="GC49" s="16"/>
      <c r="GD49" s="16"/>
      <c r="GE49" s="16"/>
      <c r="GF49" s="16"/>
      <c r="GG49" s="16"/>
      <c r="GH49" s="16"/>
      <c r="GI49" s="16"/>
      <c r="GJ49" s="16"/>
      <c r="GK49" s="16"/>
      <c r="GL49" s="16"/>
      <c r="GM49" s="16"/>
      <c r="GN49" s="16"/>
      <c r="GO49" s="16"/>
      <c r="GP49" s="16"/>
      <c r="GQ49" s="16"/>
      <c r="GR49" s="16"/>
      <c r="GS49" s="16"/>
      <c r="GT49" s="16"/>
      <c r="GU49" s="16"/>
      <c r="GV49" s="16"/>
      <c r="GW49" s="16"/>
      <c r="GX49" s="16"/>
      <c r="GY49" s="16"/>
      <c r="GZ49" s="16"/>
      <c r="HA49" s="16"/>
      <c r="HB49" s="16"/>
      <c r="HC49" s="16"/>
      <c r="HD49" s="16"/>
      <c r="HE49" s="16"/>
      <c r="HF49" s="16"/>
      <c r="HG49" s="16"/>
      <c r="HH49" s="16"/>
      <c r="HI49" s="16"/>
      <c r="HJ49" s="16"/>
      <c r="HK49" s="16"/>
      <c r="HL49" s="16"/>
      <c r="HM49" s="16"/>
      <c r="HN49" s="16"/>
      <c r="HO49" s="16"/>
      <c r="HP49" s="16"/>
      <c r="HQ49" s="16"/>
      <c r="HR49" s="16"/>
      <c r="HS49" s="16"/>
      <c r="HT49" s="16"/>
      <c r="HU49" s="16"/>
      <c r="HV49" s="16"/>
      <c r="HW49" s="16"/>
      <c r="HX49" s="16"/>
      <c r="HY49" s="16"/>
      <c r="HZ49" s="16"/>
      <c r="IA49" s="16"/>
      <c r="IB49" s="16"/>
      <c r="IC49" s="16"/>
      <c r="ID49" s="16"/>
      <c r="IE49" s="16"/>
      <c r="IF49" s="16"/>
      <c r="IG49" s="16"/>
      <c r="IH49" s="16"/>
      <c r="II49" s="16"/>
      <c r="IJ49" s="16"/>
      <c r="IK49" s="16"/>
      <c r="IL49" s="16"/>
      <c r="IM49" s="16"/>
      <c r="IN49" s="16"/>
      <c r="IO49" s="16"/>
      <c r="IP49" s="16"/>
      <c r="IQ49" s="16"/>
      <c r="IR49" s="16"/>
      <c r="IS49" s="16"/>
      <c r="IT49" s="16"/>
    </row>
    <row r="50" spans="1:254" ht="72">
      <c r="A50" s="51" t="s">
        <v>371</v>
      </c>
      <c r="B50" s="52" t="s">
        <v>265</v>
      </c>
      <c r="C50" s="53">
        <v>1628059.6</v>
      </c>
      <c r="D50" s="54">
        <v>978059.89040000015</v>
      </c>
      <c r="E50" s="54">
        <v>978059.89040000015</v>
      </c>
      <c r="F50" s="54">
        <v>989297.7609600001</v>
      </c>
      <c r="G50" s="54">
        <v>993311.28616000002</v>
      </c>
      <c r="H50" s="55">
        <f t="shared" si="6"/>
        <v>-38.988026841277801</v>
      </c>
      <c r="I50" s="23" t="str">
        <f t="shared" si="5"/>
        <v>î</v>
      </c>
      <c r="J50" s="370" t="s">
        <v>535</v>
      </c>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c r="BB50" s="16"/>
      <c r="BC50" s="16"/>
      <c r="BD50" s="16"/>
      <c r="BE50" s="16"/>
      <c r="BF50" s="16"/>
      <c r="BG50" s="16"/>
      <c r="BH50" s="16"/>
      <c r="BI50" s="16"/>
      <c r="BJ50" s="16"/>
      <c r="BK50" s="16"/>
      <c r="BL50" s="16"/>
      <c r="BM50" s="16"/>
      <c r="BN50" s="16"/>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c r="EL50" s="16"/>
      <c r="EM50" s="16"/>
      <c r="EN50" s="16"/>
      <c r="EO50" s="16"/>
      <c r="EP50" s="16"/>
      <c r="EQ50" s="16"/>
      <c r="ER50" s="16"/>
      <c r="ES50" s="16"/>
      <c r="ET50" s="16"/>
      <c r="EU50" s="16"/>
      <c r="EV50" s="16"/>
      <c r="EW50" s="16"/>
      <c r="EX50" s="16"/>
      <c r="EY50" s="16"/>
      <c r="EZ50" s="16"/>
      <c r="FA50" s="16"/>
      <c r="FB50" s="16"/>
      <c r="FC50" s="16"/>
      <c r="FD50" s="16"/>
      <c r="FE50" s="16"/>
      <c r="FF50" s="16"/>
      <c r="FG50" s="16"/>
      <c r="FH50" s="16"/>
      <c r="FI50" s="16"/>
      <c r="FJ50" s="16"/>
      <c r="FK50" s="16"/>
      <c r="FL50" s="16"/>
      <c r="FM50" s="16"/>
      <c r="FN50" s="16"/>
      <c r="FO50" s="16"/>
      <c r="FP50" s="16"/>
      <c r="FQ50" s="16"/>
      <c r="FR50" s="16"/>
      <c r="FS50" s="16"/>
      <c r="FT50" s="16"/>
      <c r="FU50" s="16"/>
      <c r="FV50" s="16"/>
      <c r="FW50" s="16"/>
      <c r="FX50" s="16"/>
      <c r="FY50" s="16"/>
      <c r="FZ50" s="16"/>
      <c r="GA50" s="16"/>
      <c r="GB50" s="16"/>
      <c r="GC50" s="16"/>
      <c r="GD50" s="16"/>
      <c r="GE50" s="16"/>
      <c r="GF50" s="16"/>
      <c r="GG50" s="16"/>
      <c r="GH50" s="16"/>
      <c r="GI50" s="16"/>
      <c r="GJ50" s="16"/>
      <c r="GK50" s="16"/>
      <c r="GL50" s="16"/>
      <c r="GM50" s="16"/>
      <c r="GN50" s="16"/>
      <c r="GO50" s="16"/>
      <c r="GP50" s="16"/>
      <c r="GQ50" s="16"/>
      <c r="GR50" s="16"/>
      <c r="GS50" s="16"/>
      <c r="GT50" s="16"/>
      <c r="GU50" s="16"/>
      <c r="GV50" s="16"/>
      <c r="GW50" s="16"/>
      <c r="GX50" s="16"/>
      <c r="GY50" s="16"/>
      <c r="GZ50" s="16"/>
      <c r="HA50" s="16"/>
      <c r="HB50" s="16"/>
      <c r="HC50" s="16"/>
      <c r="HD50" s="16"/>
      <c r="HE50" s="16"/>
      <c r="HF50" s="16"/>
      <c r="HG50" s="16"/>
      <c r="HH50" s="16"/>
      <c r="HI50" s="16"/>
      <c r="HJ50" s="16"/>
      <c r="HK50" s="16"/>
      <c r="HL50" s="16"/>
      <c r="HM50" s="16"/>
      <c r="HN50" s="16"/>
      <c r="HO50" s="16"/>
      <c r="HP50" s="16"/>
      <c r="HQ50" s="16"/>
      <c r="HR50" s="16"/>
      <c r="HS50" s="16"/>
      <c r="HT50" s="16"/>
      <c r="HU50" s="16"/>
      <c r="HV50" s="16"/>
      <c r="HW50" s="16"/>
      <c r="HX50" s="16"/>
      <c r="HY50" s="16"/>
      <c r="HZ50" s="16"/>
      <c r="IA50" s="16"/>
      <c r="IB50" s="16"/>
      <c r="IC50" s="16"/>
      <c r="ID50" s="16"/>
      <c r="IE50" s="16"/>
      <c r="IF50" s="16"/>
      <c r="IG50" s="16"/>
      <c r="IH50" s="16"/>
      <c r="II50" s="16"/>
      <c r="IJ50" s="16"/>
      <c r="IK50" s="16"/>
      <c r="IL50" s="16"/>
      <c r="IM50" s="16"/>
      <c r="IN50" s="16"/>
      <c r="IO50" s="16"/>
      <c r="IP50" s="16"/>
      <c r="IQ50" s="16"/>
      <c r="IR50" s="16"/>
      <c r="IS50" s="16"/>
      <c r="IT50" s="16"/>
    </row>
    <row r="51" spans="1:254" ht="24">
      <c r="A51" s="44" t="s">
        <v>372</v>
      </c>
      <c r="B51" s="45" t="s">
        <v>266</v>
      </c>
      <c r="C51" s="46">
        <v>8420517.5999999959</v>
      </c>
      <c r="D51" s="47">
        <v>9028883.4905999992</v>
      </c>
      <c r="E51" s="47">
        <v>9118363.4905999992</v>
      </c>
      <c r="F51" s="47">
        <v>9195370.3814399969</v>
      </c>
      <c r="G51" s="47">
        <v>9197158.5567399953</v>
      </c>
      <c r="H51" s="48">
        <f t="shared" si="6"/>
        <v>9.2231973571315677</v>
      </c>
      <c r="I51" s="115" t="str">
        <f t="shared" si="5"/>
        <v>ì</v>
      </c>
      <c r="J51" s="369" t="s">
        <v>491</v>
      </c>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c r="BB51" s="16"/>
      <c r="BC51" s="16"/>
      <c r="BD51" s="16"/>
      <c r="BE51" s="16"/>
      <c r="BF51" s="16"/>
      <c r="BG51" s="16"/>
      <c r="BH51" s="16"/>
      <c r="BI51" s="16"/>
      <c r="BJ51" s="16"/>
      <c r="BK51" s="16"/>
      <c r="BL51" s="16"/>
      <c r="BM51" s="16"/>
      <c r="BN51" s="16"/>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c r="EG51" s="16"/>
      <c r="EH51" s="16"/>
      <c r="EI51" s="16"/>
      <c r="EJ51" s="16"/>
      <c r="EK51" s="16"/>
      <c r="EL51" s="16"/>
      <c r="EM51" s="16"/>
      <c r="EN51" s="16"/>
      <c r="EO51" s="16"/>
      <c r="EP51" s="16"/>
      <c r="EQ51" s="16"/>
      <c r="ER51" s="16"/>
      <c r="ES51" s="16"/>
      <c r="ET51" s="16"/>
      <c r="EU51" s="16"/>
      <c r="EV51" s="16"/>
      <c r="EW51" s="16"/>
      <c r="EX51" s="16"/>
      <c r="EY51" s="16"/>
      <c r="EZ51" s="16"/>
      <c r="FA51" s="16"/>
      <c r="FB51" s="16"/>
      <c r="FC51" s="16"/>
      <c r="FD51" s="16"/>
      <c r="FE51" s="16"/>
      <c r="FF51" s="16"/>
      <c r="FG51" s="16"/>
      <c r="FH51" s="16"/>
      <c r="FI51" s="16"/>
      <c r="FJ51" s="16"/>
      <c r="FK51" s="16"/>
      <c r="FL51" s="16"/>
      <c r="FM51" s="16"/>
      <c r="FN51" s="16"/>
      <c r="FO51" s="16"/>
      <c r="FP51" s="16"/>
      <c r="FQ51" s="16"/>
      <c r="FR51" s="16"/>
      <c r="FS51" s="16"/>
      <c r="FT51" s="16"/>
      <c r="FU51" s="16"/>
      <c r="FV51" s="16"/>
      <c r="FW51" s="16"/>
      <c r="FX51" s="16"/>
      <c r="FY51" s="16"/>
      <c r="FZ51" s="16"/>
      <c r="GA51" s="16"/>
      <c r="GB51" s="16"/>
      <c r="GC51" s="16"/>
      <c r="GD51" s="16"/>
      <c r="GE51" s="16"/>
      <c r="GF51" s="16"/>
      <c r="GG51" s="16"/>
      <c r="GH51" s="16"/>
      <c r="GI51" s="16"/>
      <c r="GJ51" s="16"/>
      <c r="GK51" s="16"/>
      <c r="GL51" s="16"/>
      <c r="GM51" s="16"/>
      <c r="GN51" s="16"/>
      <c r="GO51" s="16"/>
      <c r="GP51" s="16"/>
      <c r="GQ51" s="16"/>
      <c r="GR51" s="16"/>
      <c r="GS51" s="16"/>
      <c r="GT51" s="16"/>
      <c r="GU51" s="16"/>
      <c r="GV51" s="16"/>
      <c r="GW51" s="16"/>
      <c r="GX51" s="16"/>
      <c r="GY51" s="16"/>
      <c r="GZ51" s="16"/>
      <c r="HA51" s="16"/>
      <c r="HB51" s="16"/>
      <c r="HC51" s="16"/>
      <c r="HD51" s="16"/>
      <c r="HE51" s="16"/>
      <c r="HF51" s="16"/>
      <c r="HG51" s="16"/>
      <c r="HH51" s="16"/>
      <c r="HI51" s="16"/>
      <c r="HJ51" s="16"/>
      <c r="HK51" s="16"/>
      <c r="HL51" s="16"/>
      <c r="HM51" s="16"/>
      <c r="HN51" s="16"/>
      <c r="HO51" s="16"/>
      <c r="HP51" s="16"/>
      <c r="HQ51" s="16"/>
      <c r="HR51" s="16"/>
      <c r="HS51" s="16"/>
      <c r="HT51" s="16"/>
      <c r="HU51" s="16"/>
      <c r="HV51" s="16"/>
      <c r="HW51" s="16"/>
      <c r="HX51" s="16"/>
      <c r="HY51" s="16"/>
      <c r="HZ51" s="16"/>
      <c r="IA51" s="16"/>
      <c r="IB51" s="16"/>
      <c r="IC51" s="16"/>
      <c r="ID51" s="16"/>
      <c r="IE51" s="16"/>
      <c r="IF51" s="16"/>
      <c r="IG51" s="16"/>
      <c r="IH51" s="16"/>
      <c r="II51" s="16"/>
      <c r="IJ51" s="16"/>
      <c r="IK51" s="16"/>
      <c r="IL51" s="16"/>
      <c r="IM51" s="16"/>
      <c r="IN51" s="16"/>
      <c r="IO51" s="16"/>
      <c r="IP51" s="16"/>
      <c r="IQ51" s="16"/>
      <c r="IR51" s="16"/>
      <c r="IS51" s="16"/>
      <c r="IT51" s="16"/>
    </row>
    <row r="52" spans="1:254">
      <c r="A52" s="51" t="s">
        <v>373</v>
      </c>
      <c r="B52" s="52" t="s">
        <v>267</v>
      </c>
      <c r="C52" s="53">
        <v>1150176.04</v>
      </c>
      <c r="D52" s="54">
        <v>1127017.4470000002</v>
      </c>
      <c r="E52" s="54">
        <v>1127017.4470000002</v>
      </c>
      <c r="F52" s="54">
        <v>1147462.7488000002</v>
      </c>
      <c r="G52" s="54">
        <v>1154764.6422999999</v>
      </c>
      <c r="H52" s="55">
        <f t="shared" si="6"/>
        <v>0.39894782541287555</v>
      </c>
      <c r="I52" s="23" t="str">
        <f t="shared" si="5"/>
        <v>è</v>
      </c>
      <c r="J52" s="56" t="s">
        <v>167</v>
      </c>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c r="BB52" s="16"/>
      <c r="BC52" s="16"/>
      <c r="BD52" s="16"/>
      <c r="BE52" s="16"/>
      <c r="BF52" s="16"/>
      <c r="BG52" s="16"/>
      <c r="BH52" s="16"/>
      <c r="BI52" s="16"/>
      <c r="BJ52" s="16"/>
      <c r="BK52" s="16"/>
      <c r="BL52" s="16"/>
      <c r="BM52" s="16"/>
      <c r="BN52" s="16"/>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c r="EI52" s="16"/>
      <c r="EJ52" s="16"/>
      <c r="EK52" s="16"/>
      <c r="EL52" s="16"/>
      <c r="EM52" s="16"/>
      <c r="EN52" s="16"/>
      <c r="EO52" s="16"/>
      <c r="EP52" s="16"/>
      <c r="EQ52" s="16"/>
      <c r="ER52" s="16"/>
      <c r="ES52" s="16"/>
      <c r="ET52" s="16"/>
      <c r="EU52" s="16"/>
      <c r="EV52" s="16"/>
      <c r="EW52" s="16"/>
      <c r="EX52" s="16"/>
      <c r="EY52" s="16"/>
      <c r="EZ52" s="16"/>
      <c r="FA52" s="16"/>
      <c r="FB52" s="16"/>
      <c r="FC52" s="16"/>
      <c r="FD52" s="16"/>
      <c r="FE52" s="16"/>
      <c r="FF52" s="16"/>
      <c r="FG52" s="16"/>
      <c r="FH52" s="16"/>
      <c r="FI52" s="16"/>
      <c r="FJ52" s="16"/>
      <c r="FK52" s="16"/>
      <c r="FL52" s="16"/>
      <c r="FM52" s="16"/>
      <c r="FN52" s="16"/>
      <c r="FO52" s="16"/>
      <c r="FP52" s="16"/>
      <c r="FQ52" s="16"/>
      <c r="FR52" s="16"/>
      <c r="FS52" s="16"/>
      <c r="FT52" s="16"/>
      <c r="FU52" s="16"/>
      <c r="FV52" s="16"/>
      <c r="FW52" s="16"/>
      <c r="FX52" s="16"/>
      <c r="FY52" s="16"/>
      <c r="FZ52" s="16"/>
      <c r="GA52" s="16"/>
      <c r="GB52" s="16"/>
      <c r="GC52" s="16"/>
      <c r="GD52" s="16"/>
      <c r="GE52" s="16"/>
      <c r="GF52" s="16"/>
      <c r="GG52" s="16"/>
      <c r="GH52" s="16"/>
      <c r="GI52" s="16"/>
      <c r="GJ52" s="16"/>
      <c r="GK52" s="16"/>
      <c r="GL52" s="16"/>
      <c r="GM52" s="16"/>
      <c r="GN52" s="16"/>
      <c r="GO52" s="16"/>
      <c r="GP52" s="16"/>
      <c r="GQ52" s="16"/>
      <c r="GR52" s="16"/>
      <c r="GS52" s="16"/>
      <c r="GT52" s="16"/>
      <c r="GU52" s="16"/>
      <c r="GV52" s="16"/>
      <c r="GW52" s="16"/>
      <c r="GX52" s="16"/>
      <c r="GY52" s="16"/>
      <c r="GZ52" s="16"/>
      <c r="HA52" s="16"/>
      <c r="HB52" s="16"/>
      <c r="HC52" s="16"/>
      <c r="HD52" s="16"/>
      <c r="HE52" s="16"/>
      <c r="HF52" s="16"/>
      <c r="HG52" s="16"/>
      <c r="HH52" s="16"/>
      <c r="HI52" s="16"/>
      <c r="HJ52" s="16"/>
      <c r="HK52" s="16"/>
      <c r="HL52" s="16"/>
      <c r="HM52" s="16"/>
      <c r="HN52" s="16"/>
      <c r="HO52" s="16"/>
      <c r="HP52" s="16"/>
      <c r="HQ52" s="16"/>
      <c r="HR52" s="16"/>
      <c r="HS52" s="16"/>
      <c r="HT52" s="16"/>
      <c r="HU52" s="16"/>
      <c r="HV52" s="16"/>
      <c r="HW52" s="16"/>
      <c r="HX52" s="16"/>
      <c r="HY52" s="16"/>
      <c r="HZ52" s="16"/>
      <c r="IA52" s="16"/>
      <c r="IB52" s="16"/>
      <c r="IC52" s="16"/>
      <c r="ID52" s="16"/>
      <c r="IE52" s="16"/>
      <c r="IF52" s="16"/>
      <c r="IG52" s="16"/>
      <c r="IH52" s="16"/>
      <c r="II52" s="16"/>
      <c r="IJ52" s="16"/>
      <c r="IK52" s="16"/>
      <c r="IL52" s="16"/>
      <c r="IM52" s="16"/>
      <c r="IN52" s="16"/>
      <c r="IO52" s="16"/>
      <c r="IP52" s="16"/>
      <c r="IQ52" s="16"/>
      <c r="IR52" s="16"/>
      <c r="IS52" s="16"/>
      <c r="IT52" s="16"/>
    </row>
    <row r="53" spans="1:254" ht="24">
      <c r="A53" s="44" t="s">
        <v>241</v>
      </c>
      <c r="B53" s="45" t="s">
        <v>383</v>
      </c>
      <c r="C53" s="47">
        <v>-43000000</v>
      </c>
      <c r="D53" s="47">
        <v>-22500000</v>
      </c>
      <c r="E53" s="47">
        <v>-22500000</v>
      </c>
      <c r="F53" s="47">
        <v>-22500000</v>
      </c>
      <c r="G53" s="47">
        <v>-22500000</v>
      </c>
      <c r="H53" s="48">
        <f>SUM(G53/C53*100-100)</f>
        <v>-47.674418604651159</v>
      </c>
      <c r="I53" s="115" t="str">
        <f t="shared" si="5"/>
        <v>ì</v>
      </c>
      <c r="J53" s="369" t="s">
        <v>558</v>
      </c>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c r="BB53" s="16"/>
      <c r="BC53" s="16"/>
      <c r="BD53" s="16"/>
      <c r="BE53" s="16"/>
      <c r="BF53" s="16"/>
      <c r="BG53" s="16"/>
      <c r="BH53" s="16"/>
      <c r="BI53" s="16"/>
      <c r="BJ53" s="16"/>
      <c r="BK53" s="16"/>
      <c r="BL53" s="16"/>
      <c r="BM53" s="16"/>
      <c r="BN53" s="16"/>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c r="EG53" s="16"/>
      <c r="EH53" s="16"/>
      <c r="EI53" s="16"/>
      <c r="EJ53" s="16"/>
      <c r="EK53" s="16"/>
      <c r="EL53" s="16"/>
      <c r="EM53" s="16"/>
      <c r="EN53" s="16"/>
      <c r="EO53" s="16"/>
      <c r="EP53" s="16"/>
      <c r="EQ53" s="16"/>
      <c r="ER53" s="16"/>
      <c r="ES53" s="16"/>
      <c r="ET53" s="16"/>
      <c r="EU53" s="16"/>
      <c r="EV53" s="16"/>
      <c r="EW53" s="16"/>
      <c r="EX53" s="16"/>
      <c r="EY53" s="16"/>
      <c r="EZ53" s="16"/>
      <c r="FA53" s="16"/>
      <c r="FB53" s="16"/>
      <c r="FC53" s="16"/>
      <c r="FD53" s="16"/>
      <c r="FE53" s="16"/>
      <c r="FF53" s="16"/>
      <c r="FG53" s="16"/>
      <c r="FH53" s="16"/>
      <c r="FI53" s="16"/>
      <c r="FJ53" s="16"/>
      <c r="FK53" s="16"/>
      <c r="FL53" s="16"/>
      <c r="FM53" s="16"/>
      <c r="FN53" s="16"/>
      <c r="FO53" s="16"/>
      <c r="FP53" s="16"/>
      <c r="FQ53" s="16"/>
      <c r="FR53" s="16"/>
      <c r="FS53" s="16"/>
      <c r="FT53" s="16"/>
      <c r="FU53" s="16"/>
      <c r="FV53" s="16"/>
      <c r="FW53" s="16"/>
      <c r="FX53" s="16"/>
      <c r="FY53" s="16"/>
      <c r="FZ53" s="16"/>
      <c r="GA53" s="16"/>
      <c r="GB53" s="16"/>
      <c r="GC53" s="16"/>
      <c r="GD53" s="16"/>
      <c r="GE53" s="16"/>
      <c r="GF53" s="16"/>
      <c r="GG53" s="16"/>
      <c r="GH53" s="16"/>
      <c r="GI53" s="16"/>
      <c r="GJ53" s="16"/>
      <c r="GK53" s="16"/>
      <c r="GL53" s="16"/>
      <c r="GM53" s="16"/>
      <c r="GN53" s="16"/>
      <c r="GO53" s="16"/>
      <c r="GP53" s="16"/>
      <c r="GQ53" s="16"/>
      <c r="GR53" s="16"/>
      <c r="GS53" s="16"/>
      <c r="GT53" s="16"/>
      <c r="GU53" s="16"/>
      <c r="GV53" s="16"/>
      <c r="GW53" s="16"/>
      <c r="GX53" s="16"/>
      <c r="GY53" s="16"/>
      <c r="GZ53" s="16"/>
      <c r="HA53" s="16"/>
      <c r="HB53" s="16"/>
      <c r="HC53" s="16"/>
      <c r="HD53" s="16"/>
      <c r="HE53" s="16"/>
      <c r="HF53" s="16"/>
      <c r="HG53" s="16"/>
      <c r="HH53" s="16"/>
      <c r="HI53" s="16"/>
      <c r="HJ53" s="16"/>
      <c r="HK53" s="16"/>
      <c r="HL53" s="16"/>
      <c r="HM53" s="16"/>
      <c r="HN53" s="16"/>
      <c r="HO53" s="16"/>
      <c r="HP53" s="16"/>
      <c r="HQ53" s="16"/>
      <c r="HR53" s="16"/>
      <c r="HS53" s="16"/>
      <c r="HT53" s="16"/>
      <c r="HU53" s="16"/>
      <c r="HV53" s="16"/>
      <c r="HW53" s="16"/>
      <c r="HX53" s="16"/>
      <c r="HY53" s="16"/>
      <c r="HZ53" s="16"/>
      <c r="IA53" s="16"/>
      <c r="IB53" s="16"/>
      <c r="IC53" s="16"/>
      <c r="ID53" s="16"/>
      <c r="IE53" s="16"/>
      <c r="IF53" s="16"/>
      <c r="IG53" s="16"/>
      <c r="IH53" s="16"/>
      <c r="II53" s="16"/>
      <c r="IJ53" s="16"/>
      <c r="IK53" s="16"/>
      <c r="IL53" s="16"/>
      <c r="IM53" s="16"/>
      <c r="IN53" s="16"/>
      <c r="IO53" s="16"/>
      <c r="IP53" s="16"/>
      <c r="IQ53" s="16"/>
      <c r="IR53" s="16"/>
      <c r="IS53" s="16"/>
      <c r="IT53" s="16"/>
    </row>
    <row r="54" spans="1:254" ht="24" hidden="1" outlineLevel="1">
      <c r="A54" s="51"/>
      <c r="B54" s="313" t="s">
        <v>15</v>
      </c>
      <c r="C54" s="53"/>
      <c r="D54" s="54"/>
      <c r="E54" s="54"/>
      <c r="F54" s="54"/>
      <c r="G54" s="54"/>
      <c r="H54" s="55"/>
      <c r="I54" s="131"/>
      <c r="J54" s="56" t="s">
        <v>14</v>
      </c>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c r="EM54" s="16"/>
      <c r="EN54" s="16"/>
      <c r="EO54" s="16"/>
      <c r="EP54" s="16"/>
      <c r="EQ54" s="16"/>
      <c r="ER54" s="16"/>
      <c r="ES54" s="16"/>
      <c r="ET54" s="16"/>
      <c r="EU54" s="16"/>
      <c r="EV54" s="16"/>
      <c r="EW54" s="16"/>
      <c r="EX54" s="16"/>
      <c r="EY54" s="16"/>
      <c r="EZ54" s="16"/>
      <c r="FA54" s="16"/>
      <c r="FB54" s="16"/>
      <c r="FC54" s="16"/>
      <c r="FD54" s="16"/>
      <c r="FE54" s="16"/>
      <c r="FF54" s="16"/>
      <c r="FG54" s="16"/>
      <c r="FH54" s="16"/>
      <c r="FI54" s="16"/>
      <c r="FJ54" s="16"/>
      <c r="FK54" s="16"/>
      <c r="FL54" s="16"/>
      <c r="FM54" s="16"/>
      <c r="FN54" s="16"/>
      <c r="FO54" s="16"/>
      <c r="FP54" s="16"/>
      <c r="FQ54" s="16"/>
      <c r="FR54" s="16"/>
      <c r="FS54" s="16"/>
      <c r="FT54" s="16"/>
      <c r="FU54" s="16"/>
      <c r="FV54" s="16"/>
      <c r="FW54" s="16"/>
      <c r="FX54" s="16"/>
      <c r="FY54" s="16"/>
      <c r="FZ54" s="16"/>
      <c r="GA54" s="16"/>
      <c r="GB54" s="16"/>
      <c r="GC54" s="16"/>
      <c r="GD54" s="16"/>
      <c r="GE54" s="16"/>
      <c r="GF54" s="16"/>
      <c r="GG54" s="16"/>
      <c r="GH54" s="16"/>
      <c r="GI54" s="16"/>
      <c r="GJ54" s="16"/>
      <c r="GK54" s="16"/>
      <c r="GL54" s="16"/>
      <c r="GM54" s="16"/>
      <c r="GN54" s="16"/>
      <c r="GO54" s="16"/>
      <c r="GP54" s="16"/>
      <c r="GQ54" s="16"/>
      <c r="GR54" s="16"/>
      <c r="GS54" s="16"/>
      <c r="GT54" s="16"/>
      <c r="GU54" s="16"/>
      <c r="GV54" s="16"/>
      <c r="GW54" s="16"/>
      <c r="GX54" s="16"/>
      <c r="GY54" s="16"/>
      <c r="GZ54" s="16"/>
      <c r="HA54" s="16"/>
      <c r="HB54" s="16"/>
      <c r="HC54" s="16"/>
      <c r="HD54" s="16"/>
      <c r="HE54" s="16"/>
      <c r="HF54" s="16"/>
      <c r="HG54" s="16"/>
      <c r="HH54" s="16"/>
      <c r="HI54" s="16"/>
      <c r="HJ54" s="16"/>
      <c r="HK54" s="16"/>
      <c r="HL54" s="16"/>
      <c r="HM54" s="16"/>
      <c r="HN54" s="16"/>
      <c r="HO54" s="16"/>
      <c r="HP54" s="16"/>
      <c r="HQ54" s="16"/>
      <c r="HR54" s="16"/>
      <c r="HS54" s="16"/>
      <c r="HT54" s="16"/>
      <c r="HU54" s="16"/>
      <c r="HV54" s="16"/>
      <c r="HW54" s="16"/>
      <c r="HX54" s="16"/>
      <c r="HY54" s="16"/>
      <c r="HZ54" s="16"/>
      <c r="IA54" s="16"/>
      <c r="IB54" s="16"/>
      <c r="IC54" s="16"/>
      <c r="ID54" s="16"/>
      <c r="IE54" s="16"/>
      <c r="IF54" s="16"/>
      <c r="IG54" s="16"/>
      <c r="IH54" s="16"/>
      <c r="II54" s="16"/>
      <c r="IJ54" s="16"/>
      <c r="IK54" s="16"/>
      <c r="IL54" s="16"/>
      <c r="IM54" s="16"/>
      <c r="IN54" s="16"/>
      <c r="IO54" s="16"/>
      <c r="IP54" s="16"/>
      <c r="IQ54" s="16"/>
      <c r="IR54" s="16"/>
      <c r="IS54" s="16"/>
      <c r="IT54" s="16"/>
    </row>
    <row r="55" spans="1:254" ht="25.5" customHeight="1" collapsed="1">
      <c r="A55" s="57"/>
      <c r="B55" s="58" t="s">
        <v>242</v>
      </c>
      <c r="C55" s="59">
        <f>SUM(C34:C54)</f>
        <v>42438660.659999996</v>
      </c>
      <c r="D55" s="59">
        <f>SUM(D34:D54)</f>
        <v>64392499.043800011</v>
      </c>
      <c r="E55" s="59">
        <f>SUM(E34:E54)</f>
        <v>65148883.293800011</v>
      </c>
      <c r="F55" s="59">
        <f>SUM(F34:F54)</f>
        <v>66977512.477119997</v>
      </c>
      <c r="G55" s="59">
        <f>SUM(G34:G54)</f>
        <v>67048613.119530007</v>
      </c>
      <c r="H55" s="60">
        <f t="shared" si="6"/>
        <v>57.98946544683443</v>
      </c>
      <c r="I55" s="61"/>
      <c r="J55" s="104"/>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c r="BB55" s="16"/>
      <c r="BC55" s="16"/>
      <c r="BD55" s="16"/>
      <c r="BE55" s="16"/>
      <c r="BF55" s="16"/>
      <c r="BG55" s="16"/>
      <c r="BH55" s="16"/>
      <c r="BI55" s="16"/>
      <c r="BJ55" s="16"/>
      <c r="BK55" s="16"/>
      <c r="BL55" s="16"/>
      <c r="BM55" s="16"/>
      <c r="BN55" s="16"/>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c r="EM55" s="16"/>
      <c r="EN55" s="16"/>
      <c r="EO55" s="16"/>
      <c r="EP55" s="16"/>
      <c r="EQ55" s="16"/>
      <c r="ER55" s="16"/>
      <c r="ES55" s="16"/>
      <c r="ET55" s="16"/>
      <c r="EU55" s="16"/>
      <c r="EV55" s="16"/>
      <c r="EW55" s="16"/>
      <c r="EX55" s="16"/>
      <c r="EY55" s="16"/>
      <c r="EZ55" s="16"/>
      <c r="FA55" s="16"/>
      <c r="FB55" s="16"/>
      <c r="FC55" s="16"/>
      <c r="FD55" s="16"/>
      <c r="FE55" s="16"/>
      <c r="FF55" s="16"/>
      <c r="FG55" s="16"/>
      <c r="FH55" s="16"/>
      <c r="FI55" s="16"/>
      <c r="FJ55" s="16"/>
      <c r="FK55" s="16"/>
      <c r="FL55" s="16"/>
      <c r="FM55" s="16"/>
      <c r="FN55" s="16"/>
      <c r="FO55" s="16"/>
      <c r="FP55" s="16"/>
      <c r="FQ55" s="16"/>
      <c r="FR55" s="16"/>
      <c r="FS55" s="16"/>
      <c r="FT55" s="16"/>
      <c r="FU55" s="16"/>
      <c r="FV55" s="16"/>
      <c r="FW55" s="16"/>
      <c r="FX55" s="16"/>
      <c r="FY55" s="16"/>
      <c r="FZ55" s="16"/>
      <c r="GA55" s="16"/>
      <c r="GB55" s="16"/>
      <c r="GC55" s="16"/>
      <c r="GD55" s="16"/>
      <c r="GE55" s="16"/>
      <c r="GF55" s="16"/>
      <c r="GG55" s="16"/>
      <c r="GH55" s="16"/>
      <c r="GI55" s="16"/>
      <c r="GJ55" s="16"/>
      <c r="GK55" s="16"/>
      <c r="GL55" s="16"/>
      <c r="GM55" s="16"/>
      <c r="GN55" s="16"/>
      <c r="GO55" s="16"/>
      <c r="GP55" s="16"/>
      <c r="GQ55" s="16"/>
      <c r="GR55" s="16"/>
      <c r="GS55" s="16"/>
      <c r="GT55" s="16"/>
      <c r="GU55" s="16"/>
      <c r="GV55" s="16"/>
      <c r="GW55" s="16"/>
      <c r="GX55" s="16"/>
      <c r="GY55" s="16"/>
      <c r="GZ55" s="16"/>
      <c r="HA55" s="16"/>
      <c r="HB55" s="16"/>
      <c r="HC55" s="16"/>
      <c r="HD55" s="16"/>
      <c r="HE55" s="16"/>
      <c r="HF55" s="16"/>
      <c r="HG55" s="16"/>
      <c r="HH55" s="16"/>
      <c r="HI55" s="16"/>
      <c r="HJ55" s="16"/>
      <c r="HK55" s="16"/>
      <c r="HL55" s="16"/>
      <c r="HM55" s="16"/>
      <c r="HN55" s="16"/>
      <c r="HO55" s="16"/>
      <c r="HP55" s="16"/>
      <c r="HQ55" s="16"/>
      <c r="HR55" s="16"/>
      <c r="HS55" s="16"/>
      <c r="HT55" s="16"/>
      <c r="HU55" s="16"/>
      <c r="HV55" s="16"/>
      <c r="HW55" s="16"/>
      <c r="HX55" s="16"/>
      <c r="HY55" s="16"/>
      <c r="HZ55" s="16"/>
      <c r="IA55" s="16"/>
      <c r="IB55" s="16"/>
      <c r="IC55" s="16"/>
      <c r="ID55" s="16"/>
      <c r="IE55" s="16"/>
      <c r="IF55" s="16"/>
      <c r="IG55" s="16"/>
      <c r="IH55" s="16"/>
      <c r="II55" s="16"/>
      <c r="IJ55" s="16"/>
      <c r="IK55" s="16"/>
      <c r="IL55" s="16"/>
      <c r="IM55" s="16"/>
      <c r="IN55" s="16"/>
      <c r="IO55" s="16"/>
      <c r="IP55" s="16"/>
      <c r="IQ55" s="16"/>
      <c r="IR55" s="16"/>
      <c r="IS55" s="16"/>
      <c r="IT55" s="16"/>
    </row>
    <row r="56" spans="1:254">
      <c r="A56" s="33"/>
      <c r="B56" s="36" t="s">
        <v>288</v>
      </c>
      <c r="C56" s="37"/>
      <c r="D56" s="29"/>
      <c r="E56" s="29"/>
      <c r="F56" s="29"/>
      <c r="G56" s="29"/>
      <c r="H56" s="30"/>
      <c r="I56" s="34"/>
      <c r="J56" s="15"/>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c r="BH56" s="16"/>
      <c r="BI56" s="16"/>
      <c r="BJ56" s="16"/>
      <c r="BK56" s="16"/>
      <c r="BL56" s="16"/>
      <c r="BM56" s="16"/>
      <c r="BN56" s="16"/>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c r="DN56" s="16"/>
      <c r="DO56" s="16"/>
      <c r="DP56" s="16"/>
      <c r="DQ56" s="16"/>
      <c r="DR56" s="16"/>
      <c r="DS56" s="16"/>
      <c r="DT56" s="16"/>
      <c r="DU56" s="16"/>
      <c r="DV56" s="16"/>
      <c r="DW56" s="16"/>
      <c r="DX56" s="16"/>
      <c r="DY56" s="16"/>
      <c r="DZ56" s="16"/>
      <c r="EA56" s="16"/>
      <c r="EB56" s="16"/>
      <c r="EC56" s="16"/>
      <c r="ED56" s="16"/>
      <c r="EE56" s="16"/>
      <c r="EF56" s="16"/>
      <c r="EG56" s="16"/>
      <c r="EH56" s="16"/>
      <c r="EI56" s="16"/>
      <c r="EJ56" s="16"/>
      <c r="EK56" s="16"/>
      <c r="EL56" s="16"/>
      <c r="EM56" s="16"/>
      <c r="EN56" s="16"/>
      <c r="EO56" s="16"/>
      <c r="EP56" s="16"/>
      <c r="EQ56" s="16"/>
      <c r="ER56" s="16"/>
      <c r="ES56" s="16"/>
      <c r="ET56" s="16"/>
      <c r="EU56" s="16"/>
      <c r="EV56" s="16"/>
      <c r="EW56" s="16"/>
      <c r="EX56" s="16"/>
      <c r="EY56" s="16"/>
      <c r="EZ56" s="16"/>
      <c r="FA56" s="16"/>
      <c r="FB56" s="16"/>
      <c r="FC56" s="16"/>
      <c r="FD56" s="16"/>
      <c r="FE56" s="16"/>
      <c r="FF56" s="16"/>
      <c r="FG56" s="16"/>
      <c r="FH56" s="16"/>
      <c r="FI56" s="16"/>
      <c r="FJ56" s="16"/>
      <c r="FK56" s="16"/>
      <c r="FL56" s="16"/>
      <c r="FM56" s="16"/>
      <c r="FN56" s="16"/>
      <c r="FO56" s="16"/>
      <c r="FP56" s="16"/>
      <c r="FQ56" s="16"/>
      <c r="FR56" s="16"/>
      <c r="FS56" s="16"/>
      <c r="FT56" s="16"/>
      <c r="FU56" s="16"/>
      <c r="FV56" s="16"/>
      <c r="FW56" s="16"/>
      <c r="FX56" s="16"/>
      <c r="FY56" s="16"/>
      <c r="FZ56" s="16"/>
      <c r="GA56" s="16"/>
      <c r="GB56" s="16"/>
      <c r="GC56" s="16"/>
      <c r="GD56" s="16"/>
      <c r="GE56" s="16"/>
      <c r="GF56" s="16"/>
      <c r="GG56" s="16"/>
      <c r="GH56" s="16"/>
      <c r="GI56" s="16"/>
      <c r="GJ56" s="16"/>
      <c r="GK56" s="16"/>
      <c r="GL56" s="16"/>
      <c r="GM56" s="16"/>
      <c r="GN56" s="16"/>
      <c r="GO56" s="16"/>
      <c r="GP56" s="16"/>
      <c r="GQ56" s="16"/>
      <c r="GR56" s="16"/>
      <c r="GS56" s="16"/>
      <c r="GT56" s="16"/>
      <c r="GU56" s="16"/>
      <c r="GV56" s="16"/>
      <c r="GW56" s="16"/>
      <c r="GX56" s="16"/>
      <c r="GY56" s="16"/>
      <c r="GZ56" s="16"/>
      <c r="HA56" s="16"/>
      <c r="HB56" s="16"/>
      <c r="HC56" s="16"/>
      <c r="HD56" s="16"/>
      <c r="HE56" s="16"/>
      <c r="HF56" s="16"/>
      <c r="HG56" s="16"/>
      <c r="HH56" s="16"/>
      <c r="HI56" s="16"/>
      <c r="HJ56" s="16"/>
      <c r="HK56" s="16"/>
      <c r="HL56" s="16"/>
      <c r="HM56" s="16"/>
      <c r="HN56" s="16"/>
      <c r="HO56" s="16"/>
      <c r="HP56" s="16"/>
      <c r="HQ56" s="16"/>
      <c r="HR56" s="16"/>
      <c r="HS56" s="16"/>
      <c r="HT56" s="16"/>
      <c r="HU56" s="16"/>
      <c r="HV56" s="16"/>
      <c r="HW56" s="16"/>
      <c r="HX56" s="16"/>
      <c r="HY56" s="16"/>
      <c r="HZ56" s="16"/>
      <c r="IA56" s="16"/>
      <c r="IB56" s="16"/>
      <c r="IC56" s="16"/>
      <c r="ID56" s="16"/>
      <c r="IE56" s="16"/>
      <c r="IF56" s="16"/>
      <c r="IG56" s="16"/>
      <c r="IH56" s="16"/>
      <c r="II56" s="16"/>
      <c r="IJ56" s="16"/>
      <c r="IK56" s="16"/>
      <c r="IL56" s="16"/>
      <c r="IM56" s="16"/>
      <c r="IN56" s="16"/>
      <c r="IO56" s="16"/>
      <c r="IP56" s="16"/>
      <c r="IQ56" s="16"/>
      <c r="IR56" s="16"/>
      <c r="IS56" s="16"/>
      <c r="IT56" s="16"/>
    </row>
    <row r="57" spans="1:254">
      <c r="A57" s="18" t="s">
        <v>243</v>
      </c>
      <c r="B57" s="19" t="s">
        <v>12</v>
      </c>
      <c r="C57" s="20">
        <v>1608448</v>
      </c>
      <c r="D57" s="21">
        <v>1576591</v>
      </c>
      <c r="E57" s="21">
        <v>1564135</v>
      </c>
      <c r="F57" s="21">
        <v>1590523</v>
      </c>
      <c r="G57" s="21">
        <v>1583438</v>
      </c>
      <c r="H57" s="22">
        <f t="shared" ref="H57:H84" si="7">SUM(G57/C57*100-100)</f>
        <v>-1.5549150485436911</v>
      </c>
      <c r="I57" s="23" t="str">
        <f t="shared" ref="I57:I83" si="8">IF((SQRT((G57-C57)^2)&lt;20000),$I$158,IF((G57-C57)&gt;(SQRT(C57^2))*5%,$I$159,IF((G57-C57)&lt;-(SQRT(C57^2))*5%,$I$157,$I$158)))</f>
        <v>è</v>
      </c>
      <c r="J57" s="32"/>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c r="BC57" s="16"/>
      <c r="BD57" s="16"/>
      <c r="BE57" s="16"/>
      <c r="BF57" s="16"/>
      <c r="BG57" s="16"/>
      <c r="BH57" s="16"/>
      <c r="BI57" s="16"/>
      <c r="BJ57" s="16"/>
      <c r="BK57" s="16"/>
      <c r="BL57" s="16"/>
      <c r="BM57" s="16"/>
      <c r="BN57" s="16"/>
      <c r="BO57" s="16"/>
      <c r="BP57" s="16"/>
      <c r="BQ57" s="16"/>
      <c r="BR57" s="16"/>
      <c r="BS57" s="16"/>
      <c r="BT57" s="16"/>
      <c r="BU57" s="16"/>
      <c r="BV57" s="16"/>
      <c r="BW57" s="16"/>
      <c r="BX57" s="16"/>
      <c r="BY57" s="16"/>
      <c r="BZ57" s="16"/>
      <c r="CA57" s="16"/>
      <c r="CB57" s="16"/>
      <c r="CC57" s="16"/>
      <c r="CD57" s="16"/>
      <c r="CE57" s="16"/>
      <c r="CF57" s="16"/>
      <c r="CG57" s="16"/>
      <c r="CH57" s="16"/>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c r="EM57" s="16"/>
      <c r="EN57" s="16"/>
      <c r="EO57" s="16"/>
      <c r="EP57" s="16"/>
      <c r="EQ57" s="16"/>
      <c r="ER57" s="16"/>
      <c r="ES57" s="16"/>
      <c r="ET57" s="16"/>
      <c r="EU57" s="16"/>
      <c r="EV57" s="16"/>
      <c r="EW57" s="16"/>
      <c r="EX57" s="16"/>
      <c r="EY57" s="16"/>
      <c r="EZ57" s="16"/>
      <c r="FA57" s="16"/>
      <c r="FB57" s="16"/>
      <c r="FC57" s="16"/>
      <c r="FD57" s="16"/>
      <c r="FE57" s="16"/>
      <c r="FF57" s="16"/>
      <c r="FG57" s="16"/>
      <c r="FH57" s="16"/>
      <c r="FI57" s="16"/>
      <c r="FJ57" s="16"/>
      <c r="FK57" s="16"/>
      <c r="FL57" s="16"/>
      <c r="FM57" s="16"/>
      <c r="FN57" s="16"/>
      <c r="FO57" s="16"/>
      <c r="FP57" s="16"/>
      <c r="FQ57" s="16"/>
      <c r="FR57" s="16"/>
      <c r="FS57" s="16"/>
      <c r="FT57" s="16"/>
      <c r="FU57" s="16"/>
      <c r="FV57" s="16"/>
      <c r="FW57" s="16"/>
      <c r="FX57" s="16"/>
      <c r="FY57" s="16"/>
      <c r="FZ57" s="16"/>
      <c r="GA57" s="16"/>
      <c r="GB57" s="16"/>
      <c r="GC57" s="16"/>
      <c r="GD57" s="16"/>
      <c r="GE57" s="16"/>
      <c r="GF57" s="16"/>
      <c r="GG57" s="16"/>
      <c r="GH57" s="16"/>
      <c r="GI57" s="16"/>
      <c r="GJ57" s="16"/>
      <c r="GK57" s="16"/>
      <c r="GL57" s="16"/>
      <c r="GM57" s="16"/>
      <c r="GN57" s="16"/>
      <c r="GO57" s="16"/>
      <c r="GP57" s="16"/>
      <c r="GQ57" s="16"/>
      <c r="GR57" s="16"/>
      <c r="GS57" s="16"/>
      <c r="GT57" s="16"/>
      <c r="GU57" s="16"/>
      <c r="GV57" s="16"/>
      <c r="GW57" s="16"/>
      <c r="GX57" s="16"/>
      <c r="GY57" s="16"/>
      <c r="GZ57" s="16"/>
      <c r="HA57" s="16"/>
      <c r="HB57" s="16"/>
      <c r="HC57" s="16"/>
      <c r="HD57" s="16"/>
      <c r="HE57" s="16"/>
      <c r="HF57" s="16"/>
      <c r="HG57" s="16"/>
      <c r="HH57" s="16"/>
      <c r="HI57" s="16"/>
      <c r="HJ57" s="16"/>
      <c r="HK57" s="16"/>
      <c r="HL57" s="16"/>
      <c r="HM57" s="16"/>
      <c r="HN57" s="16"/>
      <c r="HO57" s="16"/>
      <c r="HP57" s="16"/>
      <c r="HQ57" s="16"/>
      <c r="HR57" s="16"/>
      <c r="HS57" s="16"/>
      <c r="HT57" s="16"/>
      <c r="HU57" s="16"/>
      <c r="HV57" s="16"/>
      <c r="HW57" s="16"/>
      <c r="HX57" s="16"/>
      <c r="HY57" s="16"/>
      <c r="HZ57" s="16"/>
      <c r="IA57" s="16"/>
      <c r="IB57" s="16"/>
      <c r="IC57" s="16"/>
      <c r="ID57" s="16"/>
      <c r="IE57" s="16"/>
      <c r="IF57" s="16"/>
      <c r="IG57" s="16"/>
      <c r="IH57" s="16"/>
      <c r="II57" s="16"/>
      <c r="IJ57" s="16"/>
      <c r="IK57" s="16"/>
      <c r="IL57" s="16"/>
      <c r="IM57" s="16"/>
      <c r="IN57" s="16"/>
      <c r="IO57" s="16"/>
      <c r="IP57" s="16"/>
      <c r="IQ57" s="16"/>
      <c r="IR57" s="16"/>
      <c r="IS57" s="16"/>
      <c r="IT57" s="16"/>
    </row>
    <row r="58" spans="1:254" ht="24">
      <c r="A58" s="26" t="s">
        <v>244</v>
      </c>
      <c r="B58" s="27" t="s">
        <v>384</v>
      </c>
      <c r="C58" s="28">
        <v>254707</v>
      </c>
      <c r="D58" s="29">
        <v>301143.90000000002</v>
      </c>
      <c r="E58" s="29">
        <v>251662.28</v>
      </c>
      <c r="F58" s="29">
        <v>254290.47200000001</v>
      </c>
      <c r="G58" s="29">
        <v>255229.11199999999</v>
      </c>
      <c r="H58" s="30">
        <f t="shared" si="7"/>
        <v>0.20498533609205083</v>
      </c>
      <c r="I58" s="115" t="str">
        <f t="shared" si="8"/>
        <v>è</v>
      </c>
      <c r="J58" s="369" t="s">
        <v>493</v>
      </c>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c r="BH58" s="16"/>
      <c r="BI58" s="16"/>
      <c r="BJ58" s="16"/>
      <c r="BK58" s="16"/>
      <c r="BL58" s="16"/>
      <c r="BM58" s="16"/>
      <c r="BN58" s="16"/>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c r="EM58" s="16"/>
      <c r="EN58" s="16"/>
      <c r="EO58" s="16"/>
      <c r="EP58" s="16"/>
      <c r="EQ58" s="16"/>
      <c r="ER58" s="16"/>
      <c r="ES58" s="16"/>
      <c r="ET58" s="16"/>
      <c r="EU58" s="16"/>
      <c r="EV58" s="16"/>
      <c r="EW58" s="16"/>
      <c r="EX58" s="16"/>
      <c r="EY58" s="16"/>
      <c r="EZ58" s="16"/>
      <c r="FA58" s="16"/>
      <c r="FB58" s="16"/>
      <c r="FC58" s="16"/>
      <c r="FD58" s="16"/>
      <c r="FE58" s="16"/>
      <c r="FF58" s="16"/>
      <c r="FG58" s="16"/>
      <c r="FH58" s="16"/>
      <c r="FI58" s="16"/>
      <c r="FJ58" s="16"/>
      <c r="FK58" s="16"/>
      <c r="FL58" s="16"/>
      <c r="FM58" s="16"/>
      <c r="FN58" s="16"/>
      <c r="FO58" s="16"/>
      <c r="FP58" s="16"/>
      <c r="FQ58" s="16"/>
      <c r="FR58" s="16"/>
      <c r="FS58" s="16"/>
      <c r="FT58" s="16"/>
      <c r="FU58" s="16"/>
      <c r="FV58" s="16"/>
      <c r="FW58" s="16"/>
      <c r="FX58" s="16"/>
      <c r="FY58" s="16"/>
      <c r="FZ58" s="16"/>
      <c r="GA58" s="16"/>
      <c r="GB58" s="16"/>
      <c r="GC58" s="16"/>
      <c r="GD58" s="16"/>
      <c r="GE58" s="16"/>
      <c r="GF58" s="16"/>
      <c r="GG58" s="16"/>
      <c r="GH58" s="16"/>
      <c r="GI58" s="16"/>
      <c r="GJ58" s="16"/>
      <c r="GK58" s="16"/>
      <c r="GL58" s="16"/>
      <c r="GM58" s="16"/>
      <c r="GN58" s="16"/>
      <c r="GO58" s="16"/>
      <c r="GP58" s="16"/>
      <c r="GQ58" s="16"/>
      <c r="GR58" s="16"/>
      <c r="GS58" s="16"/>
      <c r="GT58" s="16"/>
      <c r="GU58" s="16"/>
      <c r="GV58" s="16"/>
      <c r="GW58" s="16"/>
      <c r="GX58" s="16"/>
      <c r="GY58" s="16"/>
      <c r="GZ58" s="16"/>
      <c r="HA58" s="16"/>
      <c r="HB58" s="16"/>
      <c r="HC58" s="16"/>
      <c r="HD58" s="16"/>
      <c r="HE58" s="16"/>
      <c r="HF58" s="16"/>
      <c r="HG58" s="16"/>
      <c r="HH58" s="16"/>
      <c r="HI58" s="16"/>
      <c r="HJ58" s="16"/>
      <c r="HK58" s="16"/>
      <c r="HL58" s="16"/>
      <c r="HM58" s="16"/>
      <c r="HN58" s="16"/>
      <c r="HO58" s="16"/>
      <c r="HP58" s="16"/>
      <c r="HQ58" s="16"/>
      <c r="HR58" s="16"/>
      <c r="HS58" s="16"/>
      <c r="HT58" s="16"/>
      <c r="HU58" s="16"/>
      <c r="HV58" s="16"/>
      <c r="HW58" s="16"/>
      <c r="HX58" s="16"/>
      <c r="HY58" s="16"/>
      <c r="HZ58" s="16"/>
      <c r="IA58" s="16"/>
      <c r="IB58" s="16"/>
      <c r="IC58" s="16"/>
      <c r="ID58" s="16"/>
      <c r="IE58" s="16"/>
      <c r="IF58" s="16"/>
      <c r="IG58" s="16"/>
      <c r="IH58" s="16"/>
      <c r="II58" s="16"/>
      <c r="IJ58" s="16"/>
      <c r="IK58" s="16"/>
      <c r="IL58" s="16"/>
      <c r="IM58" s="16"/>
      <c r="IN58" s="16"/>
      <c r="IO58" s="16"/>
      <c r="IP58" s="16"/>
      <c r="IQ58" s="16"/>
      <c r="IR58" s="16"/>
      <c r="IS58" s="16"/>
      <c r="IT58" s="16"/>
    </row>
    <row r="59" spans="1:254" ht="36">
      <c r="A59" s="18" t="s">
        <v>245</v>
      </c>
      <c r="B59" s="19" t="s">
        <v>197</v>
      </c>
      <c r="C59" s="20">
        <v>-56896829.75</v>
      </c>
      <c r="D59" s="21">
        <v>-64754916.370499983</v>
      </c>
      <c r="E59" s="21">
        <v>-62782504.370499983</v>
      </c>
      <c r="F59" s="21">
        <v>-63360385.239199981</v>
      </c>
      <c r="G59" s="21">
        <v>-62098199.04944998</v>
      </c>
      <c r="H59" s="22">
        <f t="shared" si="7"/>
        <v>9.141755915583289</v>
      </c>
      <c r="I59" s="23" t="str">
        <f t="shared" si="8"/>
        <v>î</v>
      </c>
      <c r="J59" s="414" t="s">
        <v>575</v>
      </c>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c r="BC59" s="16"/>
      <c r="BD59" s="16"/>
      <c r="BE59" s="16"/>
      <c r="BF59" s="16"/>
      <c r="BG59" s="16"/>
      <c r="BH59" s="16"/>
      <c r="BI59" s="16"/>
      <c r="BJ59" s="16"/>
      <c r="BK59" s="16"/>
      <c r="BL59" s="16"/>
      <c r="BM59" s="16"/>
      <c r="BN59" s="16"/>
      <c r="BO59" s="16"/>
      <c r="BP59" s="16"/>
      <c r="BQ59" s="16"/>
      <c r="BR59" s="16"/>
      <c r="BS59" s="16"/>
      <c r="BT59" s="16"/>
      <c r="BU59" s="16"/>
      <c r="BV59" s="16"/>
      <c r="BW59" s="16"/>
      <c r="BX59" s="16"/>
      <c r="BY59" s="16"/>
      <c r="BZ59" s="16"/>
      <c r="CA59" s="16"/>
      <c r="CB59" s="16"/>
      <c r="CC59" s="16"/>
      <c r="CD59" s="16"/>
      <c r="CE59" s="16"/>
      <c r="CF59" s="16"/>
      <c r="CG59" s="16"/>
      <c r="CH59" s="16"/>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c r="EM59" s="16"/>
      <c r="EN59" s="16"/>
      <c r="EO59" s="16"/>
      <c r="EP59" s="16"/>
      <c r="EQ59" s="16"/>
      <c r="ER59" s="16"/>
      <c r="ES59" s="16"/>
      <c r="ET59" s="16"/>
      <c r="EU59" s="16"/>
      <c r="EV59" s="16"/>
      <c r="EW59" s="16"/>
      <c r="EX59" s="16"/>
      <c r="EY59" s="16"/>
      <c r="EZ59" s="16"/>
      <c r="FA59" s="16"/>
      <c r="FB59" s="16"/>
      <c r="FC59" s="16"/>
      <c r="FD59" s="16"/>
      <c r="FE59" s="16"/>
      <c r="FF59" s="16"/>
      <c r="FG59" s="16"/>
      <c r="FH59" s="16"/>
      <c r="FI59" s="16"/>
      <c r="FJ59" s="16"/>
      <c r="FK59" s="16"/>
      <c r="FL59" s="16"/>
      <c r="FM59" s="16"/>
      <c r="FN59" s="16"/>
      <c r="FO59" s="16"/>
      <c r="FP59" s="16"/>
      <c r="FQ59" s="16"/>
      <c r="FR59" s="16"/>
      <c r="FS59" s="16"/>
      <c r="FT59" s="16"/>
      <c r="FU59" s="16"/>
      <c r="FV59" s="16"/>
      <c r="FW59" s="16"/>
      <c r="FX59" s="16"/>
      <c r="FY59" s="16"/>
      <c r="FZ59" s="16"/>
      <c r="GA59" s="16"/>
      <c r="GB59" s="16"/>
      <c r="GC59" s="16"/>
      <c r="GD59" s="16"/>
      <c r="GE59" s="16"/>
      <c r="GF59" s="16"/>
      <c r="GG59" s="16"/>
      <c r="GH59" s="16"/>
      <c r="GI59" s="16"/>
      <c r="GJ59" s="16"/>
      <c r="GK59" s="16"/>
      <c r="GL59" s="16"/>
      <c r="GM59" s="16"/>
      <c r="GN59" s="16"/>
      <c r="GO59" s="16"/>
      <c r="GP59" s="16"/>
      <c r="GQ59" s="16"/>
      <c r="GR59" s="16"/>
      <c r="GS59" s="16"/>
      <c r="GT59" s="16"/>
      <c r="GU59" s="16"/>
      <c r="GV59" s="16"/>
      <c r="GW59" s="16"/>
      <c r="GX59" s="16"/>
      <c r="GY59" s="16"/>
      <c r="GZ59" s="16"/>
      <c r="HA59" s="16"/>
      <c r="HB59" s="16"/>
      <c r="HC59" s="16"/>
      <c r="HD59" s="16"/>
      <c r="HE59" s="16"/>
      <c r="HF59" s="16"/>
      <c r="HG59" s="16"/>
      <c r="HH59" s="16"/>
      <c r="HI59" s="16"/>
      <c r="HJ59" s="16"/>
      <c r="HK59" s="16"/>
      <c r="HL59" s="16"/>
      <c r="HM59" s="16"/>
      <c r="HN59" s="16"/>
      <c r="HO59" s="16"/>
      <c r="HP59" s="16"/>
      <c r="HQ59" s="16"/>
      <c r="HR59" s="16"/>
      <c r="HS59" s="16"/>
      <c r="HT59" s="16"/>
      <c r="HU59" s="16"/>
      <c r="HV59" s="16"/>
      <c r="HW59" s="16"/>
      <c r="HX59" s="16"/>
      <c r="HY59" s="16"/>
      <c r="HZ59" s="16"/>
      <c r="IA59" s="16"/>
      <c r="IB59" s="16"/>
      <c r="IC59" s="16"/>
      <c r="ID59" s="16"/>
      <c r="IE59" s="16"/>
      <c r="IF59" s="16"/>
      <c r="IG59" s="16"/>
      <c r="IH59" s="16"/>
      <c r="II59" s="16"/>
      <c r="IJ59" s="16"/>
      <c r="IK59" s="16"/>
      <c r="IL59" s="16"/>
      <c r="IM59" s="16"/>
      <c r="IN59" s="16"/>
      <c r="IO59" s="16"/>
      <c r="IP59" s="16"/>
      <c r="IQ59" s="16"/>
      <c r="IR59" s="16"/>
      <c r="IS59" s="16"/>
      <c r="IT59" s="16"/>
    </row>
    <row r="60" spans="1:254">
      <c r="A60" s="26" t="s">
        <v>246</v>
      </c>
      <c r="B60" s="27" t="s">
        <v>385</v>
      </c>
      <c r="C60" s="28">
        <v>539570.40000000037</v>
      </c>
      <c r="D60" s="29">
        <v>558059.40000000037</v>
      </c>
      <c r="E60" s="29">
        <v>557823.40000000037</v>
      </c>
      <c r="F60" s="29">
        <v>574314.40000000037</v>
      </c>
      <c r="G60" s="29">
        <v>580089.40000000037</v>
      </c>
      <c r="H60" s="30">
        <f t="shared" si="7"/>
        <v>7.5094927371849707</v>
      </c>
      <c r="I60" s="115" t="str">
        <f t="shared" si="8"/>
        <v>ì</v>
      </c>
      <c r="J60" s="369"/>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BB60" s="16"/>
      <c r="BC60" s="16"/>
      <c r="BD60" s="16"/>
      <c r="BE60" s="16"/>
      <c r="BF60" s="16"/>
      <c r="BG60" s="16"/>
      <c r="BH60" s="16"/>
      <c r="BI60" s="16"/>
      <c r="BJ60" s="16"/>
      <c r="BK60" s="16"/>
      <c r="BL60" s="16"/>
      <c r="BM60" s="16"/>
      <c r="BN60" s="16"/>
      <c r="BO60" s="16"/>
      <c r="BP60" s="16"/>
      <c r="BQ60" s="16"/>
      <c r="BR60" s="16"/>
      <c r="BS60" s="16"/>
      <c r="BT60" s="16"/>
      <c r="BU60" s="16"/>
      <c r="BV60" s="16"/>
      <c r="BW60" s="16"/>
      <c r="BX60" s="16"/>
      <c r="BY60" s="16"/>
      <c r="BZ60" s="16"/>
      <c r="CA60" s="16"/>
      <c r="CB60" s="16"/>
      <c r="CC60" s="16"/>
      <c r="CD60" s="16"/>
      <c r="CE60" s="16"/>
      <c r="CF60" s="16"/>
      <c r="CG60" s="16"/>
      <c r="CH60" s="16"/>
      <c r="CI60" s="16"/>
      <c r="CJ60" s="16"/>
      <c r="CK60" s="16"/>
      <c r="CL60" s="16"/>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c r="EM60" s="16"/>
      <c r="EN60" s="16"/>
      <c r="EO60" s="16"/>
      <c r="EP60" s="16"/>
      <c r="EQ60" s="16"/>
      <c r="ER60" s="16"/>
      <c r="ES60" s="16"/>
      <c r="ET60" s="16"/>
      <c r="EU60" s="16"/>
      <c r="EV60" s="16"/>
      <c r="EW60" s="16"/>
      <c r="EX60" s="16"/>
      <c r="EY60" s="16"/>
      <c r="EZ60" s="16"/>
      <c r="FA60" s="16"/>
      <c r="FB60" s="16"/>
      <c r="FC60" s="16"/>
      <c r="FD60" s="16"/>
      <c r="FE60" s="16"/>
      <c r="FF60" s="16"/>
      <c r="FG60" s="16"/>
      <c r="FH60" s="16"/>
      <c r="FI60" s="16"/>
      <c r="FJ60" s="16"/>
      <c r="FK60" s="16"/>
      <c r="FL60" s="16"/>
      <c r="FM60" s="16"/>
      <c r="FN60" s="16"/>
      <c r="FO60" s="16"/>
      <c r="FP60" s="16"/>
      <c r="FQ60" s="16"/>
      <c r="FR60" s="16"/>
      <c r="FS60" s="16"/>
      <c r="FT60" s="16"/>
      <c r="FU60" s="16"/>
      <c r="FV60" s="16"/>
      <c r="FW60" s="16"/>
      <c r="FX60" s="16"/>
      <c r="FY60" s="16"/>
      <c r="FZ60" s="16"/>
      <c r="GA60" s="16"/>
      <c r="GB60" s="16"/>
      <c r="GC60" s="16"/>
      <c r="GD60" s="16"/>
      <c r="GE60" s="16"/>
      <c r="GF60" s="16"/>
      <c r="GG60" s="16"/>
      <c r="GH60" s="16"/>
      <c r="GI60" s="16"/>
      <c r="GJ60" s="16"/>
      <c r="GK60" s="16"/>
      <c r="GL60" s="16"/>
      <c r="GM60" s="16"/>
      <c r="GN60" s="16"/>
      <c r="GO60" s="16"/>
      <c r="GP60" s="16"/>
      <c r="GQ60" s="16"/>
      <c r="GR60" s="16"/>
      <c r="GS60" s="16"/>
      <c r="GT60" s="16"/>
      <c r="GU60" s="16"/>
      <c r="GV60" s="16"/>
      <c r="GW60" s="16"/>
      <c r="GX60" s="16"/>
      <c r="GY60" s="16"/>
      <c r="GZ60" s="16"/>
      <c r="HA60" s="16"/>
      <c r="HB60" s="16"/>
      <c r="HC60" s="16"/>
      <c r="HD60" s="16"/>
      <c r="HE60" s="16"/>
      <c r="HF60" s="16"/>
      <c r="HG60" s="16"/>
      <c r="HH60" s="16"/>
      <c r="HI60" s="16"/>
      <c r="HJ60" s="16"/>
      <c r="HK60" s="16"/>
      <c r="HL60" s="16"/>
      <c r="HM60" s="16"/>
      <c r="HN60" s="16"/>
      <c r="HO60" s="16"/>
      <c r="HP60" s="16"/>
      <c r="HQ60" s="16"/>
      <c r="HR60" s="16"/>
      <c r="HS60" s="16"/>
      <c r="HT60" s="16"/>
      <c r="HU60" s="16"/>
      <c r="HV60" s="16"/>
      <c r="HW60" s="16"/>
      <c r="HX60" s="16"/>
      <c r="HY60" s="16"/>
      <c r="HZ60" s="16"/>
      <c r="IA60" s="16"/>
      <c r="IB60" s="16"/>
      <c r="IC60" s="16"/>
      <c r="ID60" s="16"/>
      <c r="IE60" s="16"/>
      <c r="IF60" s="16"/>
      <c r="IG60" s="16"/>
      <c r="IH60" s="16"/>
      <c r="II60" s="16"/>
      <c r="IJ60" s="16"/>
      <c r="IK60" s="16"/>
      <c r="IL60" s="16"/>
      <c r="IM60" s="16"/>
      <c r="IN60" s="16"/>
      <c r="IO60" s="16"/>
      <c r="IP60" s="16"/>
      <c r="IQ60" s="16"/>
      <c r="IR60" s="16"/>
      <c r="IS60" s="16"/>
      <c r="IT60" s="16"/>
    </row>
    <row r="61" spans="1:254">
      <c r="A61" s="18" t="s">
        <v>370</v>
      </c>
      <c r="B61" s="19" t="s">
        <v>247</v>
      </c>
      <c r="C61" s="20">
        <v>2991438.8200000003</v>
      </c>
      <c r="D61" s="21">
        <v>2990574.0608000001</v>
      </c>
      <c r="E61" s="21">
        <v>3003334.0608000001</v>
      </c>
      <c r="F61" s="21">
        <v>3011655.9859199999</v>
      </c>
      <c r="G61" s="21">
        <v>3010133.8163200002</v>
      </c>
      <c r="H61" s="22">
        <f t="shared" si="7"/>
        <v>0.6249499804244607</v>
      </c>
      <c r="I61" s="23" t="str">
        <f t="shared" si="8"/>
        <v>è</v>
      </c>
      <c r="J61" s="32"/>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c r="BC61" s="16"/>
      <c r="BD61" s="16"/>
      <c r="BE61" s="16"/>
      <c r="BF61" s="16"/>
      <c r="BG61" s="16"/>
      <c r="BH61" s="16"/>
      <c r="BI61" s="16"/>
      <c r="BJ61" s="16"/>
      <c r="BK61" s="16"/>
      <c r="BL61" s="16"/>
      <c r="BM61" s="16"/>
      <c r="BN61" s="16"/>
      <c r="BO61" s="16"/>
      <c r="BP61" s="16"/>
      <c r="BQ61" s="16"/>
      <c r="BR61" s="16"/>
      <c r="BS61" s="16"/>
      <c r="BT61" s="16"/>
      <c r="BU61" s="16"/>
      <c r="BV61" s="16"/>
      <c r="BW61" s="16"/>
      <c r="BX61" s="16"/>
      <c r="BY61" s="16"/>
      <c r="BZ61" s="16"/>
      <c r="CA61" s="16"/>
      <c r="CB61" s="16"/>
      <c r="CC61" s="16"/>
      <c r="CD61" s="16"/>
      <c r="CE61" s="16"/>
      <c r="CF61" s="16"/>
      <c r="CG61" s="16"/>
      <c r="CH61" s="16"/>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c r="EM61" s="16"/>
      <c r="EN61" s="16"/>
      <c r="EO61" s="16"/>
      <c r="EP61" s="16"/>
      <c r="EQ61" s="16"/>
      <c r="ER61" s="16"/>
      <c r="ES61" s="16"/>
      <c r="ET61" s="16"/>
      <c r="EU61" s="16"/>
      <c r="EV61" s="16"/>
      <c r="EW61" s="16"/>
      <c r="EX61" s="16"/>
      <c r="EY61" s="16"/>
      <c r="EZ61" s="16"/>
      <c r="FA61" s="16"/>
      <c r="FB61" s="16"/>
      <c r="FC61" s="16"/>
      <c r="FD61" s="16"/>
      <c r="FE61" s="16"/>
      <c r="FF61" s="16"/>
      <c r="FG61" s="16"/>
      <c r="FH61" s="16"/>
      <c r="FI61" s="16"/>
      <c r="FJ61" s="16"/>
      <c r="FK61" s="16"/>
      <c r="FL61" s="16"/>
      <c r="FM61" s="16"/>
      <c r="FN61" s="16"/>
      <c r="FO61" s="16"/>
      <c r="FP61" s="16"/>
      <c r="FQ61" s="16"/>
      <c r="FR61" s="16"/>
      <c r="FS61" s="16"/>
      <c r="FT61" s="16"/>
      <c r="FU61" s="16"/>
      <c r="FV61" s="16"/>
      <c r="FW61" s="16"/>
      <c r="FX61" s="16"/>
      <c r="FY61" s="16"/>
      <c r="FZ61" s="16"/>
      <c r="GA61" s="16"/>
      <c r="GB61" s="16"/>
      <c r="GC61" s="16"/>
      <c r="GD61" s="16"/>
      <c r="GE61" s="16"/>
      <c r="GF61" s="16"/>
      <c r="GG61" s="16"/>
      <c r="GH61" s="16"/>
      <c r="GI61" s="16"/>
      <c r="GJ61" s="16"/>
      <c r="GK61" s="16"/>
      <c r="GL61" s="16"/>
      <c r="GM61" s="16"/>
      <c r="GN61" s="16"/>
      <c r="GO61" s="16"/>
      <c r="GP61" s="16"/>
      <c r="GQ61" s="16"/>
      <c r="GR61" s="16"/>
      <c r="GS61" s="16"/>
      <c r="GT61" s="16"/>
      <c r="GU61" s="16"/>
      <c r="GV61" s="16"/>
      <c r="GW61" s="16"/>
      <c r="GX61" s="16"/>
      <c r="GY61" s="16"/>
      <c r="GZ61" s="16"/>
      <c r="HA61" s="16"/>
      <c r="HB61" s="16"/>
      <c r="HC61" s="16"/>
      <c r="HD61" s="16"/>
      <c r="HE61" s="16"/>
      <c r="HF61" s="16"/>
      <c r="HG61" s="16"/>
      <c r="HH61" s="16"/>
      <c r="HI61" s="16"/>
      <c r="HJ61" s="16"/>
      <c r="HK61" s="16"/>
      <c r="HL61" s="16"/>
      <c r="HM61" s="16"/>
      <c r="HN61" s="16"/>
      <c r="HO61" s="16"/>
      <c r="HP61" s="16"/>
      <c r="HQ61" s="16"/>
      <c r="HR61" s="16"/>
      <c r="HS61" s="16"/>
      <c r="HT61" s="16"/>
      <c r="HU61" s="16"/>
      <c r="HV61" s="16"/>
      <c r="HW61" s="16"/>
      <c r="HX61" s="16"/>
      <c r="HY61" s="16"/>
      <c r="HZ61" s="16"/>
      <c r="IA61" s="16"/>
      <c r="IB61" s="16"/>
      <c r="IC61" s="16"/>
      <c r="ID61" s="16"/>
      <c r="IE61" s="16"/>
      <c r="IF61" s="16"/>
      <c r="IG61" s="16"/>
      <c r="IH61" s="16"/>
      <c r="II61" s="16"/>
      <c r="IJ61" s="16"/>
      <c r="IK61" s="16"/>
      <c r="IL61" s="16"/>
      <c r="IM61" s="16"/>
      <c r="IN61" s="16"/>
      <c r="IO61" s="16"/>
      <c r="IP61" s="16"/>
      <c r="IQ61" s="16"/>
      <c r="IR61" s="16"/>
      <c r="IS61" s="16"/>
      <c r="IT61" s="16"/>
    </row>
    <row r="62" spans="1:254" ht="36">
      <c r="A62" s="26" t="s">
        <v>248</v>
      </c>
      <c r="B62" s="27" t="s">
        <v>249</v>
      </c>
      <c r="C62" s="28">
        <v>-603201.26999999955</v>
      </c>
      <c r="D62" s="29">
        <v>-356165.01999999955</v>
      </c>
      <c r="E62" s="29">
        <v>-308025.01999999955</v>
      </c>
      <c r="F62" s="29">
        <v>-270508.46600000001</v>
      </c>
      <c r="G62" s="29">
        <v>-274065.41100000031</v>
      </c>
      <c r="H62" s="30">
        <f t="shared" si="7"/>
        <v>-54.564848479181663</v>
      </c>
      <c r="I62" s="115" t="str">
        <f t="shared" si="8"/>
        <v>ì</v>
      </c>
      <c r="J62" s="369" t="s">
        <v>494</v>
      </c>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c r="BH62" s="16"/>
      <c r="BI62" s="16"/>
      <c r="BJ62" s="16"/>
      <c r="BK62" s="16"/>
      <c r="BL62" s="16"/>
      <c r="BM62" s="16"/>
      <c r="BN62" s="16"/>
      <c r="BO62" s="16"/>
      <c r="BP62" s="16"/>
      <c r="BQ62" s="16"/>
      <c r="BR62" s="16"/>
      <c r="BS62" s="16"/>
      <c r="BT62" s="16"/>
      <c r="BU62" s="16"/>
      <c r="BV62" s="16"/>
      <c r="BW62" s="16"/>
      <c r="BX62" s="16"/>
      <c r="BY62" s="16"/>
      <c r="BZ62" s="16"/>
      <c r="CA62" s="16"/>
      <c r="CB62" s="16"/>
      <c r="CC62" s="16"/>
      <c r="CD62" s="16"/>
      <c r="CE62" s="16"/>
      <c r="CF62" s="16"/>
      <c r="CG62" s="16"/>
      <c r="CH62" s="16"/>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c r="EM62" s="16"/>
      <c r="EN62" s="16"/>
      <c r="EO62" s="16"/>
      <c r="EP62" s="16"/>
      <c r="EQ62" s="16"/>
      <c r="ER62" s="16"/>
      <c r="ES62" s="16"/>
      <c r="ET62" s="16"/>
      <c r="EU62" s="16"/>
      <c r="EV62" s="16"/>
      <c r="EW62" s="16"/>
      <c r="EX62" s="16"/>
      <c r="EY62" s="16"/>
      <c r="EZ62" s="16"/>
      <c r="FA62" s="16"/>
      <c r="FB62" s="16"/>
      <c r="FC62" s="16"/>
      <c r="FD62" s="16"/>
      <c r="FE62" s="16"/>
      <c r="FF62" s="16"/>
      <c r="FG62" s="16"/>
      <c r="FH62" s="16"/>
      <c r="FI62" s="16"/>
      <c r="FJ62" s="16"/>
      <c r="FK62" s="16"/>
      <c r="FL62" s="16"/>
      <c r="FM62" s="16"/>
      <c r="FN62" s="16"/>
      <c r="FO62" s="16"/>
      <c r="FP62" s="16"/>
      <c r="FQ62" s="16"/>
      <c r="FR62" s="16"/>
      <c r="FS62" s="16"/>
      <c r="FT62" s="16"/>
      <c r="FU62" s="16"/>
      <c r="FV62" s="16"/>
      <c r="FW62" s="16"/>
      <c r="FX62" s="16"/>
      <c r="FY62" s="16"/>
      <c r="FZ62" s="16"/>
      <c r="GA62" s="16"/>
      <c r="GB62" s="16"/>
      <c r="GC62" s="16"/>
      <c r="GD62" s="16"/>
      <c r="GE62" s="16"/>
      <c r="GF62" s="16"/>
      <c r="GG62" s="16"/>
      <c r="GH62" s="16"/>
      <c r="GI62" s="16"/>
      <c r="GJ62" s="16"/>
      <c r="GK62" s="16"/>
      <c r="GL62" s="16"/>
      <c r="GM62" s="16"/>
      <c r="GN62" s="16"/>
      <c r="GO62" s="16"/>
      <c r="GP62" s="16"/>
      <c r="GQ62" s="16"/>
      <c r="GR62" s="16"/>
      <c r="GS62" s="16"/>
      <c r="GT62" s="16"/>
      <c r="GU62" s="16"/>
      <c r="GV62" s="16"/>
      <c r="GW62" s="16"/>
      <c r="GX62" s="16"/>
      <c r="GY62" s="16"/>
      <c r="GZ62" s="16"/>
      <c r="HA62" s="16"/>
      <c r="HB62" s="16"/>
      <c r="HC62" s="16"/>
      <c r="HD62" s="16"/>
      <c r="HE62" s="16"/>
      <c r="HF62" s="16"/>
      <c r="HG62" s="16"/>
      <c r="HH62" s="16"/>
      <c r="HI62" s="16"/>
      <c r="HJ62" s="16"/>
      <c r="HK62" s="16"/>
      <c r="HL62" s="16"/>
      <c r="HM62" s="16"/>
      <c r="HN62" s="16"/>
      <c r="HO62" s="16"/>
      <c r="HP62" s="16"/>
      <c r="HQ62" s="16"/>
      <c r="HR62" s="16"/>
      <c r="HS62" s="16"/>
      <c r="HT62" s="16"/>
      <c r="HU62" s="16"/>
      <c r="HV62" s="16"/>
      <c r="HW62" s="16"/>
      <c r="HX62" s="16"/>
      <c r="HY62" s="16"/>
      <c r="HZ62" s="16"/>
      <c r="IA62" s="16"/>
      <c r="IB62" s="16"/>
      <c r="IC62" s="16"/>
      <c r="ID62" s="16"/>
      <c r="IE62" s="16"/>
      <c r="IF62" s="16"/>
      <c r="IG62" s="16"/>
      <c r="IH62" s="16"/>
      <c r="II62" s="16"/>
      <c r="IJ62" s="16"/>
      <c r="IK62" s="16"/>
      <c r="IL62" s="16"/>
      <c r="IM62" s="16"/>
      <c r="IN62" s="16"/>
      <c r="IO62" s="16"/>
      <c r="IP62" s="16"/>
      <c r="IQ62" s="16"/>
      <c r="IR62" s="16"/>
      <c r="IS62" s="16"/>
      <c r="IT62" s="16"/>
    </row>
    <row r="63" spans="1:254" ht="36">
      <c r="A63" s="18" t="s">
        <v>250</v>
      </c>
      <c r="B63" s="19" t="s">
        <v>251</v>
      </c>
      <c r="C63" s="20">
        <f>86918853.87</f>
        <v>86918853.870000005</v>
      </c>
      <c r="D63" s="21">
        <f>96357781.49-100000</f>
        <v>96257781.489999995</v>
      </c>
      <c r="E63" s="21">
        <f>96528881.49-100000</f>
        <v>96428881.489999995</v>
      </c>
      <c r="F63" s="21">
        <f>96775736.352-100000</f>
        <v>96675736.351999998</v>
      </c>
      <c r="G63" s="21">
        <f>96803634.517-100000</f>
        <v>96703634.517000005</v>
      </c>
      <c r="H63" s="22">
        <f t="shared" si="7"/>
        <v>11.257374218986584</v>
      </c>
      <c r="I63" s="23" t="str">
        <f t="shared" si="8"/>
        <v>ì</v>
      </c>
      <c r="J63" s="368" t="s">
        <v>562</v>
      </c>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c r="BH63" s="16"/>
      <c r="BI63" s="16"/>
      <c r="BJ63" s="16"/>
      <c r="BK63" s="16"/>
      <c r="BL63" s="16"/>
      <c r="BM63" s="16"/>
      <c r="BN63" s="16"/>
      <c r="BO63" s="16"/>
      <c r="BP63" s="16"/>
      <c r="BQ63" s="16"/>
      <c r="BR63" s="16"/>
      <c r="BS63" s="16"/>
      <c r="BT63" s="16"/>
      <c r="BU63" s="16"/>
      <c r="BV63" s="16"/>
      <c r="BW63" s="16"/>
      <c r="BX63" s="16"/>
      <c r="BY63" s="16"/>
      <c r="BZ63" s="16"/>
      <c r="CA63" s="16"/>
      <c r="CB63" s="16"/>
      <c r="CC63" s="16"/>
      <c r="CD63" s="16"/>
      <c r="CE63" s="16"/>
      <c r="CF63" s="16"/>
      <c r="CG63" s="16"/>
      <c r="CH63" s="16"/>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c r="EM63" s="16"/>
      <c r="EN63" s="16"/>
      <c r="EO63" s="16"/>
      <c r="EP63" s="16"/>
      <c r="EQ63" s="16"/>
      <c r="ER63" s="16"/>
      <c r="ES63" s="16"/>
      <c r="ET63" s="16"/>
      <c r="EU63" s="16"/>
      <c r="EV63" s="16"/>
      <c r="EW63" s="16"/>
      <c r="EX63" s="16"/>
      <c r="EY63" s="16"/>
      <c r="EZ63" s="16"/>
      <c r="FA63" s="16"/>
      <c r="FB63" s="16"/>
      <c r="FC63" s="16"/>
      <c r="FD63" s="16"/>
      <c r="FE63" s="16"/>
      <c r="FF63" s="16"/>
      <c r="FG63" s="16"/>
      <c r="FH63" s="16"/>
      <c r="FI63" s="16"/>
      <c r="FJ63" s="16"/>
      <c r="FK63" s="16"/>
      <c r="FL63" s="16"/>
      <c r="FM63" s="16"/>
      <c r="FN63" s="16"/>
      <c r="FO63" s="16"/>
      <c r="FP63" s="16"/>
      <c r="FQ63" s="16"/>
      <c r="FR63" s="16"/>
      <c r="FS63" s="16"/>
      <c r="FT63" s="16"/>
      <c r="FU63" s="16"/>
      <c r="FV63" s="16"/>
      <c r="FW63" s="16"/>
      <c r="FX63" s="16"/>
      <c r="FY63" s="16"/>
      <c r="FZ63" s="16"/>
      <c r="GA63" s="16"/>
      <c r="GB63" s="16"/>
      <c r="GC63" s="16"/>
      <c r="GD63" s="16"/>
      <c r="GE63" s="16"/>
      <c r="GF63" s="16"/>
      <c r="GG63" s="16"/>
      <c r="GH63" s="16"/>
      <c r="GI63" s="16"/>
      <c r="GJ63" s="16"/>
      <c r="GK63" s="16"/>
      <c r="GL63" s="16"/>
      <c r="GM63" s="16"/>
      <c r="GN63" s="16"/>
      <c r="GO63" s="16"/>
      <c r="GP63" s="16"/>
      <c r="GQ63" s="16"/>
      <c r="GR63" s="16"/>
      <c r="GS63" s="16"/>
      <c r="GT63" s="16"/>
      <c r="GU63" s="16"/>
      <c r="GV63" s="16"/>
      <c r="GW63" s="16"/>
      <c r="GX63" s="16"/>
      <c r="GY63" s="16"/>
      <c r="GZ63" s="16"/>
      <c r="HA63" s="16"/>
      <c r="HB63" s="16"/>
      <c r="HC63" s="16"/>
      <c r="HD63" s="16"/>
      <c r="HE63" s="16"/>
      <c r="HF63" s="16"/>
      <c r="HG63" s="16"/>
      <c r="HH63" s="16"/>
      <c r="HI63" s="16"/>
      <c r="HJ63" s="16"/>
      <c r="HK63" s="16"/>
      <c r="HL63" s="16"/>
      <c r="HM63" s="16"/>
      <c r="HN63" s="16"/>
      <c r="HO63" s="16"/>
      <c r="HP63" s="16"/>
      <c r="HQ63" s="16"/>
      <c r="HR63" s="16"/>
      <c r="HS63" s="16"/>
      <c r="HT63" s="16"/>
      <c r="HU63" s="16"/>
      <c r="HV63" s="16"/>
      <c r="HW63" s="16"/>
      <c r="HX63" s="16"/>
      <c r="HY63" s="16"/>
      <c r="HZ63" s="16"/>
      <c r="IA63" s="16"/>
      <c r="IB63" s="16"/>
      <c r="IC63" s="16"/>
      <c r="ID63" s="16"/>
      <c r="IE63" s="16"/>
      <c r="IF63" s="16"/>
      <c r="IG63" s="16"/>
      <c r="IH63" s="16"/>
      <c r="II63" s="16"/>
      <c r="IJ63" s="16"/>
      <c r="IK63" s="16"/>
      <c r="IL63" s="16"/>
      <c r="IM63" s="16"/>
      <c r="IN63" s="16"/>
      <c r="IO63" s="16"/>
      <c r="IP63" s="16"/>
      <c r="IQ63" s="16"/>
      <c r="IR63" s="16"/>
      <c r="IS63" s="16"/>
      <c r="IT63" s="16"/>
    </row>
    <row r="64" spans="1:254">
      <c r="A64" s="44" t="s">
        <v>252</v>
      </c>
      <c r="B64" s="45" t="s">
        <v>253</v>
      </c>
      <c r="C64" s="46">
        <v>1970826.1799999997</v>
      </c>
      <c r="D64" s="47">
        <v>2058441.665000001</v>
      </c>
      <c r="E64" s="47">
        <v>2058441.665000001</v>
      </c>
      <c r="F64" s="47">
        <v>2181301.8010000009</v>
      </c>
      <c r="G64" s="47">
        <v>2225180.4210000001</v>
      </c>
      <c r="H64" s="48">
        <f t="shared" si="7"/>
        <v>12.905970276891708</v>
      </c>
      <c r="I64" s="115" t="str">
        <f t="shared" si="8"/>
        <v>ì</v>
      </c>
      <c r="J64" s="369" t="s">
        <v>495</v>
      </c>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c r="BC64" s="16"/>
      <c r="BD64" s="16"/>
      <c r="BE64" s="16"/>
      <c r="BF64" s="16"/>
      <c r="BG64" s="16"/>
      <c r="BH64" s="16"/>
      <c r="BI64" s="16"/>
      <c r="BJ64" s="16"/>
      <c r="BK64" s="16"/>
      <c r="BL64" s="16"/>
      <c r="BM64" s="16"/>
      <c r="BN64" s="16"/>
      <c r="BO64" s="16"/>
      <c r="BP64" s="16"/>
      <c r="BQ64" s="16"/>
      <c r="BR64" s="16"/>
      <c r="BS64" s="16"/>
      <c r="BT64" s="16"/>
      <c r="BU64" s="16"/>
      <c r="BV64" s="16"/>
      <c r="BW64" s="16"/>
      <c r="BX64" s="16"/>
      <c r="BY64" s="16"/>
      <c r="BZ64" s="16"/>
      <c r="CA64" s="16"/>
      <c r="CB64" s="16"/>
      <c r="CC64" s="16"/>
      <c r="CD64" s="16"/>
      <c r="CE64" s="16"/>
      <c r="CF64" s="16"/>
      <c r="CG64" s="16"/>
      <c r="CH64" s="16"/>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c r="EM64" s="16"/>
      <c r="EN64" s="16"/>
      <c r="EO64" s="16"/>
      <c r="EP64" s="16"/>
      <c r="EQ64" s="16"/>
      <c r="ER64" s="16"/>
      <c r="ES64" s="16"/>
      <c r="ET64" s="16"/>
      <c r="EU64" s="16"/>
      <c r="EV64" s="16"/>
      <c r="EW64" s="16"/>
      <c r="EX64" s="16"/>
      <c r="EY64" s="16"/>
      <c r="EZ64" s="16"/>
      <c r="FA64" s="16"/>
      <c r="FB64" s="16"/>
      <c r="FC64" s="16"/>
      <c r="FD64" s="16"/>
      <c r="FE64" s="16"/>
      <c r="FF64" s="16"/>
      <c r="FG64" s="16"/>
      <c r="FH64" s="16"/>
      <c r="FI64" s="16"/>
      <c r="FJ64" s="16"/>
      <c r="FK64" s="16"/>
      <c r="FL64" s="16"/>
      <c r="FM64" s="16"/>
      <c r="FN64" s="16"/>
      <c r="FO64" s="16"/>
      <c r="FP64" s="16"/>
      <c r="FQ64" s="16"/>
      <c r="FR64" s="16"/>
      <c r="FS64" s="16"/>
      <c r="FT64" s="16"/>
      <c r="FU64" s="16"/>
      <c r="FV64" s="16"/>
      <c r="FW64" s="16"/>
      <c r="FX64" s="16"/>
      <c r="FY64" s="16"/>
      <c r="FZ64" s="16"/>
      <c r="GA64" s="16"/>
      <c r="GB64" s="16"/>
      <c r="GC64" s="16"/>
      <c r="GD64" s="16"/>
      <c r="GE64" s="16"/>
      <c r="GF64" s="16"/>
      <c r="GG64" s="16"/>
      <c r="GH64" s="16"/>
      <c r="GI64" s="16"/>
      <c r="GJ64" s="16"/>
      <c r="GK64" s="16"/>
      <c r="GL64" s="16"/>
      <c r="GM64" s="16"/>
      <c r="GN64" s="16"/>
      <c r="GO64" s="16"/>
      <c r="GP64" s="16"/>
      <c r="GQ64" s="16"/>
      <c r="GR64" s="16"/>
      <c r="GS64" s="16"/>
      <c r="GT64" s="16"/>
      <c r="GU64" s="16"/>
      <c r="GV64" s="16"/>
      <c r="GW64" s="16"/>
      <c r="GX64" s="16"/>
      <c r="GY64" s="16"/>
      <c r="GZ64" s="16"/>
      <c r="HA64" s="16"/>
      <c r="HB64" s="16"/>
      <c r="HC64" s="16"/>
      <c r="HD64" s="16"/>
      <c r="HE64" s="16"/>
      <c r="HF64" s="16"/>
      <c r="HG64" s="16"/>
      <c r="HH64" s="16"/>
      <c r="HI64" s="16"/>
      <c r="HJ64" s="16"/>
      <c r="HK64" s="16"/>
      <c r="HL64" s="16"/>
      <c r="HM64" s="16"/>
      <c r="HN64" s="16"/>
      <c r="HO64" s="16"/>
      <c r="HP64" s="16"/>
      <c r="HQ64" s="16"/>
      <c r="HR64" s="16"/>
      <c r="HS64" s="16"/>
      <c r="HT64" s="16"/>
      <c r="HU64" s="16"/>
      <c r="HV64" s="16"/>
      <c r="HW64" s="16"/>
      <c r="HX64" s="16"/>
      <c r="HY64" s="16"/>
      <c r="HZ64" s="16"/>
      <c r="IA64" s="16"/>
      <c r="IB64" s="16"/>
      <c r="IC64" s="16"/>
      <c r="ID64" s="16"/>
      <c r="IE64" s="16"/>
      <c r="IF64" s="16"/>
      <c r="IG64" s="16"/>
      <c r="IH64" s="16"/>
      <c r="II64" s="16"/>
      <c r="IJ64" s="16"/>
      <c r="IK64" s="16"/>
      <c r="IL64" s="16"/>
      <c r="IM64" s="16"/>
      <c r="IN64" s="16"/>
      <c r="IO64" s="16"/>
      <c r="IP64" s="16"/>
      <c r="IQ64" s="16"/>
      <c r="IR64" s="16"/>
      <c r="IS64" s="16"/>
      <c r="IT64" s="16"/>
    </row>
    <row r="65" spans="1:254" ht="48">
      <c r="A65" s="51" t="s">
        <v>254</v>
      </c>
      <c r="B65" s="52" t="s">
        <v>255</v>
      </c>
      <c r="C65" s="53">
        <v>85254197.400000006</v>
      </c>
      <c r="D65" s="54">
        <v>81404239.384000003</v>
      </c>
      <c r="E65" s="54">
        <v>83333475.384000003</v>
      </c>
      <c r="F65" s="54">
        <v>86184248.033600003</v>
      </c>
      <c r="G65" s="54">
        <v>86413144.182266682</v>
      </c>
      <c r="H65" s="55">
        <f t="shared" si="7"/>
        <v>1.3594014343118772</v>
      </c>
      <c r="I65" s="131" t="str">
        <f t="shared" si="8"/>
        <v>è</v>
      </c>
      <c r="J65" s="370" t="s">
        <v>541</v>
      </c>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c r="BC65" s="16"/>
      <c r="BD65" s="16"/>
      <c r="BE65" s="16"/>
      <c r="BF65" s="16"/>
      <c r="BG65" s="16"/>
      <c r="BH65" s="16"/>
      <c r="BI65" s="16"/>
      <c r="BJ65" s="16"/>
      <c r="BK65" s="16"/>
      <c r="BL65" s="16"/>
      <c r="BM65" s="16"/>
      <c r="BN65" s="16"/>
      <c r="BO65" s="16"/>
      <c r="BP65" s="16"/>
      <c r="BQ65" s="16"/>
      <c r="BR65" s="16"/>
      <c r="BS65" s="16"/>
      <c r="BT65" s="16"/>
      <c r="BU65" s="16"/>
      <c r="BV65" s="16"/>
      <c r="BW65" s="16"/>
      <c r="BX65" s="16"/>
      <c r="BY65" s="16"/>
      <c r="BZ65" s="16"/>
      <c r="CA65" s="16"/>
      <c r="CB65" s="16"/>
      <c r="CC65" s="16"/>
      <c r="CD65" s="16"/>
      <c r="CE65" s="16"/>
      <c r="CF65" s="16"/>
      <c r="CG65" s="16"/>
      <c r="CH65" s="16"/>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c r="EM65" s="16"/>
      <c r="EN65" s="16"/>
      <c r="EO65" s="16"/>
      <c r="EP65" s="16"/>
      <c r="EQ65" s="16"/>
      <c r="ER65" s="16"/>
      <c r="ES65" s="16"/>
      <c r="ET65" s="16"/>
      <c r="EU65" s="16"/>
      <c r="EV65" s="16"/>
      <c r="EW65" s="16"/>
      <c r="EX65" s="16"/>
      <c r="EY65" s="16"/>
      <c r="EZ65" s="16"/>
      <c r="FA65" s="16"/>
      <c r="FB65" s="16"/>
      <c r="FC65" s="16"/>
      <c r="FD65" s="16"/>
      <c r="FE65" s="16"/>
      <c r="FF65" s="16"/>
      <c r="FG65" s="16"/>
      <c r="FH65" s="16"/>
      <c r="FI65" s="16"/>
      <c r="FJ65" s="16"/>
      <c r="FK65" s="16"/>
      <c r="FL65" s="16"/>
      <c r="FM65" s="16"/>
      <c r="FN65" s="16"/>
      <c r="FO65" s="16"/>
      <c r="FP65" s="16"/>
      <c r="FQ65" s="16"/>
      <c r="FR65" s="16"/>
      <c r="FS65" s="16"/>
      <c r="FT65" s="16"/>
      <c r="FU65" s="16"/>
      <c r="FV65" s="16"/>
      <c r="FW65" s="16"/>
      <c r="FX65" s="16"/>
      <c r="FY65" s="16"/>
      <c r="FZ65" s="16"/>
      <c r="GA65" s="16"/>
      <c r="GB65" s="16"/>
      <c r="GC65" s="16"/>
      <c r="GD65" s="16"/>
      <c r="GE65" s="16"/>
      <c r="GF65" s="16"/>
      <c r="GG65" s="16"/>
      <c r="GH65" s="16"/>
      <c r="GI65" s="16"/>
      <c r="GJ65" s="16"/>
      <c r="GK65" s="16"/>
      <c r="GL65" s="16"/>
      <c r="GM65" s="16"/>
      <c r="GN65" s="16"/>
      <c r="GO65" s="16"/>
      <c r="GP65" s="16"/>
      <c r="GQ65" s="16"/>
      <c r="GR65" s="16"/>
      <c r="GS65" s="16"/>
      <c r="GT65" s="16"/>
      <c r="GU65" s="16"/>
      <c r="GV65" s="16"/>
      <c r="GW65" s="16"/>
      <c r="GX65" s="16"/>
      <c r="GY65" s="16"/>
      <c r="GZ65" s="16"/>
      <c r="HA65" s="16"/>
      <c r="HB65" s="16"/>
      <c r="HC65" s="16"/>
      <c r="HD65" s="16"/>
      <c r="HE65" s="16"/>
      <c r="HF65" s="16"/>
      <c r="HG65" s="16"/>
      <c r="HH65" s="16"/>
      <c r="HI65" s="16"/>
      <c r="HJ65" s="16"/>
      <c r="HK65" s="16"/>
      <c r="HL65" s="16"/>
      <c r="HM65" s="16"/>
      <c r="HN65" s="16"/>
      <c r="HO65" s="16"/>
      <c r="HP65" s="16"/>
      <c r="HQ65" s="16"/>
      <c r="HR65" s="16"/>
      <c r="HS65" s="16"/>
      <c r="HT65" s="16"/>
      <c r="HU65" s="16"/>
      <c r="HV65" s="16"/>
      <c r="HW65" s="16"/>
      <c r="HX65" s="16"/>
      <c r="HY65" s="16"/>
      <c r="HZ65" s="16"/>
      <c r="IA65" s="16"/>
      <c r="IB65" s="16"/>
      <c r="IC65" s="16"/>
      <c r="ID65" s="16"/>
      <c r="IE65" s="16"/>
      <c r="IF65" s="16"/>
      <c r="IG65" s="16"/>
      <c r="IH65" s="16"/>
      <c r="II65" s="16"/>
      <c r="IJ65" s="16"/>
      <c r="IK65" s="16"/>
      <c r="IL65" s="16"/>
      <c r="IM65" s="16"/>
      <c r="IN65" s="16"/>
      <c r="IO65" s="16"/>
      <c r="IP65" s="16"/>
      <c r="IQ65" s="16"/>
      <c r="IR65" s="16"/>
      <c r="IS65" s="16"/>
      <c r="IT65" s="16"/>
    </row>
    <row r="66" spans="1:254">
      <c r="A66" s="44" t="s">
        <v>256</v>
      </c>
      <c r="B66" s="45" t="s">
        <v>257</v>
      </c>
      <c r="C66" s="46">
        <v>3510587.1199999992</v>
      </c>
      <c r="D66" s="47">
        <v>3636782.6011999995</v>
      </c>
      <c r="E66" s="47">
        <v>3687542.1112000011</v>
      </c>
      <c r="F66" s="47">
        <v>3808678.7628799994</v>
      </c>
      <c r="G66" s="47">
        <v>3991376.3434799984</v>
      </c>
      <c r="H66" s="48">
        <f t="shared" si="7"/>
        <v>13.695407834801117</v>
      </c>
      <c r="I66" s="115" t="str">
        <f t="shared" si="8"/>
        <v>ì</v>
      </c>
      <c r="J66" s="369" t="s">
        <v>496</v>
      </c>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c r="BC66" s="16"/>
      <c r="BD66" s="16"/>
      <c r="BE66" s="16"/>
      <c r="BF66" s="16"/>
      <c r="BG66" s="16"/>
      <c r="BH66" s="16"/>
      <c r="BI66" s="16"/>
      <c r="BJ66" s="16"/>
      <c r="BK66" s="16"/>
      <c r="BL66" s="16"/>
      <c r="BM66" s="16"/>
      <c r="BN66" s="16"/>
      <c r="BO66" s="16"/>
      <c r="BP66" s="16"/>
      <c r="BQ66" s="16"/>
      <c r="BR66" s="16"/>
      <c r="BS66" s="16"/>
      <c r="BT66" s="16"/>
      <c r="BU66" s="16"/>
      <c r="BV66" s="16"/>
      <c r="BW66" s="16"/>
      <c r="BX66" s="16"/>
      <c r="BY66" s="16"/>
      <c r="BZ66" s="16"/>
      <c r="CA66" s="16"/>
      <c r="CB66" s="16"/>
      <c r="CC66" s="16"/>
      <c r="CD66" s="16"/>
      <c r="CE66" s="16"/>
      <c r="CF66" s="16"/>
      <c r="CG66" s="16"/>
      <c r="CH66" s="16"/>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c r="EM66" s="16"/>
      <c r="EN66" s="16"/>
      <c r="EO66" s="16"/>
      <c r="EP66" s="16"/>
      <c r="EQ66" s="16"/>
      <c r="ER66" s="16"/>
      <c r="ES66" s="16"/>
      <c r="ET66" s="16"/>
      <c r="EU66" s="16"/>
      <c r="EV66" s="16"/>
      <c r="EW66" s="16"/>
      <c r="EX66" s="16"/>
      <c r="EY66" s="16"/>
      <c r="EZ66" s="16"/>
      <c r="FA66" s="16"/>
      <c r="FB66" s="16"/>
      <c r="FC66" s="16"/>
      <c r="FD66" s="16"/>
      <c r="FE66" s="16"/>
      <c r="FF66" s="16"/>
      <c r="FG66" s="16"/>
      <c r="FH66" s="16"/>
      <c r="FI66" s="16"/>
      <c r="FJ66" s="16"/>
      <c r="FK66" s="16"/>
      <c r="FL66" s="16"/>
      <c r="FM66" s="16"/>
      <c r="FN66" s="16"/>
      <c r="FO66" s="16"/>
      <c r="FP66" s="16"/>
      <c r="FQ66" s="16"/>
      <c r="FR66" s="16"/>
      <c r="FS66" s="16"/>
      <c r="FT66" s="16"/>
      <c r="FU66" s="16"/>
      <c r="FV66" s="16"/>
      <c r="FW66" s="16"/>
      <c r="FX66" s="16"/>
      <c r="FY66" s="16"/>
      <c r="FZ66" s="16"/>
      <c r="GA66" s="16"/>
      <c r="GB66" s="16"/>
      <c r="GC66" s="16"/>
      <c r="GD66" s="16"/>
      <c r="GE66" s="16"/>
      <c r="GF66" s="16"/>
      <c r="GG66" s="16"/>
      <c r="GH66" s="16"/>
      <c r="GI66" s="16"/>
      <c r="GJ66" s="16"/>
      <c r="GK66" s="16"/>
      <c r="GL66" s="16"/>
      <c r="GM66" s="16"/>
      <c r="GN66" s="16"/>
      <c r="GO66" s="16"/>
      <c r="GP66" s="16"/>
      <c r="GQ66" s="16"/>
      <c r="GR66" s="16"/>
      <c r="GS66" s="16"/>
      <c r="GT66" s="16"/>
      <c r="GU66" s="16"/>
      <c r="GV66" s="16"/>
      <c r="GW66" s="16"/>
      <c r="GX66" s="16"/>
      <c r="GY66" s="16"/>
      <c r="GZ66" s="16"/>
      <c r="HA66" s="16"/>
      <c r="HB66" s="16"/>
      <c r="HC66" s="16"/>
      <c r="HD66" s="16"/>
      <c r="HE66" s="16"/>
      <c r="HF66" s="16"/>
      <c r="HG66" s="16"/>
      <c r="HH66" s="16"/>
      <c r="HI66" s="16"/>
      <c r="HJ66" s="16"/>
      <c r="HK66" s="16"/>
      <c r="HL66" s="16"/>
      <c r="HM66" s="16"/>
      <c r="HN66" s="16"/>
      <c r="HO66" s="16"/>
      <c r="HP66" s="16"/>
      <c r="HQ66" s="16"/>
      <c r="HR66" s="16"/>
      <c r="HS66" s="16"/>
      <c r="HT66" s="16"/>
      <c r="HU66" s="16"/>
      <c r="HV66" s="16"/>
      <c r="HW66" s="16"/>
      <c r="HX66" s="16"/>
      <c r="HY66" s="16"/>
      <c r="HZ66" s="16"/>
      <c r="IA66" s="16"/>
      <c r="IB66" s="16"/>
      <c r="IC66" s="16"/>
      <c r="ID66" s="16"/>
      <c r="IE66" s="16"/>
      <c r="IF66" s="16"/>
      <c r="IG66" s="16"/>
      <c r="IH66" s="16"/>
      <c r="II66" s="16"/>
      <c r="IJ66" s="16"/>
      <c r="IK66" s="16"/>
      <c r="IL66" s="16"/>
      <c r="IM66" s="16"/>
      <c r="IN66" s="16"/>
      <c r="IO66" s="16"/>
      <c r="IP66" s="16"/>
      <c r="IQ66" s="16"/>
      <c r="IR66" s="16"/>
      <c r="IS66" s="16"/>
      <c r="IT66" s="16"/>
    </row>
    <row r="67" spans="1:254">
      <c r="A67" s="51" t="s">
        <v>258</v>
      </c>
      <c r="B67" s="52" t="s">
        <v>259</v>
      </c>
      <c r="C67" s="53">
        <v>6818347.4000000004</v>
      </c>
      <c r="D67" s="54">
        <v>6637024.9248000002</v>
      </c>
      <c r="E67" s="54">
        <v>6635963.9248000002</v>
      </c>
      <c r="F67" s="54">
        <v>6635182.3635200001</v>
      </c>
      <c r="G67" s="54">
        <v>6634384.3059200002</v>
      </c>
      <c r="H67" s="55">
        <f t="shared" si="7"/>
        <v>-2.6980598565570375</v>
      </c>
      <c r="I67" s="131" t="str">
        <f t="shared" si="8"/>
        <v>è</v>
      </c>
      <c r="J67" s="5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c r="BF67" s="16"/>
      <c r="BG67" s="16"/>
      <c r="BH67" s="16"/>
      <c r="BI67" s="16"/>
      <c r="BJ67" s="16"/>
      <c r="BK67" s="16"/>
      <c r="BL67" s="16"/>
      <c r="BM67" s="16"/>
      <c r="BN67" s="16"/>
      <c r="BO67" s="16"/>
      <c r="BP67" s="16"/>
      <c r="BQ67" s="16"/>
      <c r="BR67" s="16"/>
      <c r="BS67" s="16"/>
      <c r="BT67" s="16"/>
      <c r="BU67" s="16"/>
      <c r="BV67" s="16"/>
      <c r="BW67" s="16"/>
      <c r="BX67" s="16"/>
      <c r="BY67" s="16"/>
      <c r="BZ67" s="16"/>
      <c r="CA67" s="16"/>
      <c r="CB67" s="16"/>
      <c r="CC67" s="16"/>
      <c r="CD67" s="16"/>
      <c r="CE67" s="16"/>
      <c r="CF67" s="16"/>
      <c r="CG67" s="16"/>
      <c r="CH67" s="16"/>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c r="EM67" s="16"/>
      <c r="EN67" s="16"/>
      <c r="EO67" s="16"/>
      <c r="EP67" s="16"/>
      <c r="EQ67" s="16"/>
      <c r="ER67" s="16"/>
      <c r="ES67" s="16"/>
      <c r="ET67" s="16"/>
      <c r="EU67" s="16"/>
      <c r="EV67" s="16"/>
      <c r="EW67" s="16"/>
      <c r="EX67" s="16"/>
      <c r="EY67" s="16"/>
      <c r="EZ67" s="16"/>
      <c r="FA67" s="16"/>
      <c r="FB67" s="16"/>
      <c r="FC67" s="16"/>
      <c r="FD67" s="16"/>
      <c r="FE67" s="16"/>
      <c r="FF67" s="16"/>
      <c r="FG67" s="16"/>
      <c r="FH67" s="16"/>
      <c r="FI67" s="16"/>
      <c r="FJ67" s="16"/>
      <c r="FK67" s="16"/>
      <c r="FL67" s="16"/>
      <c r="FM67" s="16"/>
      <c r="FN67" s="16"/>
      <c r="FO67" s="16"/>
      <c r="FP67" s="16"/>
      <c r="FQ67" s="16"/>
      <c r="FR67" s="16"/>
      <c r="FS67" s="16"/>
      <c r="FT67" s="16"/>
      <c r="FU67" s="16"/>
      <c r="FV67" s="16"/>
      <c r="FW67" s="16"/>
      <c r="FX67" s="16"/>
      <c r="FY67" s="16"/>
      <c r="FZ67" s="16"/>
      <c r="GA67" s="16"/>
      <c r="GB67" s="16"/>
      <c r="GC67" s="16"/>
      <c r="GD67" s="16"/>
      <c r="GE67" s="16"/>
      <c r="GF67" s="16"/>
      <c r="GG67" s="16"/>
      <c r="GH67" s="16"/>
      <c r="GI67" s="16"/>
      <c r="GJ67" s="16"/>
      <c r="GK67" s="16"/>
      <c r="GL67" s="16"/>
      <c r="GM67" s="16"/>
      <c r="GN67" s="16"/>
      <c r="GO67" s="16"/>
      <c r="GP67" s="16"/>
      <c r="GQ67" s="16"/>
      <c r="GR67" s="16"/>
      <c r="GS67" s="16"/>
      <c r="GT67" s="16"/>
      <c r="GU67" s="16"/>
      <c r="GV67" s="16"/>
      <c r="GW67" s="16"/>
      <c r="GX67" s="16"/>
      <c r="GY67" s="16"/>
      <c r="GZ67" s="16"/>
      <c r="HA67" s="16"/>
      <c r="HB67" s="16"/>
      <c r="HC67" s="16"/>
      <c r="HD67" s="16"/>
      <c r="HE67" s="16"/>
      <c r="HF67" s="16"/>
      <c r="HG67" s="16"/>
      <c r="HH67" s="16"/>
      <c r="HI67" s="16"/>
      <c r="HJ67" s="16"/>
      <c r="HK67" s="16"/>
      <c r="HL67" s="16"/>
      <c r="HM67" s="16"/>
      <c r="HN67" s="16"/>
      <c r="HO67" s="16"/>
      <c r="HP67" s="16"/>
      <c r="HQ67" s="16"/>
      <c r="HR67" s="16"/>
      <c r="HS67" s="16"/>
      <c r="HT67" s="16"/>
      <c r="HU67" s="16"/>
      <c r="HV67" s="16"/>
      <c r="HW67" s="16"/>
      <c r="HX67" s="16"/>
      <c r="HY67" s="16"/>
      <c r="HZ67" s="16"/>
      <c r="IA67" s="16"/>
      <c r="IB67" s="16"/>
      <c r="IC67" s="16"/>
      <c r="ID67" s="16"/>
      <c r="IE67" s="16"/>
      <c r="IF67" s="16"/>
      <c r="IG67" s="16"/>
      <c r="IH67" s="16"/>
      <c r="II67" s="16"/>
      <c r="IJ67" s="16"/>
      <c r="IK67" s="16"/>
      <c r="IL67" s="16"/>
      <c r="IM67" s="16"/>
      <c r="IN67" s="16"/>
      <c r="IO67" s="16"/>
      <c r="IP67" s="16"/>
      <c r="IQ67" s="16"/>
      <c r="IR67" s="16"/>
      <c r="IS67" s="16"/>
      <c r="IT67" s="16"/>
    </row>
    <row r="68" spans="1:254" ht="48">
      <c r="A68" s="44" t="s">
        <v>260</v>
      </c>
      <c r="B68" s="45" t="s">
        <v>386</v>
      </c>
      <c r="C68" s="46">
        <v>9879714.3000000007</v>
      </c>
      <c r="D68" s="47">
        <v>9338816.9219000004</v>
      </c>
      <c r="E68" s="47">
        <v>9345506.9219000004</v>
      </c>
      <c r="F68" s="47">
        <v>9411137.5925600007</v>
      </c>
      <c r="G68" s="47">
        <v>9465651.4035100006</v>
      </c>
      <c r="H68" s="48">
        <f t="shared" si="7"/>
        <v>-4.1910411973147887</v>
      </c>
      <c r="I68" s="115" t="str">
        <f t="shared" si="8"/>
        <v>è</v>
      </c>
      <c r="J68" s="369" t="s">
        <v>542</v>
      </c>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c r="BC68" s="16"/>
      <c r="BD68" s="16"/>
      <c r="BE68" s="16"/>
      <c r="BF68" s="16"/>
      <c r="BG68" s="16"/>
      <c r="BH68" s="16"/>
      <c r="BI68" s="16"/>
      <c r="BJ68" s="16"/>
      <c r="BK68" s="16"/>
      <c r="BL68" s="16"/>
      <c r="BM68" s="16"/>
      <c r="BN68" s="16"/>
      <c r="BO68" s="16"/>
      <c r="BP68" s="16"/>
      <c r="BQ68" s="16"/>
      <c r="BR68" s="16"/>
      <c r="BS68" s="16"/>
      <c r="BT68" s="16"/>
      <c r="BU68" s="16"/>
      <c r="BV68" s="16"/>
      <c r="BW68" s="16"/>
      <c r="BX68" s="16"/>
      <c r="BY68" s="16"/>
      <c r="BZ68" s="16"/>
      <c r="CA68" s="16"/>
      <c r="CB68" s="16"/>
      <c r="CC68" s="16"/>
      <c r="CD68" s="16"/>
      <c r="CE68" s="16"/>
      <c r="CF68" s="16"/>
      <c r="CG68" s="16"/>
      <c r="CH68" s="16"/>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c r="EM68" s="16"/>
      <c r="EN68" s="16"/>
      <c r="EO68" s="16"/>
      <c r="EP68" s="16"/>
      <c r="EQ68" s="16"/>
      <c r="ER68" s="16"/>
      <c r="ES68" s="16"/>
      <c r="ET68" s="16"/>
      <c r="EU68" s="16"/>
      <c r="EV68" s="16"/>
      <c r="EW68" s="16"/>
      <c r="EX68" s="16"/>
      <c r="EY68" s="16"/>
      <c r="EZ68" s="16"/>
      <c r="FA68" s="16"/>
      <c r="FB68" s="16"/>
      <c r="FC68" s="16"/>
      <c r="FD68" s="16"/>
      <c r="FE68" s="16"/>
      <c r="FF68" s="16"/>
      <c r="FG68" s="16"/>
      <c r="FH68" s="16"/>
      <c r="FI68" s="16"/>
      <c r="FJ68" s="16"/>
      <c r="FK68" s="16"/>
      <c r="FL68" s="16"/>
      <c r="FM68" s="16"/>
      <c r="FN68" s="16"/>
      <c r="FO68" s="16"/>
      <c r="FP68" s="16"/>
      <c r="FQ68" s="16"/>
      <c r="FR68" s="16"/>
      <c r="FS68" s="16"/>
      <c r="FT68" s="16"/>
      <c r="FU68" s="16"/>
      <c r="FV68" s="16"/>
      <c r="FW68" s="16"/>
      <c r="FX68" s="16"/>
      <c r="FY68" s="16"/>
      <c r="FZ68" s="16"/>
      <c r="GA68" s="16"/>
      <c r="GB68" s="16"/>
      <c r="GC68" s="16"/>
      <c r="GD68" s="16"/>
      <c r="GE68" s="16"/>
      <c r="GF68" s="16"/>
      <c r="GG68" s="16"/>
      <c r="GH68" s="16"/>
      <c r="GI68" s="16"/>
      <c r="GJ68" s="16"/>
      <c r="GK68" s="16"/>
      <c r="GL68" s="16"/>
      <c r="GM68" s="16"/>
      <c r="GN68" s="16"/>
      <c r="GO68" s="16"/>
      <c r="GP68" s="16"/>
      <c r="GQ68" s="16"/>
      <c r="GR68" s="16"/>
      <c r="GS68" s="16"/>
      <c r="GT68" s="16"/>
      <c r="GU68" s="16"/>
      <c r="GV68" s="16"/>
      <c r="GW68" s="16"/>
      <c r="GX68" s="16"/>
      <c r="GY68" s="16"/>
      <c r="GZ68" s="16"/>
      <c r="HA68" s="16"/>
      <c r="HB68" s="16"/>
      <c r="HC68" s="16"/>
      <c r="HD68" s="16"/>
      <c r="HE68" s="16"/>
      <c r="HF68" s="16"/>
      <c r="HG68" s="16"/>
      <c r="HH68" s="16"/>
      <c r="HI68" s="16"/>
      <c r="HJ68" s="16"/>
      <c r="HK68" s="16"/>
      <c r="HL68" s="16"/>
      <c r="HM68" s="16"/>
      <c r="HN68" s="16"/>
      <c r="HO68" s="16"/>
      <c r="HP68" s="16"/>
      <c r="HQ68" s="16"/>
      <c r="HR68" s="16"/>
      <c r="HS68" s="16"/>
      <c r="HT68" s="16"/>
      <c r="HU68" s="16"/>
      <c r="HV68" s="16"/>
      <c r="HW68" s="16"/>
      <c r="HX68" s="16"/>
      <c r="HY68" s="16"/>
      <c r="HZ68" s="16"/>
      <c r="IA68" s="16"/>
      <c r="IB68" s="16"/>
      <c r="IC68" s="16"/>
      <c r="ID68" s="16"/>
      <c r="IE68" s="16"/>
      <c r="IF68" s="16"/>
      <c r="IG68" s="16"/>
      <c r="IH68" s="16"/>
      <c r="II68" s="16"/>
      <c r="IJ68" s="16"/>
      <c r="IK68" s="16"/>
      <c r="IL68" s="16"/>
      <c r="IM68" s="16"/>
      <c r="IN68" s="16"/>
      <c r="IO68" s="16"/>
      <c r="IP68" s="16"/>
      <c r="IQ68" s="16"/>
      <c r="IR68" s="16"/>
      <c r="IS68" s="16"/>
      <c r="IT68" s="16"/>
    </row>
    <row r="69" spans="1:254">
      <c r="A69" s="51" t="s">
        <v>261</v>
      </c>
      <c r="B69" s="52" t="s">
        <v>262</v>
      </c>
      <c r="C69" s="53">
        <v>3460334.56</v>
      </c>
      <c r="D69" s="54">
        <v>3481640.1687999996</v>
      </c>
      <c r="E69" s="54">
        <v>3481640.1687999996</v>
      </c>
      <c r="F69" s="54">
        <v>3521548.07712</v>
      </c>
      <c r="G69" s="54">
        <v>3535800.9015199994</v>
      </c>
      <c r="H69" s="55">
        <f t="shared" si="7"/>
        <v>2.180897257518339</v>
      </c>
      <c r="I69" s="131" t="str">
        <f t="shared" si="8"/>
        <v>è</v>
      </c>
      <c r="J69" s="5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c r="BB69" s="16"/>
      <c r="BC69" s="16"/>
      <c r="BD69" s="16"/>
      <c r="BE69" s="16"/>
      <c r="BF69" s="16"/>
      <c r="BG69" s="16"/>
      <c r="BH69" s="16"/>
      <c r="BI69" s="16"/>
      <c r="BJ69" s="16"/>
      <c r="BK69" s="16"/>
      <c r="BL69" s="16"/>
      <c r="BM69" s="16"/>
      <c r="BN69" s="16"/>
      <c r="BO69" s="16"/>
      <c r="BP69" s="16"/>
      <c r="BQ69" s="16"/>
      <c r="BR69" s="16"/>
      <c r="BS69" s="16"/>
      <c r="BT69" s="16"/>
      <c r="BU69" s="16"/>
      <c r="BV69" s="16"/>
      <c r="BW69" s="16"/>
      <c r="BX69" s="16"/>
      <c r="BY69" s="16"/>
      <c r="BZ69" s="16"/>
      <c r="CA69" s="16"/>
      <c r="CB69" s="16"/>
      <c r="CC69" s="16"/>
      <c r="CD69" s="16"/>
      <c r="CE69" s="16"/>
      <c r="CF69" s="16"/>
      <c r="CG69" s="16"/>
      <c r="CH69" s="16"/>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c r="EM69" s="16"/>
      <c r="EN69" s="16"/>
      <c r="EO69" s="16"/>
      <c r="EP69" s="16"/>
      <c r="EQ69" s="16"/>
      <c r="ER69" s="16"/>
      <c r="ES69" s="16"/>
      <c r="ET69" s="16"/>
      <c r="EU69" s="16"/>
      <c r="EV69" s="16"/>
      <c r="EW69" s="16"/>
      <c r="EX69" s="16"/>
      <c r="EY69" s="16"/>
      <c r="EZ69" s="16"/>
      <c r="FA69" s="16"/>
      <c r="FB69" s="16"/>
      <c r="FC69" s="16"/>
      <c r="FD69" s="16"/>
      <c r="FE69" s="16"/>
      <c r="FF69" s="16"/>
      <c r="FG69" s="16"/>
      <c r="FH69" s="16"/>
      <c r="FI69" s="16"/>
      <c r="FJ69" s="16"/>
      <c r="FK69" s="16"/>
      <c r="FL69" s="16"/>
      <c r="FM69" s="16"/>
      <c r="FN69" s="16"/>
      <c r="FO69" s="16"/>
      <c r="FP69" s="16"/>
      <c r="FQ69" s="16"/>
      <c r="FR69" s="16"/>
      <c r="FS69" s="16"/>
      <c r="FT69" s="16"/>
      <c r="FU69" s="16"/>
      <c r="FV69" s="16"/>
      <c r="FW69" s="16"/>
      <c r="FX69" s="16"/>
      <c r="FY69" s="16"/>
      <c r="FZ69" s="16"/>
      <c r="GA69" s="16"/>
      <c r="GB69" s="16"/>
      <c r="GC69" s="16"/>
      <c r="GD69" s="16"/>
      <c r="GE69" s="16"/>
      <c r="GF69" s="16"/>
      <c r="GG69" s="16"/>
      <c r="GH69" s="16"/>
      <c r="GI69" s="16"/>
      <c r="GJ69" s="16"/>
      <c r="GK69" s="16"/>
      <c r="GL69" s="16"/>
      <c r="GM69" s="16"/>
      <c r="GN69" s="16"/>
      <c r="GO69" s="16"/>
      <c r="GP69" s="16"/>
      <c r="GQ69" s="16"/>
      <c r="GR69" s="16"/>
      <c r="GS69" s="16"/>
      <c r="GT69" s="16"/>
      <c r="GU69" s="16"/>
      <c r="GV69" s="16"/>
      <c r="GW69" s="16"/>
      <c r="GX69" s="16"/>
      <c r="GY69" s="16"/>
      <c r="GZ69" s="16"/>
      <c r="HA69" s="16"/>
      <c r="HB69" s="16"/>
      <c r="HC69" s="16"/>
      <c r="HD69" s="16"/>
      <c r="HE69" s="16"/>
      <c r="HF69" s="16"/>
      <c r="HG69" s="16"/>
      <c r="HH69" s="16"/>
      <c r="HI69" s="16"/>
      <c r="HJ69" s="16"/>
      <c r="HK69" s="16"/>
      <c r="HL69" s="16"/>
      <c r="HM69" s="16"/>
      <c r="HN69" s="16"/>
      <c r="HO69" s="16"/>
      <c r="HP69" s="16"/>
      <c r="HQ69" s="16"/>
      <c r="HR69" s="16"/>
      <c r="HS69" s="16"/>
      <c r="HT69" s="16"/>
      <c r="HU69" s="16"/>
      <c r="HV69" s="16"/>
      <c r="HW69" s="16"/>
      <c r="HX69" s="16"/>
      <c r="HY69" s="16"/>
      <c r="HZ69" s="16"/>
      <c r="IA69" s="16"/>
      <c r="IB69" s="16"/>
      <c r="IC69" s="16"/>
      <c r="ID69" s="16"/>
      <c r="IE69" s="16"/>
      <c r="IF69" s="16"/>
      <c r="IG69" s="16"/>
      <c r="IH69" s="16"/>
      <c r="II69" s="16"/>
      <c r="IJ69" s="16"/>
      <c r="IK69" s="16"/>
      <c r="IL69" s="16"/>
      <c r="IM69" s="16"/>
      <c r="IN69" s="16"/>
      <c r="IO69" s="16"/>
      <c r="IP69" s="16"/>
      <c r="IQ69" s="16"/>
      <c r="IR69" s="16"/>
      <c r="IS69" s="16"/>
      <c r="IT69" s="16"/>
    </row>
    <row r="70" spans="1:254" ht="36">
      <c r="A70" s="44" t="s">
        <v>263</v>
      </c>
      <c r="B70" s="45" t="s">
        <v>1</v>
      </c>
      <c r="C70" s="46">
        <v>0</v>
      </c>
      <c r="D70" s="47">
        <v>-3.5099999979138374E-2</v>
      </c>
      <c r="E70" s="47">
        <v>-3.5099999979138374E-2</v>
      </c>
      <c r="F70" s="47">
        <v>0.31575999967753887</v>
      </c>
      <c r="G70" s="47">
        <v>0.29820999968796968</v>
      </c>
      <c r="H70" s="48">
        <v>0</v>
      </c>
      <c r="I70" s="115" t="str">
        <f t="shared" si="8"/>
        <v>è</v>
      </c>
      <c r="J70" s="306" t="s">
        <v>497</v>
      </c>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c r="BB70" s="16"/>
      <c r="BC70" s="16"/>
      <c r="BD70" s="16"/>
      <c r="BE70" s="16"/>
      <c r="BF70" s="16"/>
      <c r="BG70" s="16"/>
      <c r="BH70" s="16"/>
      <c r="BI70" s="16"/>
      <c r="BJ70" s="16"/>
      <c r="BK70" s="16"/>
      <c r="BL70" s="16"/>
      <c r="BM70" s="16"/>
      <c r="BN70" s="16"/>
      <c r="BO70" s="16"/>
      <c r="BP70" s="16"/>
      <c r="BQ70" s="16"/>
      <c r="BR70" s="16"/>
      <c r="BS70" s="16"/>
      <c r="BT70" s="16"/>
      <c r="BU70" s="16"/>
      <c r="BV70" s="16"/>
      <c r="BW70" s="16"/>
      <c r="BX70" s="16"/>
      <c r="BY70" s="16"/>
      <c r="BZ70" s="16"/>
      <c r="CA70" s="16"/>
      <c r="CB70" s="16"/>
      <c r="CC70" s="16"/>
      <c r="CD70" s="16"/>
      <c r="CE70" s="16"/>
      <c r="CF70" s="16"/>
      <c r="CG70" s="16"/>
      <c r="CH70" s="16"/>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c r="EM70" s="16"/>
      <c r="EN70" s="16"/>
      <c r="EO70" s="16"/>
      <c r="EP70" s="16"/>
      <c r="EQ70" s="16"/>
      <c r="ER70" s="16"/>
      <c r="ES70" s="16"/>
      <c r="ET70" s="16"/>
      <c r="EU70" s="16"/>
      <c r="EV70" s="16"/>
      <c r="EW70" s="16"/>
      <c r="EX70" s="16"/>
      <c r="EY70" s="16"/>
      <c r="EZ70" s="16"/>
      <c r="FA70" s="16"/>
      <c r="FB70" s="16"/>
      <c r="FC70" s="16"/>
      <c r="FD70" s="16"/>
      <c r="FE70" s="16"/>
      <c r="FF70" s="16"/>
      <c r="FG70" s="16"/>
      <c r="FH70" s="16"/>
      <c r="FI70" s="16"/>
      <c r="FJ70" s="16"/>
      <c r="FK70" s="16"/>
      <c r="FL70" s="16"/>
      <c r="FM70" s="16"/>
      <c r="FN70" s="16"/>
      <c r="FO70" s="16"/>
      <c r="FP70" s="16"/>
      <c r="FQ70" s="16"/>
      <c r="FR70" s="16"/>
      <c r="FS70" s="16"/>
      <c r="FT70" s="16"/>
      <c r="FU70" s="16"/>
      <c r="FV70" s="16"/>
      <c r="FW70" s="16"/>
      <c r="FX70" s="16"/>
      <c r="FY70" s="16"/>
      <c r="FZ70" s="16"/>
      <c r="GA70" s="16"/>
      <c r="GB70" s="16"/>
      <c r="GC70" s="16"/>
      <c r="GD70" s="16"/>
      <c r="GE70" s="16"/>
      <c r="GF70" s="16"/>
      <c r="GG70" s="16"/>
      <c r="GH70" s="16"/>
      <c r="GI70" s="16"/>
      <c r="GJ70" s="16"/>
      <c r="GK70" s="16"/>
      <c r="GL70" s="16"/>
      <c r="GM70" s="16"/>
      <c r="GN70" s="16"/>
      <c r="GO70" s="16"/>
      <c r="GP70" s="16"/>
      <c r="GQ70" s="16"/>
      <c r="GR70" s="16"/>
      <c r="GS70" s="16"/>
      <c r="GT70" s="16"/>
      <c r="GU70" s="16"/>
      <c r="GV70" s="16"/>
      <c r="GW70" s="16"/>
      <c r="GX70" s="16"/>
      <c r="GY70" s="16"/>
      <c r="GZ70" s="16"/>
      <c r="HA70" s="16"/>
      <c r="HB70" s="16"/>
      <c r="HC70" s="16"/>
      <c r="HD70" s="16"/>
      <c r="HE70" s="16"/>
      <c r="HF70" s="16"/>
      <c r="HG70" s="16"/>
      <c r="HH70" s="16"/>
      <c r="HI70" s="16"/>
      <c r="HJ70" s="16"/>
      <c r="HK70" s="16"/>
      <c r="HL70" s="16"/>
      <c r="HM70" s="16"/>
      <c r="HN70" s="16"/>
      <c r="HO70" s="16"/>
      <c r="HP70" s="16"/>
      <c r="HQ70" s="16"/>
      <c r="HR70" s="16"/>
      <c r="HS70" s="16"/>
      <c r="HT70" s="16"/>
      <c r="HU70" s="16"/>
      <c r="HV70" s="16"/>
      <c r="HW70" s="16"/>
      <c r="HX70" s="16"/>
      <c r="HY70" s="16"/>
      <c r="HZ70" s="16"/>
      <c r="IA70" s="16"/>
      <c r="IB70" s="16"/>
      <c r="IC70" s="16"/>
      <c r="ID70" s="16"/>
      <c r="IE70" s="16"/>
      <c r="IF70" s="16"/>
      <c r="IG70" s="16"/>
      <c r="IH70" s="16"/>
      <c r="II70" s="16"/>
      <c r="IJ70" s="16"/>
      <c r="IK70" s="16"/>
      <c r="IL70" s="16"/>
      <c r="IM70" s="16"/>
      <c r="IN70" s="16"/>
      <c r="IO70" s="16"/>
      <c r="IP70" s="16"/>
      <c r="IQ70" s="16"/>
      <c r="IR70" s="16"/>
      <c r="IS70" s="16"/>
      <c r="IT70" s="16"/>
    </row>
    <row r="71" spans="1:254" ht="24">
      <c r="A71" s="51" t="s">
        <v>264</v>
      </c>
      <c r="B71" s="52" t="s">
        <v>16</v>
      </c>
      <c r="C71" s="53">
        <v>31144589.159999996</v>
      </c>
      <c r="D71" s="54">
        <v>34122726.609700002</v>
      </c>
      <c r="E71" s="54">
        <v>34232457.453296997</v>
      </c>
      <c r="F71" s="54">
        <v>34613113.159329966</v>
      </c>
      <c r="G71" s="54">
        <v>34907000.068329968</v>
      </c>
      <c r="H71" s="55">
        <f t="shared" si="7"/>
        <v>12.080464086397896</v>
      </c>
      <c r="I71" s="131" t="str">
        <f t="shared" si="8"/>
        <v>ì</v>
      </c>
      <c r="J71" s="370" t="s">
        <v>551</v>
      </c>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c r="BB71" s="16"/>
      <c r="BC71" s="16"/>
      <c r="BD71" s="16"/>
      <c r="BE71" s="16"/>
      <c r="BF71" s="16"/>
      <c r="BG71" s="16"/>
      <c r="BH71" s="16"/>
      <c r="BI71" s="16"/>
      <c r="BJ71" s="16"/>
      <c r="BK71" s="16"/>
      <c r="BL71" s="16"/>
      <c r="BM71" s="16"/>
      <c r="BN71" s="16"/>
      <c r="BO71" s="16"/>
      <c r="BP71" s="16"/>
      <c r="BQ71" s="16"/>
      <c r="BR71" s="16"/>
      <c r="BS71" s="16"/>
      <c r="BT71" s="16"/>
      <c r="BU71" s="16"/>
      <c r="BV71" s="16"/>
      <c r="BW71" s="16"/>
      <c r="BX71" s="16"/>
      <c r="BY71" s="16"/>
      <c r="BZ71" s="16"/>
      <c r="CA71" s="16"/>
      <c r="CB71" s="16"/>
      <c r="CC71" s="16"/>
      <c r="CD71" s="16"/>
      <c r="CE71" s="16"/>
      <c r="CF71" s="16"/>
      <c r="CG71" s="16"/>
      <c r="CH71" s="16"/>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c r="EM71" s="16"/>
      <c r="EN71" s="16"/>
      <c r="EO71" s="16"/>
      <c r="EP71" s="16"/>
      <c r="EQ71" s="16"/>
      <c r="ER71" s="16"/>
      <c r="ES71" s="16"/>
      <c r="ET71" s="16"/>
      <c r="EU71" s="16"/>
      <c r="EV71" s="16"/>
      <c r="EW71" s="16"/>
      <c r="EX71" s="16"/>
      <c r="EY71" s="16"/>
      <c r="EZ71" s="16"/>
      <c r="FA71" s="16"/>
      <c r="FB71" s="16"/>
      <c r="FC71" s="16"/>
      <c r="FD71" s="16"/>
      <c r="FE71" s="16"/>
      <c r="FF71" s="16"/>
      <c r="FG71" s="16"/>
      <c r="FH71" s="16"/>
      <c r="FI71" s="16"/>
      <c r="FJ71" s="16"/>
      <c r="FK71" s="16"/>
      <c r="FL71" s="16"/>
      <c r="FM71" s="16"/>
      <c r="FN71" s="16"/>
      <c r="FO71" s="16"/>
      <c r="FP71" s="16"/>
      <c r="FQ71" s="16"/>
      <c r="FR71" s="16"/>
      <c r="FS71" s="16"/>
      <c r="FT71" s="16"/>
      <c r="FU71" s="16"/>
      <c r="FV71" s="16"/>
      <c r="FW71" s="16"/>
      <c r="FX71" s="16"/>
      <c r="FY71" s="16"/>
      <c r="FZ71" s="16"/>
      <c r="GA71" s="16"/>
      <c r="GB71" s="16"/>
      <c r="GC71" s="16"/>
      <c r="GD71" s="16"/>
      <c r="GE71" s="16"/>
      <c r="GF71" s="16"/>
      <c r="GG71" s="16"/>
      <c r="GH71" s="16"/>
      <c r="GI71" s="16"/>
      <c r="GJ71" s="16"/>
      <c r="GK71" s="16"/>
      <c r="GL71" s="16"/>
      <c r="GM71" s="16"/>
      <c r="GN71" s="16"/>
      <c r="GO71" s="16"/>
      <c r="GP71" s="16"/>
      <c r="GQ71" s="16"/>
      <c r="GR71" s="16"/>
      <c r="GS71" s="16"/>
      <c r="GT71" s="16"/>
      <c r="GU71" s="16"/>
      <c r="GV71" s="16"/>
      <c r="GW71" s="16"/>
      <c r="GX71" s="16"/>
      <c r="GY71" s="16"/>
      <c r="GZ71" s="16"/>
      <c r="HA71" s="16"/>
      <c r="HB71" s="16"/>
      <c r="HC71" s="16"/>
      <c r="HD71" s="16"/>
      <c r="HE71" s="16"/>
      <c r="HF71" s="16"/>
      <c r="HG71" s="16"/>
      <c r="HH71" s="16"/>
      <c r="HI71" s="16"/>
      <c r="HJ71" s="16"/>
      <c r="HK71" s="16"/>
      <c r="HL71" s="16"/>
      <c r="HM71" s="16"/>
      <c r="HN71" s="16"/>
      <c r="HO71" s="16"/>
      <c r="HP71" s="16"/>
      <c r="HQ71" s="16"/>
      <c r="HR71" s="16"/>
      <c r="HS71" s="16"/>
      <c r="HT71" s="16"/>
      <c r="HU71" s="16"/>
      <c r="HV71" s="16"/>
      <c r="HW71" s="16"/>
      <c r="HX71" s="16"/>
      <c r="HY71" s="16"/>
      <c r="HZ71" s="16"/>
      <c r="IA71" s="16"/>
      <c r="IB71" s="16"/>
      <c r="IC71" s="16"/>
      <c r="ID71" s="16"/>
      <c r="IE71" s="16"/>
      <c r="IF71" s="16"/>
      <c r="IG71" s="16"/>
      <c r="IH71" s="16"/>
      <c r="II71" s="16"/>
      <c r="IJ71" s="16"/>
      <c r="IK71" s="16"/>
      <c r="IL71" s="16"/>
      <c r="IM71" s="16"/>
      <c r="IN71" s="16"/>
      <c r="IO71" s="16"/>
      <c r="IP71" s="16"/>
      <c r="IQ71" s="16"/>
      <c r="IR71" s="16"/>
      <c r="IS71" s="16"/>
      <c r="IT71" s="16"/>
    </row>
    <row r="72" spans="1:254" ht="36">
      <c r="A72" s="44" t="s">
        <v>268</v>
      </c>
      <c r="B72" s="45" t="s">
        <v>269</v>
      </c>
      <c r="C72" s="46">
        <v>31261199.52</v>
      </c>
      <c r="D72" s="47">
        <v>31977067.539199997</v>
      </c>
      <c r="E72" s="47">
        <v>33730343.5392</v>
      </c>
      <c r="F72" s="47">
        <v>34945281.966080002</v>
      </c>
      <c r="G72" s="47">
        <v>36311372.975680001</v>
      </c>
      <c r="H72" s="48">
        <f t="shared" si="7"/>
        <v>16.154765438380082</v>
      </c>
      <c r="I72" s="115" t="str">
        <f t="shared" si="8"/>
        <v>ì</v>
      </c>
      <c r="J72" s="369" t="s">
        <v>576</v>
      </c>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c r="BB72" s="16"/>
      <c r="BC72" s="16"/>
      <c r="BD72" s="16"/>
      <c r="BE72" s="16"/>
      <c r="BF72" s="16"/>
      <c r="BG72" s="16"/>
      <c r="BH72" s="16"/>
      <c r="BI72" s="16"/>
      <c r="BJ72" s="16"/>
      <c r="BK72" s="16"/>
      <c r="BL72" s="16"/>
      <c r="BM72" s="16"/>
      <c r="BN72" s="16"/>
      <c r="BO72" s="16"/>
      <c r="BP72" s="16"/>
      <c r="BQ72" s="16"/>
      <c r="BR72" s="16"/>
      <c r="BS72" s="16"/>
      <c r="BT72" s="16"/>
      <c r="BU72" s="16"/>
      <c r="BV72" s="16"/>
      <c r="BW72" s="16"/>
      <c r="BX72" s="16"/>
      <c r="BY72" s="16"/>
      <c r="BZ72" s="16"/>
      <c r="CA72" s="16"/>
      <c r="CB72" s="16"/>
      <c r="CC72" s="16"/>
      <c r="CD72" s="16"/>
      <c r="CE72" s="16"/>
      <c r="CF72" s="16"/>
      <c r="CG72" s="16"/>
      <c r="CH72" s="16"/>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c r="EM72" s="16"/>
      <c r="EN72" s="16"/>
      <c r="EO72" s="16"/>
      <c r="EP72" s="16"/>
      <c r="EQ72" s="16"/>
      <c r="ER72" s="16"/>
      <c r="ES72" s="16"/>
      <c r="ET72" s="16"/>
      <c r="EU72" s="16"/>
      <c r="EV72" s="16"/>
      <c r="EW72" s="16"/>
      <c r="EX72" s="16"/>
      <c r="EY72" s="16"/>
      <c r="EZ72" s="16"/>
      <c r="FA72" s="16"/>
      <c r="FB72" s="16"/>
      <c r="FC72" s="16"/>
      <c r="FD72" s="16"/>
      <c r="FE72" s="16"/>
      <c r="FF72" s="16"/>
      <c r="FG72" s="16"/>
      <c r="FH72" s="16"/>
      <c r="FI72" s="16"/>
      <c r="FJ72" s="16"/>
      <c r="FK72" s="16"/>
      <c r="FL72" s="16"/>
      <c r="FM72" s="16"/>
      <c r="FN72" s="16"/>
      <c r="FO72" s="16"/>
      <c r="FP72" s="16"/>
      <c r="FQ72" s="16"/>
      <c r="FR72" s="16"/>
      <c r="FS72" s="16"/>
      <c r="FT72" s="16"/>
      <c r="FU72" s="16"/>
      <c r="FV72" s="16"/>
      <c r="FW72" s="16"/>
      <c r="FX72" s="16"/>
      <c r="FY72" s="16"/>
      <c r="FZ72" s="16"/>
      <c r="GA72" s="16"/>
      <c r="GB72" s="16"/>
      <c r="GC72" s="16"/>
      <c r="GD72" s="16"/>
      <c r="GE72" s="16"/>
      <c r="GF72" s="16"/>
      <c r="GG72" s="16"/>
      <c r="GH72" s="16"/>
      <c r="GI72" s="16"/>
      <c r="GJ72" s="16"/>
      <c r="GK72" s="16"/>
      <c r="GL72" s="16"/>
      <c r="GM72" s="16"/>
      <c r="GN72" s="16"/>
      <c r="GO72" s="16"/>
      <c r="GP72" s="16"/>
      <c r="GQ72" s="16"/>
      <c r="GR72" s="16"/>
      <c r="GS72" s="16"/>
      <c r="GT72" s="16"/>
      <c r="GU72" s="16"/>
      <c r="GV72" s="16"/>
      <c r="GW72" s="16"/>
      <c r="GX72" s="16"/>
      <c r="GY72" s="16"/>
      <c r="GZ72" s="16"/>
      <c r="HA72" s="16"/>
      <c r="HB72" s="16"/>
      <c r="HC72" s="16"/>
      <c r="HD72" s="16"/>
      <c r="HE72" s="16"/>
      <c r="HF72" s="16"/>
      <c r="HG72" s="16"/>
      <c r="HH72" s="16"/>
      <c r="HI72" s="16"/>
      <c r="HJ72" s="16"/>
      <c r="HK72" s="16"/>
      <c r="HL72" s="16"/>
      <c r="HM72" s="16"/>
      <c r="HN72" s="16"/>
      <c r="HO72" s="16"/>
      <c r="HP72" s="16"/>
      <c r="HQ72" s="16"/>
      <c r="HR72" s="16"/>
      <c r="HS72" s="16"/>
      <c r="HT72" s="16"/>
      <c r="HU72" s="16"/>
      <c r="HV72" s="16"/>
      <c r="HW72" s="16"/>
      <c r="HX72" s="16"/>
      <c r="HY72" s="16"/>
      <c r="HZ72" s="16"/>
      <c r="IA72" s="16"/>
      <c r="IB72" s="16"/>
      <c r="IC72" s="16"/>
      <c r="ID72" s="16"/>
      <c r="IE72" s="16"/>
      <c r="IF72" s="16"/>
      <c r="IG72" s="16"/>
      <c r="IH72" s="16"/>
      <c r="II72" s="16"/>
      <c r="IJ72" s="16"/>
      <c r="IK72" s="16"/>
      <c r="IL72" s="16"/>
      <c r="IM72" s="16"/>
      <c r="IN72" s="16"/>
      <c r="IO72" s="16"/>
      <c r="IP72" s="16"/>
      <c r="IQ72" s="16"/>
      <c r="IR72" s="16"/>
      <c r="IS72" s="16"/>
      <c r="IT72" s="16"/>
    </row>
    <row r="73" spans="1:254">
      <c r="A73" s="51" t="s">
        <v>270</v>
      </c>
      <c r="B73" s="52" t="s">
        <v>390</v>
      </c>
      <c r="C73" s="53">
        <v>0</v>
      </c>
      <c r="D73" s="54">
        <v>0</v>
      </c>
      <c r="E73" s="54">
        <v>0</v>
      </c>
      <c r="F73" s="54">
        <v>0</v>
      </c>
      <c r="G73" s="54">
        <v>0</v>
      </c>
      <c r="H73" s="55">
        <v>0</v>
      </c>
      <c r="I73" s="23" t="str">
        <f t="shared" si="8"/>
        <v>è</v>
      </c>
      <c r="J73" s="370" t="s">
        <v>498</v>
      </c>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c r="BB73" s="16"/>
      <c r="BC73" s="16"/>
      <c r="BD73" s="16"/>
      <c r="BE73" s="16"/>
      <c r="BF73" s="16"/>
      <c r="BG73" s="16"/>
      <c r="BH73" s="16"/>
      <c r="BI73" s="16"/>
      <c r="BJ73" s="16"/>
      <c r="BK73" s="16"/>
      <c r="BL73" s="16"/>
      <c r="BM73" s="16"/>
      <c r="BN73" s="16"/>
      <c r="BO73" s="16"/>
      <c r="BP73" s="16"/>
      <c r="BQ73" s="16"/>
      <c r="BR73" s="16"/>
      <c r="BS73" s="16"/>
      <c r="BT73" s="16"/>
      <c r="BU73" s="16"/>
      <c r="BV73" s="16"/>
      <c r="BW73" s="16"/>
      <c r="BX73" s="16"/>
      <c r="BY73" s="16"/>
      <c r="BZ73" s="16"/>
      <c r="CA73" s="16"/>
      <c r="CB73" s="16"/>
      <c r="CC73" s="16"/>
      <c r="CD73" s="16"/>
      <c r="CE73" s="16"/>
      <c r="CF73" s="16"/>
      <c r="CG73" s="16"/>
      <c r="CH73" s="16"/>
      <c r="CI73" s="16"/>
      <c r="CJ73" s="16"/>
      <c r="CK73" s="16"/>
      <c r="CL73" s="16"/>
      <c r="CM73" s="16"/>
      <c r="CN73" s="16"/>
      <c r="CO73" s="16"/>
      <c r="CP73" s="16"/>
      <c r="CQ73" s="16"/>
      <c r="CR73" s="16"/>
      <c r="CS73" s="16"/>
      <c r="CT73" s="16"/>
      <c r="CU73" s="16"/>
      <c r="CV73" s="16"/>
      <c r="CW73" s="16"/>
      <c r="CX73" s="16"/>
      <c r="CY73" s="16"/>
      <c r="CZ73" s="16"/>
      <c r="DA73" s="16"/>
      <c r="DB73" s="16"/>
      <c r="DC73" s="16"/>
      <c r="DD73" s="16"/>
      <c r="DE73" s="16"/>
      <c r="DF73" s="16"/>
      <c r="DG73" s="16"/>
      <c r="DH73" s="16"/>
      <c r="DI73" s="16"/>
      <c r="DJ73" s="16"/>
      <c r="DK73" s="16"/>
      <c r="DL73" s="16"/>
      <c r="DM73" s="16"/>
      <c r="DN73" s="16"/>
      <c r="DO73" s="16"/>
      <c r="DP73" s="16"/>
      <c r="DQ73" s="16"/>
      <c r="DR73" s="16"/>
      <c r="DS73" s="16"/>
      <c r="DT73" s="16"/>
      <c r="DU73" s="16"/>
      <c r="DV73" s="16"/>
      <c r="DW73" s="16"/>
      <c r="DX73" s="16"/>
      <c r="DY73" s="16"/>
      <c r="DZ73" s="16"/>
      <c r="EA73" s="16"/>
      <c r="EB73" s="16"/>
      <c r="EC73" s="16"/>
      <c r="ED73" s="16"/>
      <c r="EE73" s="16"/>
      <c r="EF73" s="16"/>
      <c r="EG73" s="16"/>
      <c r="EH73" s="16"/>
      <c r="EI73" s="16"/>
      <c r="EJ73" s="16"/>
      <c r="EK73" s="16"/>
      <c r="EL73" s="16"/>
      <c r="EM73" s="16"/>
      <c r="EN73" s="16"/>
      <c r="EO73" s="16"/>
      <c r="EP73" s="16"/>
      <c r="EQ73" s="16"/>
      <c r="ER73" s="16"/>
      <c r="ES73" s="16"/>
      <c r="ET73" s="16"/>
      <c r="EU73" s="16"/>
      <c r="EV73" s="16"/>
      <c r="EW73" s="16"/>
      <c r="EX73" s="16"/>
      <c r="EY73" s="16"/>
      <c r="EZ73" s="16"/>
      <c r="FA73" s="16"/>
      <c r="FB73" s="16"/>
      <c r="FC73" s="16"/>
      <c r="FD73" s="16"/>
      <c r="FE73" s="16"/>
      <c r="FF73" s="16"/>
      <c r="FG73" s="16"/>
      <c r="FH73" s="16"/>
      <c r="FI73" s="16"/>
      <c r="FJ73" s="16"/>
      <c r="FK73" s="16"/>
      <c r="FL73" s="16"/>
      <c r="FM73" s="16"/>
      <c r="FN73" s="16"/>
      <c r="FO73" s="16"/>
      <c r="FP73" s="16"/>
      <c r="FQ73" s="16"/>
      <c r="FR73" s="16"/>
      <c r="FS73" s="16"/>
      <c r="FT73" s="16"/>
      <c r="FU73" s="16"/>
      <c r="FV73" s="16"/>
      <c r="FW73" s="16"/>
      <c r="FX73" s="16"/>
      <c r="FY73" s="16"/>
      <c r="FZ73" s="16"/>
      <c r="GA73" s="16"/>
      <c r="GB73" s="16"/>
      <c r="GC73" s="16"/>
      <c r="GD73" s="16"/>
      <c r="GE73" s="16"/>
      <c r="GF73" s="16"/>
      <c r="GG73" s="16"/>
      <c r="GH73" s="16"/>
      <c r="GI73" s="16"/>
      <c r="GJ73" s="16"/>
      <c r="GK73" s="16"/>
      <c r="GL73" s="16"/>
      <c r="GM73" s="16"/>
      <c r="GN73" s="16"/>
      <c r="GO73" s="16"/>
      <c r="GP73" s="16"/>
      <c r="GQ73" s="16"/>
      <c r="GR73" s="16"/>
      <c r="GS73" s="16"/>
      <c r="GT73" s="16"/>
      <c r="GU73" s="16"/>
      <c r="GV73" s="16"/>
      <c r="GW73" s="16"/>
      <c r="GX73" s="16"/>
      <c r="GY73" s="16"/>
      <c r="GZ73" s="16"/>
      <c r="HA73" s="16"/>
      <c r="HB73" s="16"/>
      <c r="HC73" s="16"/>
      <c r="HD73" s="16"/>
      <c r="HE73" s="16"/>
      <c r="HF73" s="16"/>
      <c r="HG73" s="16"/>
      <c r="HH73" s="16"/>
      <c r="HI73" s="16"/>
      <c r="HJ73" s="16"/>
      <c r="HK73" s="16"/>
      <c r="HL73" s="16"/>
      <c r="HM73" s="16"/>
      <c r="HN73" s="16"/>
      <c r="HO73" s="16"/>
      <c r="HP73" s="16"/>
      <c r="HQ73" s="16"/>
      <c r="HR73" s="16"/>
      <c r="HS73" s="16"/>
      <c r="HT73" s="16"/>
      <c r="HU73" s="16"/>
      <c r="HV73" s="16"/>
      <c r="HW73" s="16"/>
      <c r="HX73" s="16"/>
      <c r="HY73" s="16"/>
      <c r="HZ73" s="16"/>
      <c r="IA73" s="16"/>
      <c r="IB73" s="16"/>
      <c r="IC73" s="16"/>
      <c r="ID73" s="16"/>
      <c r="IE73" s="16"/>
      <c r="IF73" s="16"/>
      <c r="IG73" s="16"/>
      <c r="IH73" s="16"/>
      <c r="II73" s="16"/>
      <c r="IJ73" s="16"/>
      <c r="IK73" s="16"/>
      <c r="IL73" s="16"/>
      <c r="IM73" s="16"/>
      <c r="IN73" s="16"/>
      <c r="IO73" s="16"/>
      <c r="IP73" s="16"/>
      <c r="IQ73" s="16"/>
      <c r="IR73" s="16"/>
      <c r="IS73" s="16"/>
      <c r="IT73" s="16"/>
    </row>
    <row r="74" spans="1:254" ht="36">
      <c r="A74" s="44" t="s">
        <v>271</v>
      </c>
      <c r="B74" s="45" t="s">
        <v>272</v>
      </c>
      <c r="C74" s="46">
        <v>0</v>
      </c>
      <c r="D74" s="47">
        <v>0</v>
      </c>
      <c r="E74" s="47">
        <v>0</v>
      </c>
      <c r="F74" s="47">
        <v>0</v>
      </c>
      <c r="G74" s="47">
        <v>0</v>
      </c>
      <c r="H74" s="48">
        <v>0</v>
      </c>
      <c r="I74" s="115" t="str">
        <f t="shared" si="8"/>
        <v>è</v>
      </c>
      <c r="J74" s="369" t="s">
        <v>499</v>
      </c>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c r="BB74" s="16"/>
      <c r="BC74" s="16"/>
      <c r="BD74" s="16"/>
      <c r="BE74" s="16"/>
      <c r="BF74" s="16"/>
      <c r="BG74" s="16"/>
      <c r="BH74" s="16"/>
      <c r="BI74" s="16"/>
      <c r="BJ74" s="16"/>
      <c r="BK74" s="16"/>
      <c r="BL74" s="16"/>
      <c r="BM74" s="16"/>
      <c r="BN74" s="16"/>
      <c r="BO74" s="16"/>
      <c r="BP74" s="16"/>
      <c r="BQ74" s="16"/>
      <c r="BR74" s="16"/>
      <c r="BS74" s="16"/>
      <c r="BT74" s="16"/>
      <c r="BU74" s="16"/>
      <c r="BV74" s="16"/>
      <c r="BW74" s="16"/>
      <c r="BX74" s="16"/>
      <c r="BY74" s="16"/>
      <c r="BZ74" s="16"/>
      <c r="CA74" s="16"/>
      <c r="CB74" s="16"/>
      <c r="CC74" s="16"/>
      <c r="CD74" s="16"/>
      <c r="CE74" s="16"/>
      <c r="CF74" s="16"/>
      <c r="CG74" s="16"/>
      <c r="CH74" s="16"/>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c r="DT74" s="16"/>
      <c r="DU74" s="16"/>
      <c r="DV74" s="16"/>
      <c r="DW74" s="16"/>
      <c r="DX74" s="16"/>
      <c r="DY74" s="16"/>
      <c r="DZ74" s="16"/>
      <c r="EA74" s="16"/>
      <c r="EB74" s="16"/>
      <c r="EC74" s="16"/>
      <c r="ED74" s="16"/>
      <c r="EE74" s="16"/>
      <c r="EF74" s="16"/>
      <c r="EG74" s="16"/>
      <c r="EH74" s="16"/>
      <c r="EI74" s="16"/>
      <c r="EJ74" s="16"/>
      <c r="EK74" s="16"/>
      <c r="EL74" s="16"/>
      <c r="EM74" s="16"/>
      <c r="EN74" s="16"/>
      <c r="EO74" s="16"/>
      <c r="EP74" s="16"/>
      <c r="EQ74" s="16"/>
      <c r="ER74" s="16"/>
      <c r="ES74" s="16"/>
      <c r="ET74" s="16"/>
      <c r="EU74" s="16"/>
      <c r="EV74" s="16"/>
      <c r="EW74" s="16"/>
      <c r="EX74" s="16"/>
      <c r="EY74" s="16"/>
      <c r="EZ74" s="16"/>
      <c r="FA74" s="16"/>
      <c r="FB74" s="16"/>
      <c r="FC74" s="16"/>
      <c r="FD74" s="16"/>
      <c r="FE74" s="16"/>
      <c r="FF74" s="16"/>
      <c r="FG74" s="16"/>
      <c r="FH74" s="16"/>
      <c r="FI74" s="16"/>
      <c r="FJ74" s="16"/>
      <c r="FK74" s="16"/>
      <c r="FL74" s="16"/>
      <c r="FM74" s="16"/>
      <c r="FN74" s="16"/>
      <c r="FO74" s="16"/>
      <c r="FP74" s="16"/>
      <c r="FQ74" s="16"/>
      <c r="FR74" s="16"/>
      <c r="FS74" s="16"/>
      <c r="FT74" s="16"/>
      <c r="FU74" s="16"/>
      <c r="FV74" s="16"/>
      <c r="FW74" s="16"/>
      <c r="FX74" s="16"/>
      <c r="FY74" s="16"/>
      <c r="FZ74" s="16"/>
      <c r="GA74" s="16"/>
      <c r="GB74" s="16"/>
      <c r="GC74" s="16"/>
      <c r="GD74" s="16"/>
      <c r="GE74" s="16"/>
      <c r="GF74" s="16"/>
      <c r="GG74" s="16"/>
      <c r="GH74" s="16"/>
      <c r="GI74" s="16"/>
      <c r="GJ74" s="16"/>
      <c r="GK74" s="16"/>
      <c r="GL74" s="16"/>
      <c r="GM74" s="16"/>
      <c r="GN74" s="16"/>
      <c r="GO74" s="16"/>
      <c r="GP74" s="16"/>
      <c r="GQ74" s="16"/>
      <c r="GR74" s="16"/>
      <c r="GS74" s="16"/>
      <c r="GT74" s="16"/>
      <c r="GU74" s="16"/>
      <c r="GV74" s="16"/>
      <c r="GW74" s="16"/>
      <c r="GX74" s="16"/>
      <c r="GY74" s="16"/>
      <c r="GZ74" s="16"/>
      <c r="HA74" s="16"/>
      <c r="HB74" s="16"/>
      <c r="HC74" s="16"/>
      <c r="HD74" s="16"/>
      <c r="HE74" s="16"/>
      <c r="HF74" s="16"/>
      <c r="HG74" s="16"/>
      <c r="HH74" s="16"/>
      <c r="HI74" s="16"/>
      <c r="HJ74" s="16"/>
      <c r="HK74" s="16"/>
      <c r="HL74" s="16"/>
      <c r="HM74" s="16"/>
      <c r="HN74" s="16"/>
      <c r="HO74" s="16"/>
      <c r="HP74" s="16"/>
      <c r="HQ74" s="16"/>
      <c r="HR74" s="16"/>
      <c r="HS74" s="16"/>
      <c r="HT74" s="16"/>
      <c r="HU74" s="16"/>
      <c r="HV74" s="16"/>
      <c r="HW74" s="16"/>
      <c r="HX74" s="16"/>
      <c r="HY74" s="16"/>
      <c r="HZ74" s="16"/>
      <c r="IA74" s="16"/>
      <c r="IB74" s="16"/>
      <c r="IC74" s="16"/>
      <c r="ID74" s="16"/>
      <c r="IE74" s="16"/>
      <c r="IF74" s="16"/>
      <c r="IG74" s="16"/>
      <c r="IH74" s="16"/>
      <c r="II74" s="16"/>
      <c r="IJ74" s="16"/>
      <c r="IK74" s="16"/>
      <c r="IL74" s="16"/>
      <c r="IM74" s="16"/>
      <c r="IN74" s="16"/>
      <c r="IO74" s="16"/>
      <c r="IP74" s="16"/>
      <c r="IQ74" s="16"/>
      <c r="IR74" s="16"/>
      <c r="IS74" s="16"/>
      <c r="IT74" s="16"/>
    </row>
    <row r="75" spans="1:254">
      <c r="A75" s="372" t="s">
        <v>273</v>
      </c>
      <c r="B75" s="52" t="s">
        <v>274</v>
      </c>
      <c r="C75" s="53">
        <v>0</v>
      </c>
      <c r="D75" s="54">
        <v>0</v>
      </c>
      <c r="E75" s="54">
        <v>0</v>
      </c>
      <c r="F75" s="54">
        <v>0</v>
      </c>
      <c r="G75" s="54">
        <v>0</v>
      </c>
      <c r="H75" s="55">
        <v>0</v>
      </c>
      <c r="I75" s="23" t="str">
        <f t="shared" si="8"/>
        <v>è</v>
      </c>
      <c r="J75" s="370" t="s">
        <v>498</v>
      </c>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c r="BB75" s="16"/>
      <c r="BC75" s="16"/>
      <c r="BD75" s="16"/>
      <c r="BE75" s="16"/>
      <c r="BF75" s="16"/>
      <c r="BG75" s="16"/>
      <c r="BH75" s="16"/>
      <c r="BI75" s="16"/>
      <c r="BJ75" s="16"/>
      <c r="BK75" s="16"/>
      <c r="BL75" s="16"/>
      <c r="BM75" s="16"/>
      <c r="BN75" s="16"/>
      <c r="BO75" s="16"/>
      <c r="BP75" s="16"/>
      <c r="BQ75" s="16"/>
      <c r="BR75" s="16"/>
      <c r="BS75" s="16"/>
      <c r="BT75" s="16"/>
      <c r="BU75" s="16"/>
      <c r="BV75" s="16"/>
      <c r="BW75" s="16"/>
      <c r="BX75" s="16"/>
      <c r="BY75" s="16"/>
      <c r="BZ75" s="16"/>
      <c r="CA75" s="16"/>
      <c r="CB75" s="16"/>
      <c r="CC75" s="16"/>
      <c r="CD75" s="16"/>
      <c r="CE75" s="16"/>
      <c r="CF75" s="16"/>
      <c r="CG75" s="16"/>
      <c r="CH75" s="16"/>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c r="DT75" s="16"/>
      <c r="DU75" s="16"/>
      <c r="DV75" s="16"/>
      <c r="DW75" s="16"/>
      <c r="DX75" s="16"/>
      <c r="DY75" s="16"/>
      <c r="DZ75" s="16"/>
      <c r="EA75" s="16"/>
      <c r="EB75" s="16"/>
      <c r="EC75" s="16"/>
      <c r="ED75" s="16"/>
      <c r="EE75" s="16"/>
      <c r="EF75" s="16"/>
      <c r="EG75" s="16"/>
      <c r="EH75" s="16"/>
      <c r="EI75" s="16"/>
      <c r="EJ75" s="16"/>
      <c r="EK75" s="16"/>
      <c r="EL75" s="16"/>
      <c r="EM75" s="16"/>
      <c r="EN75" s="16"/>
      <c r="EO75" s="16"/>
      <c r="EP75" s="16"/>
      <c r="EQ75" s="16"/>
      <c r="ER75" s="16"/>
      <c r="ES75" s="16"/>
      <c r="ET75" s="16"/>
      <c r="EU75" s="16"/>
      <c r="EV75" s="16"/>
      <c r="EW75" s="16"/>
      <c r="EX75" s="16"/>
      <c r="EY75" s="16"/>
      <c r="EZ75" s="16"/>
      <c r="FA75" s="16"/>
      <c r="FB75" s="16"/>
      <c r="FC75" s="16"/>
      <c r="FD75" s="16"/>
      <c r="FE75" s="16"/>
      <c r="FF75" s="16"/>
      <c r="FG75" s="16"/>
      <c r="FH75" s="16"/>
      <c r="FI75" s="16"/>
      <c r="FJ75" s="16"/>
      <c r="FK75" s="16"/>
      <c r="FL75" s="16"/>
      <c r="FM75" s="16"/>
      <c r="FN75" s="16"/>
      <c r="FO75" s="16"/>
      <c r="FP75" s="16"/>
      <c r="FQ75" s="16"/>
      <c r="FR75" s="16"/>
      <c r="FS75" s="16"/>
      <c r="FT75" s="16"/>
      <c r="FU75" s="16"/>
      <c r="FV75" s="16"/>
      <c r="FW75" s="16"/>
      <c r="FX75" s="16"/>
      <c r="FY75" s="16"/>
      <c r="FZ75" s="16"/>
      <c r="GA75" s="16"/>
      <c r="GB75" s="16"/>
      <c r="GC75" s="16"/>
      <c r="GD75" s="16"/>
      <c r="GE75" s="16"/>
      <c r="GF75" s="16"/>
      <c r="GG75" s="16"/>
      <c r="GH75" s="16"/>
      <c r="GI75" s="16"/>
      <c r="GJ75" s="16"/>
      <c r="GK75" s="16"/>
      <c r="GL75" s="16"/>
      <c r="GM75" s="16"/>
      <c r="GN75" s="16"/>
      <c r="GO75" s="16"/>
      <c r="GP75" s="16"/>
      <c r="GQ75" s="16"/>
      <c r="GR75" s="16"/>
      <c r="GS75" s="16"/>
      <c r="GT75" s="16"/>
      <c r="GU75" s="16"/>
      <c r="GV75" s="16"/>
      <c r="GW75" s="16"/>
      <c r="GX75" s="16"/>
      <c r="GY75" s="16"/>
      <c r="GZ75" s="16"/>
      <c r="HA75" s="16"/>
      <c r="HB75" s="16"/>
      <c r="HC75" s="16"/>
      <c r="HD75" s="16"/>
      <c r="HE75" s="16"/>
      <c r="HF75" s="16"/>
      <c r="HG75" s="16"/>
      <c r="HH75" s="16"/>
      <c r="HI75" s="16"/>
      <c r="HJ75" s="16"/>
      <c r="HK75" s="16"/>
      <c r="HL75" s="16"/>
      <c r="HM75" s="16"/>
      <c r="HN75" s="16"/>
      <c r="HO75" s="16"/>
      <c r="HP75" s="16"/>
      <c r="HQ75" s="16"/>
      <c r="HR75" s="16"/>
      <c r="HS75" s="16"/>
      <c r="HT75" s="16"/>
      <c r="HU75" s="16"/>
      <c r="HV75" s="16"/>
      <c r="HW75" s="16"/>
      <c r="HX75" s="16"/>
      <c r="HY75" s="16"/>
      <c r="HZ75" s="16"/>
      <c r="IA75" s="16"/>
      <c r="IB75" s="16"/>
      <c r="IC75" s="16"/>
      <c r="ID75" s="16"/>
      <c r="IE75" s="16"/>
      <c r="IF75" s="16"/>
      <c r="IG75" s="16"/>
      <c r="IH75" s="16"/>
      <c r="II75" s="16"/>
      <c r="IJ75" s="16"/>
      <c r="IK75" s="16"/>
      <c r="IL75" s="16"/>
      <c r="IM75" s="16"/>
      <c r="IN75" s="16"/>
      <c r="IO75" s="16"/>
      <c r="IP75" s="16"/>
      <c r="IQ75" s="16"/>
      <c r="IR75" s="16"/>
      <c r="IS75" s="16"/>
      <c r="IT75" s="16"/>
    </row>
    <row r="76" spans="1:254" ht="36.75" thickBot="1">
      <c r="A76" s="378" t="s">
        <v>447</v>
      </c>
      <c r="B76" s="379" t="s">
        <v>500</v>
      </c>
      <c r="C76" s="380">
        <v>1069220.320000004</v>
      </c>
      <c r="D76" s="381">
        <v>1054585.3095999993</v>
      </c>
      <c r="E76" s="381">
        <v>1052670.3095999993</v>
      </c>
      <c r="F76" s="381">
        <v>1051053.4950400032</v>
      </c>
      <c r="G76" s="381">
        <v>1144797.4898399971</v>
      </c>
      <c r="H76" s="382">
        <f t="shared" si="7"/>
        <v>7.0684374797509264</v>
      </c>
      <c r="I76" s="371" t="str">
        <f t="shared" si="8"/>
        <v>ì</v>
      </c>
      <c r="J76" s="383" t="s">
        <v>501</v>
      </c>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c r="BB76" s="16"/>
      <c r="BC76" s="16"/>
      <c r="BD76" s="16"/>
      <c r="BE76" s="16"/>
      <c r="BF76" s="16"/>
      <c r="BG76" s="16"/>
      <c r="BH76" s="16"/>
      <c r="BI76" s="16"/>
      <c r="BJ76" s="16"/>
      <c r="BK76" s="16"/>
      <c r="BL76" s="16"/>
      <c r="BM76" s="16"/>
      <c r="BN76" s="16"/>
      <c r="BO76" s="16"/>
      <c r="BP76" s="16"/>
      <c r="BQ76" s="16"/>
      <c r="BR76" s="16"/>
      <c r="BS76" s="16"/>
      <c r="BT76" s="16"/>
      <c r="BU76" s="16"/>
      <c r="BV76" s="16"/>
      <c r="BW76" s="16"/>
      <c r="BX76" s="16"/>
      <c r="BY76" s="16"/>
      <c r="BZ76" s="16"/>
      <c r="CA76" s="16"/>
      <c r="CB76" s="16"/>
      <c r="CC76" s="16"/>
      <c r="CD76" s="16"/>
      <c r="CE76" s="16"/>
      <c r="CF76" s="16"/>
      <c r="CG76" s="16"/>
      <c r="CH76" s="16"/>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c r="DT76" s="16"/>
      <c r="DU76" s="16"/>
      <c r="DV76" s="16"/>
      <c r="DW76" s="16"/>
      <c r="DX76" s="16"/>
      <c r="DY76" s="16"/>
      <c r="DZ76" s="16"/>
      <c r="EA76" s="16"/>
      <c r="EB76" s="16"/>
      <c r="EC76" s="16"/>
      <c r="ED76" s="16"/>
      <c r="EE76" s="16"/>
      <c r="EF76" s="16"/>
      <c r="EG76" s="16"/>
      <c r="EH76" s="16"/>
      <c r="EI76" s="16"/>
      <c r="EJ76" s="16"/>
      <c r="EK76" s="16"/>
      <c r="EL76" s="16"/>
      <c r="EM76" s="16"/>
      <c r="EN76" s="16"/>
      <c r="EO76" s="16"/>
      <c r="EP76" s="16"/>
      <c r="EQ76" s="16"/>
      <c r="ER76" s="16"/>
      <c r="ES76" s="16"/>
      <c r="ET76" s="16"/>
      <c r="EU76" s="16"/>
      <c r="EV76" s="16"/>
      <c r="EW76" s="16"/>
      <c r="EX76" s="16"/>
      <c r="EY76" s="16"/>
      <c r="EZ76" s="16"/>
      <c r="FA76" s="16"/>
      <c r="FB76" s="16"/>
      <c r="FC76" s="16"/>
      <c r="FD76" s="16"/>
      <c r="FE76" s="16"/>
      <c r="FF76" s="16"/>
      <c r="FG76" s="16"/>
      <c r="FH76" s="16"/>
      <c r="FI76" s="16"/>
      <c r="FJ76" s="16"/>
      <c r="FK76" s="16"/>
      <c r="FL76" s="16"/>
      <c r="FM76" s="16"/>
      <c r="FN76" s="16"/>
      <c r="FO76" s="16"/>
      <c r="FP76" s="16"/>
      <c r="FQ76" s="16"/>
      <c r="FR76" s="16"/>
      <c r="FS76" s="16"/>
      <c r="FT76" s="16"/>
      <c r="FU76" s="16"/>
      <c r="FV76" s="16"/>
      <c r="FW76" s="16"/>
      <c r="FX76" s="16"/>
      <c r="FY76" s="16"/>
      <c r="FZ76" s="16"/>
      <c r="GA76" s="16"/>
      <c r="GB76" s="16"/>
      <c r="GC76" s="16"/>
      <c r="GD76" s="16"/>
      <c r="GE76" s="16"/>
      <c r="GF76" s="16"/>
      <c r="GG76" s="16"/>
      <c r="GH76" s="16"/>
      <c r="GI76" s="16"/>
      <c r="GJ76" s="16"/>
      <c r="GK76" s="16"/>
      <c r="GL76" s="16"/>
      <c r="GM76" s="16"/>
      <c r="GN76" s="16"/>
      <c r="GO76" s="16"/>
      <c r="GP76" s="16"/>
      <c r="GQ76" s="16"/>
      <c r="GR76" s="16"/>
      <c r="GS76" s="16"/>
      <c r="GT76" s="16"/>
      <c r="GU76" s="16"/>
      <c r="GV76" s="16"/>
      <c r="GW76" s="16"/>
      <c r="GX76" s="16"/>
      <c r="GY76" s="16"/>
      <c r="GZ76" s="16"/>
      <c r="HA76" s="16"/>
      <c r="HB76" s="16"/>
      <c r="HC76" s="16"/>
      <c r="HD76" s="16"/>
      <c r="HE76" s="16"/>
      <c r="HF76" s="16"/>
      <c r="HG76" s="16"/>
      <c r="HH76" s="16"/>
      <c r="HI76" s="16"/>
      <c r="HJ76" s="16"/>
      <c r="HK76" s="16"/>
      <c r="HL76" s="16"/>
      <c r="HM76" s="16"/>
      <c r="HN76" s="16"/>
      <c r="HO76" s="16"/>
      <c r="HP76" s="16"/>
      <c r="HQ76" s="16"/>
      <c r="HR76" s="16"/>
      <c r="HS76" s="16"/>
      <c r="HT76" s="16"/>
      <c r="HU76" s="16"/>
      <c r="HV76" s="16"/>
      <c r="HW76" s="16"/>
      <c r="HX76" s="16"/>
      <c r="HY76" s="16"/>
      <c r="HZ76" s="16"/>
      <c r="IA76" s="16"/>
      <c r="IB76" s="16"/>
      <c r="IC76" s="16"/>
      <c r="ID76" s="16"/>
      <c r="IE76" s="16"/>
      <c r="IF76" s="16"/>
      <c r="IG76" s="16"/>
      <c r="IH76" s="16"/>
      <c r="II76" s="16"/>
      <c r="IJ76" s="16"/>
      <c r="IK76" s="16"/>
      <c r="IL76" s="16"/>
      <c r="IM76" s="16"/>
      <c r="IN76" s="16"/>
      <c r="IO76" s="16"/>
      <c r="IP76" s="16"/>
      <c r="IQ76" s="16"/>
      <c r="IR76" s="16"/>
      <c r="IS76" s="16"/>
      <c r="IT76" s="16"/>
    </row>
    <row r="77" spans="1:254" ht="36">
      <c r="A77" s="372" t="s">
        <v>275</v>
      </c>
      <c r="B77" s="373" t="s">
        <v>276</v>
      </c>
      <c r="C77" s="374">
        <v>493689.68</v>
      </c>
      <c r="D77" s="375">
        <v>494154.9996000001</v>
      </c>
      <c r="E77" s="375">
        <v>492408.9996000001</v>
      </c>
      <c r="F77" s="375">
        <v>749052.07103999995</v>
      </c>
      <c r="G77" s="375">
        <v>751894.31084000005</v>
      </c>
      <c r="H77" s="376">
        <f t="shared" si="7"/>
        <v>52.300998238407601</v>
      </c>
      <c r="I77" s="377" t="str">
        <f t="shared" si="8"/>
        <v>ì</v>
      </c>
      <c r="J77" s="384" t="s">
        <v>552</v>
      </c>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c r="BB77" s="16"/>
      <c r="BC77" s="16"/>
      <c r="BD77" s="16"/>
      <c r="BE77" s="16"/>
      <c r="BF77" s="16"/>
      <c r="BG77" s="16"/>
      <c r="BH77" s="16"/>
      <c r="BI77" s="16"/>
      <c r="BJ77" s="16"/>
      <c r="BK77" s="16"/>
      <c r="BL77" s="16"/>
      <c r="BM77" s="16"/>
      <c r="BN77" s="16"/>
      <c r="BO77" s="16"/>
      <c r="BP77" s="16"/>
      <c r="BQ77" s="16"/>
      <c r="BR77" s="16"/>
      <c r="BS77" s="16"/>
      <c r="BT77" s="16"/>
      <c r="BU77" s="16"/>
      <c r="BV77" s="16"/>
      <c r="BW77" s="16"/>
      <c r="BX77" s="16"/>
      <c r="BY77" s="16"/>
      <c r="BZ77" s="16"/>
      <c r="CA77" s="16"/>
      <c r="CB77" s="16"/>
      <c r="CC77" s="16"/>
      <c r="CD77" s="16"/>
      <c r="CE77" s="16"/>
      <c r="CF77" s="16"/>
      <c r="CG77" s="16"/>
      <c r="CH77" s="16"/>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c r="DT77" s="16"/>
      <c r="DU77" s="16"/>
      <c r="DV77" s="16"/>
      <c r="DW77" s="16"/>
      <c r="DX77" s="16"/>
      <c r="DY77" s="16"/>
      <c r="DZ77" s="16"/>
      <c r="EA77" s="16"/>
      <c r="EB77" s="16"/>
      <c r="EC77" s="16"/>
      <c r="ED77" s="16"/>
      <c r="EE77" s="16"/>
      <c r="EF77" s="16"/>
      <c r="EG77" s="16"/>
      <c r="EH77" s="16"/>
      <c r="EI77" s="16"/>
      <c r="EJ77" s="16"/>
      <c r="EK77" s="16"/>
      <c r="EL77" s="16"/>
      <c r="EM77" s="16"/>
      <c r="EN77" s="16"/>
      <c r="EO77" s="16"/>
      <c r="EP77" s="16"/>
      <c r="EQ77" s="16"/>
      <c r="ER77" s="16"/>
      <c r="ES77" s="16"/>
      <c r="ET77" s="16"/>
      <c r="EU77" s="16"/>
      <c r="EV77" s="16"/>
      <c r="EW77" s="16"/>
      <c r="EX77" s="16"/>
      <c r="EY77" s="16"/>
      <c r="EZ77" s="16"/>
      <c r="FA77" s="16"/>
      <c r="FB77" s="16"/>
      <c r="FC77" s="16"/>
      <c r="FD77" s="16"/>
      <c r="FE77" s="16"/>
      <c r="FF77" s="16"/>
      <c r="FG77" s="16"/>
      <c r="FH77" s="16"/>
      <c r="FI77" s="16"/>
      <c r="FJ77" s="16"/>
      <c r="FK77" s="16"/>
      <c r="FL77" s="16"/>
      <c r="FM77" s="16"/>
      <c r="FN77" s="16"/>
      <c r="FO77" s="16"/>
      <c r="FP77" s="16"/>
      <c r="FQ77" s="16"/>
      <c r="FR77" s="16"/>
      <c r="FS77" s="16"/>
      <c r="FT77" s="16"/>
      <c r="FU77" s="16"/>
      <c r="FV77" s="16"/>
      <c r="FW77" s="16"/>
      <c r="FX77" s="16"/>
      <c r="FY77" s="16"/>
      <c r="FZ77" s="16"/>
      <c r="GA77" s="16"/>
      <c r="GB77" s="16"/>
      <c r="GC77" s="16"/>
      <c r="GD77" s="16"/>
      <c r="GE77" s="16"/>
      <c r="GF77" s="16"/>
      <c r="GG77" s="16"/>
      <c r="GH77" s="16"/>
      <c r="GI77" s="16"/>
      <c r="GJ77" s="16"/>
      <c r="GK77" s="16"/>
      <c r="GL77" s="16"/>
      <c r="GM77" s="16"/>
      <c r="GN77" s="16"/>
      <c r="GO77" s="16"/>
      <c r="GP77" s="16"/>
      <c r="GQ77" s="16"/>
      <c r="GR77" s="16"/>
      <c r="GS77" s="16"/>
      <c r="GT77" s="16"/>
      <c r="GU77" s="16"/>
      <c r="GV77" s="16"/>
      <c r="GW77" s="16"/>
      <c r="GX77" s="16"/>
      <c r="GY77" s="16"/>
      <c r="GZ77" s="16"/>
      <c r="HA77" s="16"/>
      <c r="HB77" s="16"/>
      <c r="HC77" s="16"/>
      <c r="HD77" s="16"/>
      <c r="HE77" s="16"/>
      <c r="HF77" s="16"/>
      <c r="HG77" s="16"/>
      <c r="HH77" s="16"/>
      <c r="HI77" s="16"/>
      <c r="HJ77" s="16"/>
      <c r="HK77" s="16"/>
      <c r="HL77" s="16"/>
      <c r="HM77" s="16"/>
      <c r="HN77" s="16"/>
      <c r="HO77" s="16"/>
      <c r="HP77" s="16"/>
      <c r="HQ77" s="16"/>
      <c r="HR77" s="16"/>
      <c r="HS77" s="16"/>
      <c r="HT77" s="16"/>
      <c r="HU77" s="16"/>
      <c r="HV77" s="16"/>
      <c r="HW77" s="16"/>
      <c r="HX77" s="16"/>
      <c r="HY77" s="16"/>
      <c r="HZ77" s="16"/>
      <c r="IA77" s="16"/>
      <c r="IB77" s="16"/>
      <c r="IC77" s="16"/>
      <c r="ID77" s="16"/>
      <c r="IE77" s="16"/>
      <c r="IF77" s="16"/>
      <c r="IG77" s="16"/>
      <c r="IH77" s="16"/>
      <c r="II77" s="16"/>
      <c r="IJ77" s="16"/>
      <c r="IK77" s="16"/>
      <c r="IL77" s="16"/>
      <c r="IM77" s="16"/>
      <c r="IN77" s="16"/>
      <c r="IO77" s="16"/>
      <c r="IP77" s="16"/>
      <c r="IQ77" s="16"/>
      <c r="IR77" s="16"/>
      <c r="IS77" s="16"/>
      <c r="IT77" s="16"/>
    </row>
    <row r="78" spans="1:254">
      <c r="A78" s="44" t="s">
        <v>277</v>
      </c>
      <c r="B78" s="45" t="s">
        <v>278</v>
      </c>
      <c r="C78" s="46">
        <v>1060162.7999999998</v>
      </c>
      <c r="D78" s="47">
        <v>1041201.9711999996</v>
      </c>
      <c r="E78" s="47">
        <v>1036927.9711999996</v>
      </c>
      <c r="F78" s="47">
        <v>1083060.7868800005</v>
      </c>
      <c r="G78" s="47">
        <v>1100684.7924800003</v>
      </c>
      <c r="H78" s="48">
        <f t="shared" si="7"/>
        <v>3.8222424405006876</v>
      </c>
      <c r="I78" s="115" t="str">
        <f t="shared" si="8"/>
        <v>è</v>
      </c>
      <c r="J78" s="50"/>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c r="BB78" s="16"/>
      <c r="BC78" s="16"/>
      <c r="BD78" s="16"/>
      <c r="BE78" s="16"/>
      <c r="BF78" s="16"/>
      <c r="BG78" s="16"/>
      <c r="BH78" s="16"/>
      <c r="BI78" s="16"/>
      <c r="BJ78" s="16"/>
      <c r="BK78" s="16"/>
      <c r="BL78" s="16"/>
      <c r="BM78" s="16"/>
      <c r="BN78" s="16"/>
      <c r="BO78" s="16"/>
      <c r="BP78" s="16"/>
      <c r="BQ78" s="16"/>
      <c r="BR78" s="16"/>
      <c r="BS78" s="16"/>
      <c r="BT78" s="16"/>
      <c r="BU78" s="16"/>
      <c r="BV78" s="16"/>
      <c r="BW78" s="16"/>
      <c r="BX78" s="16"/>
      <c r="BY78" s="16"/>
      <c r="BZ78" s="16"/>
      <c r="CA78" s="16"/>
      <c r="CB78" s="16"/>
      <c r="CC78" s="16"/>
      <c r="CD78" s="16"/>
      <c r="CE78" s="16"/>
      <c r="CF78" s="16"/>
      <c r="CG78" s="16"/>
      <c r="CH78" s="16"/>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c r="DT78" s="16"/>
      <c r="DU78" s="16"/>
      <c r="DV78" s="16"/>
      <c r="DW78" s="16"/>
      <c r="DX78" s="16"/>
      <c r="DY78" s="16"/>
      <c r="DZ78" s="16"/>
      <c r="EA78" s="16"/>
      <c r="EB78" s="16"/>
      <c r="EC78" s="16"/>
      <c r="ED78" s="16"/>
      <c r="EE78" s="16"/>
      <c r="EF78" s="16"/>
      <c r="EG78" s="16"/>
      <c r="EH78" s="16"/>
      <c r="EI78" s="16"/>
      <c r="EJ78" s="16"/>
      <c r="EK78" s="16"/>
      <c r="EL78" s="16"/>
      <c r="EM78" s="16"/>
      <c r="EN78" s="16"/>
      <c r="EO78" s="16"/>
      <c r="EP78" s="16"/>
      <c r="EQ78" s="16"/>
      <c r="ER78" s="16"/>
      <c r="ES78" s="16"/>
      <c r="ET78" s="16"/>
      <c r="EU78" s="16"/>
      <c r="EV78" s="16"/>
      <c r="EW78" s="16"/>
      <c r="EX78" s="16"/>
      <c r="EY78" s="16"/>
      <c r="EZ78" s="16"/>
      <c r="FA78" s="16"/>
      <c r="FB78" s="16"/>
      <c r="FC78" s="16"/>
      <c r="FD78" s="16"/>
      <c r="FE78" s="16"/>
      <c r="FF78" s="16"/>
      <c r="FG78" s="16"/>
      <c r="FH78" s="16"/>
      <c r="FI78" s="16"/>
      <c r="FJ78" s="16"/>
      <c r="FK78" s="16"/>
      <c r="FL78" s="16"/>
      <c r="FM78" s="16"/>
      <c r="FN78" s="16"/>
      <c r="FO78" s="16"/>
      <c r="FP78" s="16"/>
      <c r="FQ78" s="16"/>
      <c r="FR78" s="16"/>
      <c r="FS78" s="16"/>
      <c r="FT78" s="16"/>
      <c r="FU78" s="16"/>
      <c r="FV78" s="16"/>
      <c r="FW78" s="16"/>
      <c r="FX78" s="16"/>
      <c r="FY78" s="16"/>
      <c r="FZ78" s="16"/>
      <c r="GA78" s="16"/>
      <c r="GB78" s="16"/>
      <c r="GC78" s="16"/>
      <c r="GD78" s="16"/>
      <c r="GE78" s="16"/>
      <c r="GF78" s="16"/>
      <c r="GG78" s="16"/>
      <c r="GH78" s="16"/>
      <c r="GI78" s="16"/>
      <c r="GJ78" s="16"/>
      <c r="GK78" s="16"/>
      <c r="GL78" s="16"/>
      <c r="GM78" s="16"/>
      <c r="GN78" s="16"/>
      <c r="GO78" s="16"/>
      <c r="GP78" s="16"/>
      <c r="GQ78" s="16"/>
      <c r="GR78" s="16"/>
      <c r="GS78" s="16"/>
      <c r="GT78" s="16"/>
      <c r="GU78" s="16"/>
      <c r="GV78" s="16"/>
      <c r="GW78" s="16"/>
      <c r="GX78" s="16"/>
      <c r="GY78" s="16"/>
      <c r="GZ78" s="16"/>
      <c r="HA78" s="16"/>
      <c r="HB78" s="16"/>
      <c r="HC78" s="16"/>
      <c r="HD78" s="16"/>
      <c r="HE78" s="16"/>
      <c r="HF78" s="16"/>
      <c r="HG78" s="16"/>
      <c r="HH78" s="16"/>
      <c r="HI78" s="16"/>
      <c r="HJ78" s="16"/>
      <c r="HK78" s="16"/>
      <c r="HL78" s="16"/>
      <c r="HM78" s="16"/>
      <c r="HN78" s="16"/>
      <c r="HO78" s="16"/>
      <c r="HP78" s="16"/>
      <c r="HQ78" s="16"/>
      <c r="HR78" s="16"/>
      <c r="HS78" s="16"/>
      <c r="HT78" s="16"/>
      <c r="HU78" s="16"/>
      <c r="HV78" s="16"/>
      <c r="HW78" s="16"/>
      <c r="HX78" s="16"/>
      <c r="HY78" s="16"/>
      <c r="HZ78" s="16"/>
      <c r="IA78" s="16"/>
      <c r="IB78" s="16"/>
      <c r="IC78" s="16"/>
      <c r="ID78" s="16"/>
      <c r="IE78" s="16"/>
      <c r="IF78" s="16"/>
      <c r="IG78" s="16"/>
      <c r="IH78" s="16"/>
      <c r="II78" s="16"/>
      <c r="IJ78" s="16"/>
      <c r="IK78" s="16"/>
      <c r="IL78" s="16"/>
      <c r="IM78" s="16"/>
      <c r="IN78" s="16"/>
      <c r="IO78" s="16"/>
      <c r="IP78" s="16"/>
      <c r="IQ78" s="16"/>
      <c r="IR78" s="16"/>
      <c r="IS78" s="16"/>
      <c r="IT78" s="16"/>
    </row>
    <row r="79" spans="1:254" ht="36">
      <c r="A79" s="372" t="s">
        <v>279</v>
      </c>
      <c r="B79" s="373" t="s">
        <v>387</v>
      </c>
      <c r="C79" s="374">
        <v>2793696.6399999997</v>
      </c>
      <c r="D79" s="375">
        <v>2741184.8583999993</v>
      </c>
      <c r="E79" s="375">
        <v>2692771.5583999995</v>
      </c>
      <c r="F79" s="375">
        <v>2732715.7401599996</v>
      </c>
      <c r="G79" s="375">
        <v>2746981.5193599993</v>
      </c>
      <c r="H79" s="376">
        <f t="shared" si="7"/>
        <v>-1.6721615357636068</v>
      </c>
      <c r="I79" s="377" t="str">
        <f t="shared" si="8"/>
        <v>è</v>
      </c>
      <c r="J79" s="384" t="s">
        <v>502</v>
      </c>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c r="BB79" s="16"/>
      <c r="BC79" s="16"/>
      <c r="BD79" s="16"/>
      <c r="BE79" s="16"/>
      <c r="BF79" s="16"/>
      <c r="BG79" s="16"/>
      <c r="BH79" s="16"/>
      <c r="BI79" s="16"/>
      <c r="BJ79" s="16"/>
      <c r="BK79" s="16"/>
      <c r="BL79" s="16"/>
      <c r="BM79" s="16"/>
      <c r="BN79" s="16"/>
      <c r="BO79" s="16"/>
      <c r="BP79" s="16"/>
      <c r="BQ79" s="16"/>
      <c r="BR79" s="16"/>
      <c r="BS79" s="16"/>
      <c r="BT79" s="16"/>
      <c r="BU79" s="16"/>
      <c r="BV79" s="16"/>
      <c r="BW79" s="16"/>
      <c r="BX79" s="16"/>
      <c r="BY79" s="16"/>
      <c r="BZ79" s="16"/>
      <c r="CA79" s="16"/>
      <c r="CB79" s="16"/>
      <c r="CC79" s="16"/>
      <c r="CD79" s="16"/>
      <c r="CE79" s="16"/>
      <c r="CF79" s="16"/>
      <c r="CG79" s="16"/>
      <c r="CH79" s="16"/>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c r="DT79" s="16"/>
      <c r="DU79" s="16"/>
      <c r="DV79" s="16"/>
      <c r="DW79" s="16"/>
      <c r="DX79" s="16"/>
      <c r="DY79" s="16"/>
      <c r="DZ79" s="16"/>
      <c r="EA79" s="16"/>
      <c r="EB79" s="16"/>
      <c r="EC79" s="16"/>
      <c r="ED79" s="16"/>
      <c r="EE79" s="16"/>
      <c r="EF79" s="16"/>
      <c r="EG79" s="16"/>
      <c r="EH79" s="16"/>
      <c r="EI79" s="16"/>
      <c r="EJ79" s="16"/>
      <c r="EK79" s="16"/>
      <c r="EL79" s="16"/>
      <c r="EM79" s="16"/>
      <c r="EN79" s="16"/>
      <c r="EO79" s="16"/>
      <c r="EP79" s="16"/>
      <c r="EQ79" s="16"/>
      <c r="ER79" s="16"/>
      <c r="ES79" s="16"/>
      <c r="ET79" s="16"/>
      <c r="EU79" s="16"/>
      <c r="EV79" s="16"/>
      <c r="EW79" s="16"/>
      <c r="EX79" s="16"/>
      <c r="EY79" s="16"/>
      <c r="EZ79" s="16"/>
      <c r="FA79" s="16"/>
      <c r="FB79" s="16"/>
      <c r="FC79" s="16"/>
      <c r="FD79" s="16"/>
      <c r="FE79" s="16"/>
      <c r="FF79" s="16"/>
      <c r="FG79" s="16"/>
      <c r="FH79" s="16"/>
      <c r="FI79" s="16"/>
      <c r="FJ79" s="16"/>
      <c r="FK79" s="16"/>
      <c r="FL79" s="16"/>
      <c r="FM79" s="16"/>
      <c r="FN79" s="16"/>
      <c r="FO79" s="16"/>
      <c r="FP79" s="16"/>
      <c r="FQ79" s="16"/>
      <c r="FR79" s="16"/>
      <c r="FS79" s="16"/>
      <c r="FT79" s="16"/>
      <c r="FU79" s="16"/>
      <c r="FV79" s="16"/>
      <c r="FW79" s="16"/>
      <c r="FX79" s="16"/>
      <c r="FY79" s="16"/>
      <c r="FZ79" s="16"/>
      <c r="GA79" s="16"/>
      <c r="GB79" s="16"/>
      <c r="GC79" s="16"/>
      <c r="GD79" s="16"/>
      <c r="GE79" s="16"/>
      <c r="GF79" s="16"/>
      <c r="GG79" s="16"/>
      <c r="GH79" s="16"/>
      <c r="GI79" s="16"/>
      <c r="GJ79" s="16"/>
      <c r="GK79" s="16"/>
      <c r="GL79" s="16"/>
      <c r="GM79" s="16"/>
      <c r="GN79" s="16"/>
      <c r="GO79" s="16"/>
      <c r="GP79" s="16"/>
      <c r="GQ79" s="16"/>
      <c r="GR79" s="16"/>
      <c r="GS79" s="16"/>
      <c r="GT79" s="16"/>
      <c r="GU79" s="16"/>
      <c r="GV79" s="16"/>
      <c r="GW79" s="16"/>
      <c r="GX79" s="16"/>
      <c r="GY79" s="16"/>
      <c r="GZ79" s="16"/>
      <c r="HA79" s="16"/>
      <c r="HB79" s="16"/>
      <c r="HC79" s="16"/>
      <c r="HD79" s="16"/>
      <c r="HE79" s="16"/>
      <c r="HF79" s="16"/>
      <c r="HG79" s="16"/>
      <c r="HH79" s="16"/>
      <c r="HI79" s="16"/>
      <c r="HJ79" s="16"/>
      <c r="HK79" s="16"/>
      <c r="HL79" s="16"/>
      <c r="HM79" s="16"/>
      <c r="HN79" s="16"/>
      <c r="HO79" s="16"/>
      <c r="HP79" s="16"/>
      <c r="HQ79" s="16"/>
      <c r="HR79" s="16"/>
      <c r="HS79" s="16"/>
      <c r="HT79" s="16"/>
      <c r="HU79" s="16"/>
      <c r="HV79" s="16"/>
      <c r="HW79" s="16"/>
      <c r="HX79" s="16"/>
      <c r="HY79" s="16"/>
      <c r="HZ79" s="16"/>
      <c r="IA79" s="16"/>
      <c r="IB79" s="16"/>
      <c r="IC79" s="16"/>
      <c r="ID79" s="16"/>
      <c r="IE79" s="16"/>
      <c r="IF79" s="16"/>
      <c r="IG79" s="16"/>
      <c r="IH79" s="16"/>
      <c r="II79" s="16"/>
      <c r="IJ79" s="16"/>
      <c r="IK79" s="16"/>
      <c r="IL79" s="16"/>
      <c r="IM79" s="16"/>
      <c r="IN79" s="16"/>
      <c r="IO79" s="16"/>
      <c r="IP79" s="16"/>
      <c r="IQ79" s="16"/>
      <c r="IR79" s="16"/>
      <c r="IS79" s="16"/>
      <c r="IT79" s="16"/>
    </row>
    <row r="80" spans="1:254">
      <c r="A80" s="44" t="s">
        <v>280</v>
      </c>
      <c r="B80" s="45" t="s">
        <v>281</v>
      </c>
      <c r="C80" s="46">
        <v>303186.32</v>
      </c>
      <c r="D80" s="47">
        <v>294287.8052</v>
      </c>
      <c r="E80" s="47">
        <v>294287.8052</v>
      </c>
      <c r="F80" s="47">
        <v>298153.88448000001</v>
      </c>
      <c r="G80" s="47">
        <v>299534.62708000001</v>
      </c>
      <c r="H80" s="48">
        <f t="shared" si="7"/>
        <v>-1.2044385511852909</v>
      </c>
      <c r="I80" s="115" t="str">
        <f t="shared" si="8"/>
        <v>è</v>
      </c>
      <c r="J80" s="50"/>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c r="BB80" s="16"/>
      <c r="BC80" s="16"/>
      <c r="BD80" s="16"/>
      <c r="BE80" s="16"/>
      <c r="BF80" s="16"/>
      <c r="BG80" s="16"/>
      <c r="BH80" s="16"/>
      <c r="BI80" s="16"/>
      <c r="BJ80" s="16"/>
      <c r="BK80" s="16"/>
      <c r="BL80" s="16"/>
      <c r="BM80" s="16"/>
      <c r="BN80" s="16"/>
      <c r="BO80" s="16"/>
      <c r="BP80" s="16"/>
      <c r="BQ80" s="16"/>
      <c r="BR80" s="16"/>
      <c r="BS80" s="16"/>
      <c r="BT80" s="16"/>
      <c r="BU80" s="16"/>
      <c r="BV80" s="16"/>
      <c r="BW80" s="16"/>
      <c r="BX80" s="16"/>
      <c r="BY80" s="16"/>
      <c r="BZ80" s="16"/>
      <c r="CA80" s="16"/>
      <c r="CB80" s="16"/>
      <c r="CC80" s="16"/>
      <c r="CD80" s="16"/>
      <c r="CE80" s="16"/>
      <c r="CF80" s="16"/>
      <c r="CG80" s="16"/>
      <c r="CH80" s="16"/>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c r="DT80" s="16"/>
      <c r="DU80" s="16"/>
      <c r="DV80" s="16"/>
      <c r="DW80" s="16"/>
      <c r="DX80" s="16"/>
      <c r="DY80" s="16"/>
      <c r="DZ80" s="16"/>
      <c r="EA80" s="16"/>
      <c r="EB80" s="16"/>
      <c r="EC80" s="16"/>
      <c r="ED80" s="16"/>
      <c r="EE80" s="16"/>
      <c r="EF80" s="16"/>
      <c r="EG80" s="16"/>
      <c r="EH80" s="16"/>
      <c r="EI80" s="16"/>
      <c r="EJ80" s="16"/>
      <c r="EK80" s="16"/>
      <c r="EL80" s="16"/>
      <c r="EM80" s="16"/>
      <c r="EN80" s="16"/>
      <c r="EO80" s="16"/>
      <c r="EP80" s="16"/>
      <c r="EQ80" s="16"/>
      <c r="ER80" s="16"/>
      <c r="ES80" s="16"/>
      <c r="ET80" s="16"/>
      <c r="EU80" s="16"/>
      <c r="EV80" s="16"/>
      <c r="EW80" s="16"/>
      <c r="EX80" s="16"/>
      <c r="EY80" s="16"/>
      <c r="EZ80" s="16"/>
      <c r="FA80" s="16"/>
      <c r="FB80" s="16"/>
      <c r="FC80" s="16"/>
      <c r="FD80" s="16"/>
      <c r="FE80" s="16"/>
      <c r="FF80" s="16"/>
      <c r="FG80" s="16"/>
      <c r="FH80" s="16"/>
      <c r="FI80" s="16"/>
      <c r="FJ80" s="16"/>
      <c r="FK80" s="16"/>
      <c r="FL80" s="16"/>
      <c r="FM80" s="16"/>
      <c r="FN80" s="16"/>
      <c r="FO80" s="16"/>
      <c r="FP80" s="16"/>
      <c r="FQ80" s="16"/>
      <c r="FR80" s="16"/>
      <c r="FS80" s="16"/>
      <c r="FT80" s="16"/>
      <c r="FU80" s="16"/>
      <c r="FV80" s="16"/>
      <c r="FW80" s="16"/>
      <c r="FX80" s="16"/>
      <c r="FY80" s="16"/>
      <c r="FZ80" s="16"/>
      <c r="GA80" s="16"/>
      <c r="GB80" s="16"/>
      <c r="GC80" s="16"/>
      <c r="GD80" s="16"/>
      <c r="GE80" s="16"/>
      <c r="GF80" s="16"/>
      <c r="GG80" s="16"/>
      <c r="GH80" s="16"/>
      <c r="GI80" s="16"/>
      <c r="GJ80" s="16"/>
      <c r="GK80" s="16"/>
      <c r="GL80" s="16"/>
      <c r="GM80" s="16"/>
      <c r="GN80" s="16"/>
      <c r="GO80" s="16"/>
      <c r="GP80" s="16"/>
      <c r="GQ80" s="16"/>
      <c r="GR80" s="16"/>
      <c r="GS80" s="16"/>
      <c r="GT80" s="16"/>
      <c r="GU80" s="16"/>
      <c r="GV80" s="16"/>
      <c r="GW80" s="16"/>
      <c r="GX80" s="16"/>
      <c r="GY80" s="16"/>
      <c r="GZ80" s="16"/>
      <c r="HA80" s="16"/>
      <c r="HB80" s="16"/>
      <c r="HC80" s="16"/>
      <c r="HD80" s="16"/>
      <c r="HE80" s="16"/>
      <c r="HF80" s="16"/>
      <c r="HG80" s="16"/>
      <c r="HH80" s="16"/>
      <c r="HI80" s="16"/>
      <c r="HJ80" s="16"/>
      <c r="HK80" s="16"/>
      <c r="HL80" s="16"/>
      <c r="HM80" s="16"/>
      <c r="HN80" s="16"/>
      <c r="HO80" s="16"/>
      <c r="HP80" s="16"/>
      <c r="HQ80" s="16"/>
      <c r="HR80" s="16"/>
      <c r="HS80" s="16"/>
      <c r="HT80" s="16"/>
      <c r="HU80" s="16"/>
      <c r="HV80" s="16"/>
      <c r="HW80" s="16"/>
      <c r="HX80" s="16"/>
      <c r="HY80" s="16"/>
      <c r="HZ80" s="16"/>
      <c r="IA80" s="16"/>
      <c r="IB80" s="16"/>
      <c r="IC80" s="16"/>
      <c r="ID80" s="16"/>
      <c r="IE80" s="16"/>
      <c r="IF80" s="16"/>
      <c r="IG80" s="16"/>
      <c r="IH80" s="16"/>
      <c r="II80" s="16"/>
      <c r="IJ80" s="16"/>
      <c r="IK80" s="16"/>
      <c r="IL80" s="16"/>
      <c r="IM80" s="16"/>
      <c r="IN80" s="16"/>
      <c r="IO80" s="16"/>
      <c r="IP80" s="16"/>
      <c r="IQ80" s="16"/>
      <c r="IR80" s="16"/>
      <c r="IS80" s="16"/>
      <c r="IT80" s="16"/>
    </row>
    <row r="81" spans="1:254" ht="24">
      <c r="A81" s="372" t="s">
        <v>282</v>
      </c>
      <c r="B81" s="373" t="s">
        <v>283</v>
      </c>
      <c r="C81" s="374">
        <v>1207119</v>
      </c>
      <c r="D81" s="375">
        <v>1737595.2864000001</v>
      </c>
      <c r="E81" s="375">
        <v>1744595.2864000001</v>
      </c>
      <c r="F81" s="375">
        <v>1766860.4873600001</v>
      </c>
      <c r="G81" s="375">
        <v>1774776.63056</v>
      </c>
      <c r="H81" s="376">
        <f t="shared" si="7"/>
        <v>47.025821858491156</v>
      </c>
      <c r="I81" s="377" t="str">
        <f t="shared" si="8"/>
        <v>ì</v>
      </c>
      <c r="J81" s="384" t="s">
        <v>503</v>
      </c>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c r="BB81" s="16"/>
      <c r="BC81" s="16"/>
      <c r="BD81" s="16"/>
      <c r="BE81" s="16"/>
      <c r="BF81" s="16"/>
      <c r="BG81" s="16"/>
      <c r="BH81" s="16"/>
      <c r="BI81" s="16"/>
      <c r="BJ81" s="16"/>
      <c r="BK81" s="16"/>
      <c r="BL81" s="16"/>
      <c r="BM81" s="16"/>
      <c r="BN81" s="16"/>
      <c r="BO81" s="16"/>
      <c r="BP81" s="16"/>
      <c r="BQ81" s="16"/>
      <c r="BR81" s="16"/>
      <c r="BS81" s="16"/>
      <c r="BT81" s="16"/>
      <c r="BU81" s="16"/>
      <c r="BV81" s="16"/>
      <c r="BW81" s="16"/>
      <c r="BX81" s="16"/>
      <c r="BY81" s="16"/>
      <c r="BZ81" s="16"/>
      <c r="CA81" s="16"/>
      <c r="CB81" s="16"/>
      <c r="CC81" s="16"/>
      <c r="CD81" s="16"/>
      <c r="CE81" s="16"/>
      <c r="CF81" s="16"/>
      <c r="CG81" s="16"/>
      <c r="CH81" s="16"/>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c r="DT81" s="16"/>
      <c r="DU81" s="16"/>
      <c r="DV81" s="16"/>
      <c r="DW81" s="16"/>
      <c r="DX81" s="16"/>
      <c r="DY81" s="16"/>
      <c r="DZ81" s="16"/>
      <c r="EA81" s="16"/>
      <c r="EB81" s="16"/>
      <c r="EC81" s="16"/>
      <c r="ED81" s="16"/>
      <c r="EE81" s="16"/>
      <c r="EF81" s="16"/>
      <c r="EG81" s="16"/>
      <c r="EH81" s="16"/>
      <c r="EI81" s="16"/>
      <c r="EJ81" s="16"/>
      <c r="EK81" s="16"/>
      <c r="EL81" s="16"/>
      <c r="EM81" s="16"/>
      <c r="EN81" s="16"/>
      <c r="EO81" s="16"/>
      <c r="EP81" s="16"/>
      <c r="EQ81" s="16"/>
      <c r="ER81" s="16"/>
      <c r="ES81" s="16"/>
      <c r="ET81" s="16"/>
      <c r="EU81" s="16"/>
      <c r="EV81" s="16"/>
      <c r="EW81" s="16"/>
      <c r="EX81" s="16"/>
      <c r="EY81" s="16"/>
      <c r="EZ81" s="16"/>
      <c r="FA81" s="16"/>
      <c r="FB81" s="16"/>
      <c r="FC81" s="16"/>
      <c r="FD81" s="16"/>
      <c r="FE81" s="16"/>
      <c r="FF81" s="16"/>
      <c r="FG81" s="16"/>
      <c r="FH81" s="16"/>
      <c r="FI81" s="16"/>
      <c r="FJ81" s="16"/>
      <c r="FK81" s="16"/>
      <c r="FL81" s="16"/>
      <c r="FM81" s="16"/>
      <c r="FN81" s="16"/>
      <c r="FO81" s="16"/>
      <c r="FP81" s="16"/>
      <c r="FQ81" s="16"/>
      <c r="FR81" s="16"/>
      <c r="FS81" s="16"/>
      <c r="FT81" s="16"/>
      <c r="FU81" s="16"/>
      <c r="FV81" s="16"/>
      <c r="FW81" s="16"/>
      <c r="FX81" s="16"/>
      <c r="FY81" s="16"/>
      <c r="FZ81" s="16"/>
      <c r="GA81" s="16"/>
      <c r="GB81" s="16"/>
      <c r="GC81" s="16"/>
      <c r="GD81" s="16"/>
      <c r="GE81" s="16"/>
      <c r="GF81" s="16"/>
      <c r="GG81" s="16"/>
      <c r="GH81" s="16"/>
      <c r="GI81" s="16"/>
      <c r="GJ81" s="16"/>
      <c r="GK81" s="16"/>
      <c r="GL81" s="16"/>
      <c r="GM81" s="16"/>
      <c r="GN81" s="16"/>
      <c r="GO81" s="16"/>
      <c r="GP81" s="16"/>
      <c r="GQ81" s="16"/>
      <c r="GR81" s="16"/>
      <c r="GS81" s="16"/>
      <c r="GT81" s="16"/>
      <c r="GU81" s="16"/>
      <c r="GV81" s="16"/>
      <c r="GW81" s="16"/>
      <c r="GX81" s="16"/>
      <c r="GY81" s="16"/>
      <c r="GZ81" s="16"/>
      <c r="HA81" s="16"/>
      <c r="HB81" s="16"/>
      <c r="HC81" s="16"/>
      <c r="HD81" s="16"/>
      <c r="HE81" s="16"/>
      <c r="HF81" s="16"/>
      <c r="HG81" s="16"/>
      <c r="HH81" s="16"/>
      <c r="HI81" s="16"/>
      <c r="HJ81" s="16"/>
      <c r="HK81" s="16"/>
      <c r="HL81" s="16"/>
      <c r="HM81" s="16"/>
      <c r="HN81" s="16"/>
      <c r="HO81" s="16"/>
      <c r="HP81" s="16"/>
      <c r="HQ81" s="16"/>
      <c r="HR81" s="16"/>
      <c r="HS81" s="16"/>
      <c r="HT81" s="16"/>
      <c r="HU81" s="16"/>
      <c r="HV81" s="16"/>
      <c r="HW81" s="16"/>
      <c r="HX81" s="16"/>
      <c r="HY81" s="16"/>
      <c r="HZ81" s="16"/>
      <c r="IA81" s="16"/>
      <c r="IB81" s="16"/>
      <c r="IC81" s="16"/>
      <c r="ID81" s="16"/>
      <c r="IE81" s="16"/>
      <c r="IF81" s="16"/>
      <c r="IG81" s="16"/>
      <c r="IH81" s="16"/>
      <c r="II81" s="16"/>
      <c r="IJ81" s="16"/>
      <c r="IK81" s="16"/>
      <c r="IL81" s="16"/>
      <c r="IM81" s="16"/>
      <c r="IN81" s="16"/>
      <c r="IO81" s="16"/>
      <c r="IP81" s="16"/>
      <c r="IQ81" s="16"/>
      <c r="IR81" s="16"/>
      <c r="IS81" s="16"/>
      <c r="IT81" s="16"/>
    </row>
    <row r="82" spans="1:254" ht="24">
      <c r="A82" s="44" t="s">
        <v>284</v>
      </c>
      <c r="B82" s="45" t="s">
        <v>285</v>
      </c>
      <c r="C82" s="46">
        <v>14522038.960000001</v>
      </c>
      <c r="D82" s="47">
        <v>14937607.8134</v>
      </c>
      <c r="E82" s="47">
        <v>14955289.8134</v>
      </c>
      <c r="F82" s="47">
        <v>14999649.228160001</v>
      </c>
      <c r="G82" s="47">
        <v>15015592.80486</v>
      </c>
      <c r="H82" s="48">
        <f t="shared" si="7"/>
        <v>3.39865390954715</v>
      </c>
      <c r="I82" s="115" t="str">
        <f t="shared" si="8"/>
        <v>è</v>
      </c>
      <c r="J82" s="369" t="s">
        <v>553</v>
      </c>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c r="BB82" s="16"/>
      <c r="BC82" s="16"/>
      <c r="BD82" s="16"/>
      <c r="BE82" s="16"/>
      <c r="BF82" s="16"/>
      <c r="BG82" s="16"/>
      <c r="BH82" s="16"/>
      <c r="BI82" s="16"/>
      <c r="BJ82" s="16"/>
      <c r="BK82" s="16"/>
      <c r="BL82" s="16"/>
      <c r="BM82" s="16"/>
      <c r="BN82" s="16"/>
      <c r="BO82" s="16"/>
      <c r="BP82" s="16"/>
      <c r="BQ82" s="16"/>
      <c r="BR82" s="16"/>
      <c r="BS82" s="16"/>
      <c r="BT82" s="16"/>
      <c r="BU82" s="16"/>
      <c r="BV82" s="16"/>
      <c r="BW82" s="16"/>
      <c r="BX82" s="16"/>
      <c r="BY82" s="16"/>
      <c r="BZ82" s="16"/>
      <c r="CA82" s="16"/>
      <c r="CB82" s="16"/>
      <c r="CC82" s="16"/>
      <c r="CD82" s="16"/>
      <c r="CE82" s="16"/>
      <c r="CF82" s="16"/>
      <c r="CG82" s="16"/>
      <c r="CH82" s="16"/>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c r="DT82" s="16"/>
      <c r="DU82" s="16"/>
      <c r="DV82" s="16"/>
      <c r="DW82" s="16"/>
      <c r="DX82" s="16"/>
      <c r="DY82" s="16"/>
      <c r="DZ82" s="16"/>
      <c r="EA82" s="16"/>
      <c r="EB82" s="16"/>
      <c r="EC82" s="16"/>
      <c r="ED82" s="16"/>
      <c r="EE82" s="16"/>
      <c r="EF82" s="16"/>
      <c r="EG82" s="16"/>
      <c r="EH82" s="16"/>
      <c r="EI82" s="16"/>
      <c r="EJ82" s="16"/>
      <c r="EK82" s="16"/>
      <c r="EL82" s="16"/>
      <c r="EM82" s="16"/>
      <c r="EN82" s="16"/>
      <c r="EO82" s="16"/>
      <c r="EP82" s="16"/>
      <c r="EQ82" s="16"/>
      <c r="ER82" s="16"/>
      <c r="ES82" s="16"/>
      <c r="ET82" s="16"/>
      <c r="EU82" s="16"/>
      <c r="EV82" s="16"/>
      <c r="EW82" s="16"/>
      <c r="EX82" s="16"/>
      <c r="EY82" s="16"/>
      <c r="EZ82" s="16"/>
      <c r="FA82" s="16"/>
      <c r="FB82" s="16"/>
      <c r="FC82" s="16"/>
      <c r="FD82" s="16"/>
      <c r="FE82" s="16"/>
      <c r="FF82" s="16"/>
      <c r="FG82" s="16"/>
      <c r="FH82" s="16"/>
      <c r="FI82" s="16"/>
      <c r="FJ82" s="16"/>
      <c r="FK82" s="16"/>
      <c r="FL82" s="16"/>
      <c r="FM82" s="16"/>
      <c r="FN82" s="16"/>
      <c r="FO82" s="16"/>
      <c r="FP82" s="16"/>
      <c r="FQ82" s="16"/>
      <c r="FR82" s="16"/>
      <c r="FS82" s="16"/>
      <c r="FT82" s="16"/>
      <c r="FU82" s="16"/>
      <c r="FV82" s="16"/>
      <c r="FW82" s="16"/>
      <c r="FX82" s="16"/>
      <c r="FY82" s="16"/>
      <c r="FZ82" s="16"/>
      <c r="GA82" s="16"/>
      <c r="GB82" s="16"/>
      <c r="GC82" s="16"/>
      <c r="GD82" s="16"/>
      <c r="GE82" s="16"/>
      <c r="GF82" s="16"/>
      <c r="GG82" s="16"/>
      <c r="GH82" s="16"/>
      <c r="GI82" s="16"/>
      <c r="GJ82" s="16"/>
      <c r="GK82" s="16"/>
      <c r="GL82" s="16"/>
      <c r="GM82" s="16"/>
      <c r="GN82" s="16"/>
      <c r="GO82" s="16"/>
      <c r="GP82" s="16"/>
      <c r="GQ82" s="16"/>
      <c r="GR82" s="16"/>
      <c r="GS82" s="16"/>
      <c r="GT82" s="16"/>
      <c r="GU82" s="16"/>
      <c r="GV82" s="16"/>
      <c r="GW82" s="16"/>
      <c r="GX82" s="16"/>
      <c r="GY82" s="16"/>
      <c r="GZ82" s="16"/>
      <c r="HA82" s="16"/>
      <c r="HB82" s="16"/>
      <c r="HC82" s="16"/>
      <c r="HD82" s="16"/>
      <c r="HE82" s="16"/>
      <c r="HF82" s="16"/>
      <c r="HG82" s="16"/>
      <c r="HH82" s="16"/>
      <c r="HI82" s="16"/>
      <c r="HJ82" s="16"/>
      <c r="HK82" s="16"/>
      <c r="HL82" s="16"/>
      <c r="HM82" s="16"/>
      <c r="HN82" s="16"/>
      <c r="HO82" s="16"/>
      <c r="HP82" s="16"/>
      <c r="HQ82" s="16"/>
      <c r="HR82" s="16"/>
      <c r="HS82" s="16"/>
      <c r="HT82" s="16"/>
      <c r="HU82" s="16"/>
      <c r="HV82" s="16"/>
      <c r="HW82" s="16"/>
      <c r="HX82" s="16"/>
      <c r="HY82" s="16"/>
      <c r="HZ82" s="16"/>
      <c r="IA82" s="16"/>
      <c r="IB82" s="16"/>
      <c r="IC82" s="16"/>
      <c r="ID82" s="16"/>
      <c r="IE82" s="16"/>
      <c r="IF82" s="16"/>
      <c r="IG82" s="16"/>
      <c r="IH82" s="16"/>
      <c r="II82" s="16"/>
      <c r="IJ82" s="16"/>
      <c r="IK82" s="16"/>
      <c r="IL82" s="16"/>
      <c r="IM82" s="16"/>
      <c r="IN82" s="16"/>
      <c r="IO82" s="16"/>
      <c r="IP82" s="16"/>
      <c r="IQ82" s="16"/>
      <c r="IR82" s="16"/>
      <c r="IS82" s="16"/>
      <c r="IT82" s="16"/>
    </row>
    <row r="83" spans="1:254" ht="36">
      <c r="A83" s="372" t="s">
        <v>286</v>
      </c>
      <c r="B83" s="373" t="s">
        <v>287</v>
      </c>
      <c r="C83" s="374">
        <v>7092961.6699999999</v>
      </c>
      <c r="D83" s="375">
        <v>7134880.0408999994</v>
      </c>
      <c r="E83" s="375">
        <v>7806611.0408999994</v>
      </c>
      <c r="F83" s="375">
        <v>8243098.5441599991</v>
      </c>
      <c r="G83" s="375">
        <v>9077186.0096099991</v>
      </c>
      <c r="H83" s="376">
        <f t="shared" si="7"/>
        <v>27.974553253295653</v>
      </c>
      <c r="I83" s="377" t="str">
        <f t="shared" si="8"/>
        <v>ì</v>
      </c>
      <c r="J83" s="385" t="s">
        <v>536</v>
      </c>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c r="BB83" s="16"/>
      <c r="BC83" s="16"/>
      <c r="BD83" s="16"/>
      <c r="BE83" s="16"/>
      <c r="BF83" s="16"/>
      <c r="BG83" s="16"/>
      <c r="BH83" s="16"/>
      <c r="BI83" s="16"/>
      <c r="BJ83" s="16"/>
      <c r="BK83" s="16"/>
      <c r="BL83" s="16"/>
      <c r="BM83" s="16"/>
      <c r="BN83" s="16"/>
      <c r="BO83" s="16"/>
      <c r="BP83" s="16"/>
      <c r="BQ83" s="16"/>
      <c r="BR83" s="16"/>
      <c r="BS83" s="16"/>
      <c r="BT83" s="16"/>
      <c r="BU83" s="16"/>
      <c r="BV83" s="16"/>
      <c r="BW83" s="16"/>
      <c r="BX83" s="16"/>
      <c r="BY83" s="16"/>
      <c r="BZ83" s="16"/>
      <c r="CA83" s="16"/>
      <c r="CB83" s="16"/>
      <c r="CC83" s="16"/>
      <c r="CD83" s="16"/>
      <c r="CE83" s="16"/>
      <c r="CF83" s="16"/>
      <c r="CG83" s="16"/>
      <c r="CH83" s="16"/>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c r="DT83" s="16"/>
      <c r="DU83" s="16"/>
      <c r="DV83" s="16"/>
      <c r="DW83" s="16"/>
      <c r="DX83" s="16"/>
      <c r="DY83" s="16"/>
      <c r="DZ83" s="16"/>
      <c r="EA83" s="16"/>
      <c r="EB83" s="16"/>
      <c r="EC83" s="16"/>
      <c r="ED83" s="16"/>
      <c r="EE83" s="16"/>
      <c r="EF83" s="16"/>
      <c r="EG83" s="16"/>
      <c r="EH83" s="16"/>
      <c r="EI83" s="16"/>
      <c r="EJ83" s="16"/>
      <c r="EK83" s="16"/>
      <c r="EL83" s="16"/>
      <c r="EM83" s="16"/>
      <c r="EN83" s="16"/>
      <c r="EO83" s="16"/>
      <c r="EP83" s="16"/>
      <c r="EQ83" s="16"/>
      <c r="ER83" s="16"/>
      <c r="ES83" s="16"/>
      <c r="ET83" s="16"/>
      <c r="EU83" s="16"/>
      <c r="EV83" s="16"/>
      <c r="EW83" s="16"/>
      <c r="EX83" s="16"/>
      <c r="EY83" s="16"/>
      <c r="EZ83" s="16"/>
      <c r="FA83" s="16"/>
      <c r="FB83" s="16"/>
      <c r="FC83" s="16"/>
      <c r="FD83" s="16"/>
      <c r="FE83" s="16"/>
      <c r="FF83" s="16"/>
      <c r="FG83" s="16"/>
      <c r="FH83" s="16"/>
      <c r="FI83" s="16"/>
      <c r="FJ83" s="16"/>
      <c r="FK83" s="16"/>
      <c r="FL83" s="16"/>
      <c r="FM83" s="16"/>
      <c r="FN83" s="16"/>
      <c r="FO83" s="16"/>
      <c r="FP83" s="16"/>
      <c r="FQ83" s="16"/>
      <c r="FR83" s="16"/>
      <c r="FS83" s="16"/>
      <c r="FT83" s="16"/>
      <c r="FU83" s="16"/>
      <c r="FV83" s="16"/>
      <c r="FW83" s="16"/>
      <c r="FX83" s="16"/>
      <c r="FY83" s="16"/>
      <c r="FZ83" s="16"/>
      <c r="GA83" s="16"/>
      <c r="GB83" s="16"/>
      <c r="GC83" s="16"/>
      <c r="GD83" s="16"/>
      <c r="GE83" s="16"/>
      <c r="GF83" s="16"/>
      <c r="GG83" s="16"/>
      <c r="GH83" s="16"/>
      <c r="GI83" s="16"/>
      <c r="GJ83" s="16"/>
      <c r="GK83" s="16"/>
      <c r="GL83" s="16"/>
      <c r="GM83" s="16"/>
      <c r="GN83" s="16"/>
      <c r="GO83" s="16"/>
      <c r="GP83" s="16"/>
      <c r="GQ83" s="16"/>
      <c r="GR83" s="16"/>
      <c r="GS83" s="16"/>
      <c r="GT83" s="16"/>
      <c r="GU83" s="16"/>
      <c r="GV83" s="16"/>
      <c r="GW83" s="16"/>
      <c r="GX83" s="16"/>
      <c r="GY83" s="16"/>
      <c r="GZ83" s="16"/>
      <c r="HA83" s="16"/>
      <c r="HB83" s="16"/>
      <c r="HC83" s="16"/>
      <c r="HD83" s="16"/>
      <c r="HE83" s="16"/>
      <c r="HF83" s="16"/>
      <c r="HG83" s="16"/>
      <c r="HH83" s="16"/>
      <c r="HI83" s="16"/>
      <c r="HJ83" s="16"/>
      <c r="HK83" s="16"/>
      <c r="HL83" s="16"/>
      <c r="HM83" s="16"/>
      <c r="HN83" s="16"/>
      <c r="HO83" s="16"/>
      <c r="HP83" s="16"/>
      <c r="HQ83" s="16"/>
      <c r="HR83" s="16"/>
      <c r="HS83" s="16"/>
      <c r="HT83" s="16"/>
      <c r="HU83" s="16"/>
      <c r="HV83" s="16"/>
      <c r="HW83" s="16"/>
      <c r="HX83" s="16"/>
      <c r="HY83" s="16"/>
      <c r="HZ83" s="16"/>
      <c r="IA83" s="16"/>
      <c r="IB83" s="16"/>
      <c r="IC83" s="16"/>
      <c r="ID83" s="16"/>
      <c r="IE83" s="16"/>
      <c r="IF83" s="16"/>
      <c r="IG83" s="16"/>
      <c r="IH83" s="16"/>
      <c r="II83" s="16"/>
      <c r="IJ83" s="16"/>
      <c r="IK83" s="16"/>
      <c r="IL83" s="16"/>
      <c r="IM83" s="16"/>
      <c r="IN83" s="16"/>
      <c r="IO83" s="16"/>
      <c r="IP83" s="16"/>
      <c r="IQ83" s="16"/>
      <c r="IR83" s="16"/>
      <c r="IS83" s="16"/>
      <c r="IT83" s="16"/>
    </row>
    <row r="84" spans="1:254" ht="25.5" customHeight="1">
      <c r="A84" s="57"/>
      <c r="B84" s="58" t="s">
        <v>289</v>
      </c>
      <c r="C84" s="59">
        <f>SUM(C57:C83)</f>
        <v>236654858.10000002</v>
      </c>
      <c r="D84" s="59">
        <f>SUM(D57:D83)</f>
        <v>238665306.32449996</v>
      </c>
      <c r="E84" s="59">
        <f>SUM(E57:E83)</f>
        <v>245296240.75809699</v>
      </c>
      <c r="F84" s="59">
        <f>SUM(F57:F83)</f>
        <v>250699762.81384996</v>
      </c>
      <c r="G84" s="59">
        <f>SUM(G57:G83)</f>
        <v>255155619.46941668</v>
      </c>
      <c r="H84" s="60">
        <f t="shared" si="7"/>
        <v>7.8176131764001298</v>
      </c>
      <c r="I84" s="61"/>
      <c r="J84" s="62"/>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c r="BB84" s="16"/>
      <c r="BC84" s="16"/>
      <c r="BD84" s="16"/>
      <c r="BE84" s="16"/>
      <c r="BF84" s="16"/>
      <c r="BG84" s="16"/>
      <c r="BH84" s="16"/>
      <c r="BI84" s="16"/>
      <c r="BJ84" s="16"/>
      <c r="BK84" s="16"/>
      <c r="BL84" s="16"/>
      <c r="BM84" s="16"/>
      <c r="BN84" s="16"/>
      <c r="BO84" s="16"/>
      <c r="BP84" s="16"/>
      <c r="BQ84" s="16"/>
      <c r="BR84" s="16"/>
      <c r="BS84" s="16"/>
      <c r="BT84" s="16"/>
      <c r="BU84" s="16"/>
      <c r="BV84" s="16"/>
      <c r="BW84" s="16"/>
      <c r="BX84" s="16"/>
      <c r="BY84" s="16"/>
      <c r="BZ84" s="16"/>
      <c r="CA84" s="16"/>
      <c r="CB84" s="16"/>
      <c r="CC84" s="16"/>
      <c r="CD84" s="16"/>
      <c r="CE84" s="16"/>
      <c r="CF84" s="16"/>
      <c r="CG84" s="16"/>
      <c r="CH84" s="16"/>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c r="DT84" s="16"/>
      <c r="DU84" s="16"/>
      <c r="DV84" s="16"/>
      <c r="DW84" s="16"/>
      <c r="DX84" s="16"/>
      <c r="DY84" s="16"/>
      <c r="DZ84" s="16"/>
      <c r="EA84" s="16"/>
      <c r="EB84" s="16"/>
      <c r="EC84" s="16"/>
      <c r="ED84" s="16"/>
      <c r="EE84" s="16"/>
      <c r="EF84" s="16"/>
      <c r="EG84" s="16"/>
      <c r="EH84" s="16"/>
      <c r="EI84" s="16"/>
      <c r="EJ84" s="16"/>
      <c r="EK84" s="16"/>
      <c r="EL84" s="16"/>
      <c r="EM84" s="16"/>
      <c r="EN84" s="16"/>
      <c r="EO84" s="16"/>
      <c r="EP84" s="16"/>
      <c r="EQ84" s="16"/>
      <c r="ER84" s="16"/>
      <c r="ES84" s="16"/>
      <c r="ET84" s="16"/>
      <c r="EU84" s="16"/>
      <c r="EV84" s="16"/>
      <c r="EW84" s="16"/>
      <c r="EX84" s="16"/>
      <c r="EY84" s="16"/>
      <c r="EZ84" s="16"/>
      <c r="FA84" s="16"/>
      <c r="FB84" s="16"/>
      <c r="FC84" s="16"/>
      <c r="FD84" s="16"/>
      <c r="FE84" s="16"/>
      <c r="FF84" s="16"/>
      <c r="FG84" s="16"/>
      <c r="FH84" s="16"/>
      <c r="FI84" s="16"/>
      <c r="FJ84" s="16"/>
      <c r="FK84" s="16"/>
      <c r="FL84" s="16"/>
      <c r="FM84" s="16"/>
      <c r="FN84" s="16"/>
      <c r="FO84" s="16"/>
      <c r="FP84" s="16"/>
      <c r="FQ84" s="16"/>
      <c r="FR84" s="16"/>
      <c r="FS84" s="16"/>
      <c r="FT84" s="16"/>
      <c r="FU84" s="16"/>
      <c r="FV84" s="16"/>
      <c r="FW84" s="16"/>
      <c r="FX84" s="16"/>
      <c r="FY84" s="16"/>
      <c r="FZ84" s="16"/>
      <c r="GA84" s="16"/>
      <c r="GB84" s="16"/>
      <c r="GC84" s="16"/>
      <c r="GD84" s="16"/>
      <c r="GE84" s="16"/>
      <c r="GF84" s="16"/>
      <c r="GG84" s="16"/>
      <c r="GH84" s="16"/>
      <c r="GI84" s="16"/>
      <c r="GJ84" s="16"/>
      <c r="GK84" s="16"/>
      <c r="GL84" s="16"/>
      <c r="GM84" s="16"/>
      <c r="GN84" s="16"/>
      <c r="GO84" s="16"/>
      <c r="GP84" s="16"/>
      <c r="GQ84" s="16"/>
      <c r="GR84" s="16"/>
      <c r="GS84" s="16"/>
      <c r="GT84" s="16"/>
      <c r="GU84" s="16"/>
      <c r="GV84" s="16"/>
      <c r="GW84" s="16"/>
      <c r="GX84" s="16"/>
      <c r="GY84" s="16"/>
      <c r="GZ84" s="16"/>
      <c r="HA84" s="16"/>
      <c r="HB84" s="16"/>
      <c r="HC84" s="16"/>
      <c r="HD84" s="16"/>
      <c r="HE84" s="16"/>
      <c r="HF84" s="16"/>
      <c r="HG84" s="16"/>
      <c r="HH84" s="16"/>
      <c r="HI84" s="16"/>
      <c r="HJ84" s="16"/>
      <c r="HK84" s="16"/>
      <c r="HL84" s="16"/>
      <c r="HM84" s="16"/>
      <c r="HN84" s="16"/>
      <c r="HO84" s="16"/>
      <c r="HP84" s="16"/>
      <c r="HQ84" s="16"/>
      <c r="HR84" s="16"/>
      <c r="HS84" s="16"/>
      <c r="HT84" s="16"/>
      <c r="HU84" s="16"/>
      <c r="HV84" s="16"/>
      <c r="HW84" s="16"/>
      <c r="HX84" s="16"/>
      <c r="HY84" s="16"/>
      <c r="HZ84" s="16"/>
      <c r="IA84" s="16"/>
      <c r="IB84" s="16"/>
      <c r="IC84" s="16"/>
      <c r="ID84" s="16"/>
      <c r="IE84" s="16"/>
      <c r="IF84" s="16"/>
      <c r="IG84" s="16"/>
      <c r="IH84" s="16"/>
      <c r="II84" s="16"/>
      <c r="IJ84" s="16"/>
      <c r="IK84" s="16"/>
      <c r="IL84" s="16"/>
      <c r="IM84" s="16"/>
      <c r="IN84" s="16"/>
      <c r="IO84" s="16"/>
      <c r="IP84" s="16"/>
      <c r="IQ84" s="16"/>
      <c r="IR84" s="16"/>
      <c r="IS84" s="16"/>
      <c r="IT84" s="16"/>
    </row>
    <row r="85" spans="1:254" ht="12.75" customHeight="1">
      <c r="A85" s="33"/>
      <c r="B85" s="36" t="s">
        <v>290</v>
      </c>
      <c r="C85" s="37"/>
      <c r="D85" s="38"/>
      <c r="E85" s="38"/>
      <c r="F85" s="38"/>
      <c r="G85" s="38"/>
      <c r="H85" s="30"/>
      <c r="I85" s="34"/>
      <c r="J85" s="15"/>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c r="BB85" s="16"/>
      <c r="BC85" s="16"/>
      <c r="BD85" s="16"/>
      <c r="BE85" s="16"/>
      <c r="BF85" s="16"/>
      <c r="BG85" s="16"/>
      <c r="BH85" s="16"/>
      <c r="BI85" s="16"/>
      <c r="BJ85" s="16"/>
      <c r="BK85" s="16"/>
      <c r="BL85" s="16"/>
      <c r="BM85" s="16"/>
      <c r="BN85" s="16"/>
      <c r="BO85" s="16"/>
      <c r="BP85" s="16"/>
      <c r="BQ85" s="16"/>
      <c r="BR85" s="16"/>
      <c r="BS85" s="16"/>
      <c r="BT85" s="16"/>
      <c r="BU85" s="16"/>
      <c r="BV85" s="16"/>
      <c r="BW85" s="16"/>
      <c r="BX85" s="16"/>
      <c r="BY85" s="16"/>
      <c r="BZ85" s="16"/>
      <c r="CA85" s="16"/>
      <c r="CB85" s="16"/>
      <c r="CC85" s="16"/>
      <c r="CD85" s="16"/>
      <c r="CE85" s="16"/>
      <c r="CF85" s="16"/>
      <c r="CG85" s="16"/>
      <c r="CH85" s="16"/>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c r="EM85" s="16"/>
      <c r="EN85" s="16"/>
      <c r="EO85" s="16"/>
      <c r="EP85" s="16"/>
      <c r="EQ85" s="16"/>
      <c r="ER85" s="16"/>
      <c r="ES85" s="16"/>
      <c r="ET85" s="16"/>
      <c r="EU85" s="16"/>
      <c r="EV85" s="16"/>
      <c r="EW85" s="16"/>
      <c r="EX85" s="16"/>
      <c r="EY85" s="16"/>
      <c r="EZ85" s="16"/>
      <c r="FA85" s="16"/>
      <c r="FB85" s="16"/>
      <c r="FC85" s="16"/>
      <c r="FD85" s="16"/>
      <c r="FE85" s="16"/>
      <c r="FF85" s="16"/>
      <c r="FG85" s="16"/>
      <c r="FH85" s="16"/>
      <c r="FI85" s="16"/>
      <c r="FJ85" s="16"/>
      <c r="FK85" s="16"/>
      <c r="FL85" s="16"/>
      <c r="FM85" s="16"/>
      <c r="FN85" s="16"/>
      <c r="FO85" s="16"/>
      <c r="FP85" s="16"/>
      <c r="FQ85" s="16"/>
      <c r="FR85" s="16"/>
      <c r="FS85" s="16"/>
      <c r="FT85" s="16"/>
      <c r="FU85" s="16"/>
      <c r="FV85" s="16"/>
      <c r="FW85" s="16"/>
      <c r="FX85" s="16"/>
      <c r="FY85" s="16"/>
      <c r="FZ85" s="16"/>
      <c r="GA85" s="16"/>
      <c r="GB85" s="16"/>
      <c r="GC85" s="16"/>
      <c r="GD85" s="16"/>
      <c r="GE85" s="16"/>
      <c r="GF85" s="16"/>
      <c r="GG85" s="16"/>
      <c r="GH85" s="16"/>
      <c r="GI85" s="16"/>
      <c r="GJ85" s="16"/>
      <c r="GK85" s="16"/>
      <c r="GL85" s="16"/>
      <c r="GM85" s="16"/>
      <c r="GN85" s="16"/>
      <c r="GO85" s="16"/>
      <c r="GP85" s="16"/>
      <c r="GQ85" s="16"/>
      <c r="GR85" s="16"/>
      <c r="GS85" s="16"/>
      <c r="GT85" s="16"/>
      <c r="GU85" s="16"/>
      <c r="GV85" s="16"/>
      <c r="GW85" s="16"/>
      <c r="GX85" s="16"/>
      <c r="GY85" s="16"/>
      <c r="GZ85" s="16"/>
      <c r="HA85" s="16"/>
      <c r="HB85" s="16"/>
      <c r="HC85" s="16"/>
      <c r="HD85" s="16"/>
      <c r="HE85" s="16"/>
      <c r="HF85" s="16"/>
      <c r="HG85" s="16"/>
      <c r="HH85" s="16"/>
      <c r="HI85" s="16"/>
      <c r="HJ85" s="16"/>
      <c r="HK85" s="16"/>
      <c r="HL85" s="16"/>
      <c r="HM85" s="16"/>
      <c r="HN85" s="16"/>
      <c r="HO85" s="16"/>
      <c r="HP85" s="16"/>
      <c r="HQ85" s="16"/>
      <c r="HR85" s="16"/>
      <c r="HS85" s="16"/>
      <c r="HT85" s="16"/>
      <c r="HU85" s="16"/>
      <c r="HV85" s="16"/>
      <c r="HW85" s="16"/>
      <c r="HX85" s="16"/>
      <c r="HY85" s="16"/>
      <c r="HZ85" s="16"/>
      <c r="IA85" s="16"/>
      <c r="IB85" s="16"/>
      <c r="IC85" s="16"/>
      <c r="ID85" s="16"/>
      <c r="IE85" s="16"/>
      <c r="IF85" s="16"/>
      <c r="IG85" s="16"/>
      <c r="IH85" s="16"/>
      <c r="II85" s="16"/>
      <c r="IJ85" s="16"/>
      <c r="IK85" s="16"/>
      <c r="IL85" s="16"/>
      <c r="IM85" s="16"/>
      <c r="IN85" s="16"/>
      <c r="IO85" s="16"/>
      <c r="IP85" s="16"/>
      <c r="IQ85" s="16"/>
      <c r="IR85" s="16"/>
      <c r="IS85" s="16"/>
      <c r="IT85" s="16"/>
    </row>
    <row r="86" spans="1:254" ht="12.75" customHeight="1">
      <c r="A86" s="18" t="s">
        <v>291</v>
      </c>
      <c r="B86" s="19" t="s">
        <v>12</v>
      </c>
      <c r="C86" s="20">
        <v>1641354.4900000002</v>
      </c>
      <c r="D86" s="21">
        <v>1633047.9027</v>
      </c>
      <c r="E86" s="21">
        <v>1633047.9027</v>
      </c>
      <c r="F86" s="21">
        <v>1648805.4804799999</v>
      </c>
      <c r="G86" s="21">
        <v>1654433.18683</v>
      </c>
      <c r="H86" s="22">
        <f t="shared" ref="H86:H100" si="9">SUM(G86/C86*100-100)</f>
        <v>0.79682341076727425</v>
      </c>
      <c r="I86" s="23" t="str">
        <f t="shared" ref="I86:I99" si="10">IF((SQRT((G86-C86)^2)&lt;20000),$I$158,IF((G86-C86)&gt;(SQRT(C86^2))*5%,$I$159,IF((G86-C86)&lt;-(SQRT(C86^2))*5%,$I$157,$I$158)))</f>
        <v>è</v>
      </c>
      <c r="J86" s="32"/>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c r="BB86" s="16"/>
      <c r="BC86" s="16"/>
      <c r="BD86" s="16"/>
      <c r="BE86" s="16"/>
      <c r="BF86" s="16"/>
      <c r="BG86" s="16"/>
      <c r="BH86" s="16"/>
      <c r="BI86" s="16"/>
      <c r="BJ86" s="16"/>
      <c r="BK86" s="16"/>
      <c r="BL86" s="16"/>
      <c r="BM86" s="16"/>
      <c r="BN86" s="16"/>
      <c r="BO86" s="16"/>
      <c r="BP86" s="16"/>
      <c r="BQ86" s="16"/>
      <c r="BR86" s="16"/>
      <c r="BS86" s="16"/>
      <c r="BT86" s="16"/>
      <c r="BU86" s="16"/>
      <c r="BV86" s="16"/>
      <c r="BW86" s="16"/>
      <c r="BX86" s="16"/>
      <c r="BY86" s="16"/>
      <c r="BZ86" s="16"/>
      <c r="CA86" s="16"/>
      <c r="CB86" s="16"/>
      <c r="CC86" s="16"/>
      <c r="CD86" s="16"/>
      <c r="CE86" s="16"/>
      <c r="CF86" s="16"/>
      <c r="CG86" s="16"/>
      <c r="CH86" s="16"/>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c r="DT86" s="16"/>
      <c r="DU86" s="16"/>
      <c r="DV86" s="16"/>
      <c r="DW86" s="16"/>
      <c r="DX86" s="16"/>
      <c r="DY86" s="16"/>
      <c r="DZ86" s="16"/>
      <c r="EA86" s="16"/>
      <c r="EB86" s="16"/>
      <c r="EC86" s="16"/>
      <c r="ED86" s="16"/>
      <c r="EE86" s="16"/>
      <c r="EF86" s="16"/>
      <c r="EG86" s="16"/>
      <c r="EH86" s="16"/>
      <c r="EI86" s="16"/>
      <c r="EJ86" s="16"/>
      <c r="EK86" s="16"/>
      <c r="EL86" s="16"/>
      <c r="EM86" s="16"/>
      <c r="EN86" s="16"/>
      <c r="EO86" s="16"/>
      <c r="EP86" s="16"/>
      <c r="EQ86" s="16"/>
      <c r="ER86" s="16"/>
      <c r="ES86" s="16"/>
      <c r="ET86" s="16"/>
      <c r="EU86" s="16"/>
      <c r="EV86" s="16"/>
      <c r="EW86" s="16"/>
      <c r="EX86" s="16"/>
      <c r="EY86" s="16"/>
      <c r="EZ86" s="16"/>
      <c r="FA86" s="16"/>
      <c r="FB86" s="16"/>
      <c r="FC86" s="16"/>
      <c r="FD86" s="16"/>
      <c r="FE86" s="16"/>
      <c r="FF86" s="16"/>
      <c r="FG86" s="16"/>
      <c r="FH86" s="16"/>
      <c r="FI86" s="16"/>
      <c r="FJ86" s="16"/>
      <c r="FK86" s="16"/>
      <c r="FL86" s="16"/>
      <c r="FM86" s="16"/>
      <c r="FN86" s="16"/>
      <c r="FO86" s="16"/>
      <c r="FP86" s="16"/>
      <c r="FQ86" s="16"/>
      <c r="FR86" s="16"/>
      <c r="FS86" s="16"/>
      <c r="FT86" s="16"/>
      <c r="FU86" s="16"/>
      <c r="FV86" s="16"/>
      <c r="FW86" s="16"/>
      <c r="FX86" s="16"/>
      <c r="FY86" s="16"/>
      <c r="FZ86" s="16"/>
      <c r="GA86" s="16"/>
      <c r="GB86" s="16"/>
      <c r="GC86" s="16"/>
      <c r="GD86" s="16"/>
      <c r="GE86" s="16"/>
      <c r="GF86" s="16"/>
      <c r="GG86" s="16"/>
      <c r="GH86" s="16"/>
      <c r="GI86" s="16"/>
      <c r="GJ86" s="16"/>
      <c r="GK86" s="16"/>
      <c r="GL86" s="16"/>
      <c r="GM86" s="16"/>
      <c r="GN86" s="16"/>
      <c r="GO86" s="16"/>
      <c r="GP86" s="16"/>
      <c r="GQ86" s="16"/>
      <c r="GR86" s="16"/>
      <c r="GS86" s="16"/>
      <c r="GT86" s="16"/>
      <c r="GU86" s="16"/>
      <c r="GV86" s="16"/>
      <c r="GW86" s="16"/>
      <c r="GX86" s="16"/>
      <c r="GY86" s="16"/>
      <c r="GZ86" s="16"/>
      <c r="HA86" s="16"/>
      <c r="HB86" s="16"/>
      <c r="HC86" s="16"/>
      <c r="HD86" s="16"/>
      <c r="HE86" s="16"/>
      <c r="HF86" s="16"/>
      <c r="HG86" s="16"/>
      <c r="HH86" s="16"/>
      <c r="HI86" s="16"/>
      <c r="HJ86" s="16"/>
      <c r="HK86" s="16"/>
      <c r="HL86" s="16"/>
      <c r="HM86" s="16"/>
      <c r="HN86" s="16"/>
      <c r="HO86" s="16"/>
      <c r="HP86" s="16"/>
      <c r="HQ86" s="16"/>
      <c r="HR86" s="16"/>
      <c r="HS86" s="16"/>
      <c r="HT86" s="16"/>
      <c r="HU86" s="16"/>
      <c r="HV86" s="16"/>
      <c r="HW86" s="16"/>
      <c r="HX86" s="16"/>
      <c r="HY86" s="16"/>
      <c r="HZ86" s="16"/>
      <c r="IA86" s="16"/>
      <c r="IB86" s="16"/>
      <c r="IC86" s="16"/>
      <c r="ID86" s="16"/>
      <c r="IE86" s="16"/>
      <c r="IF86" s="16"/>
      <c r="IG86" s="16"/>
      <c r="IH86" s="16"/>
      <c r="II86" s="16"/>
      <c r="IJ86" s="16"/>
      <c r="IK86" s="16"/>
      <c r="IL86" s="16"/>
      <c r="IM86" s="16"/>
      <c r="IN86" s="16"/>
      <c r="IO86" s="16"/>
      <c r="IP86" s="16"/>
      <c r="IQ86" s="16"/>
      <c r="IR86" s="16"/>
      <c r="IS86" s="16"/>
      <c r="IT86" s="16"/>
    </row>
    <row r="87" spans="1:254" ht="12.75" customHeight="1">
      <c r="A87" s="26" t="s">
        <v>292</v>
      </c>
      <c r="B87" s="27" t="s">
        <v>197</v>
      </c>
      <c r="C87" s="28">
        <v>1478757.56</v>
      </c>
      <c r="D87" s="29">
        <v>1471920.0817999998</v>
      </c>
      <c r="E87" s="29">
        <v>1471920.0817999998</v>
      </c>
      <c r="F87" s="29">
        <v>1491506.81232</v>
      </c>
      <c r="G87" s="29">
        <v>1498502.0732199997</v>
      </c>
      <c r="H87" s="30">
        <f t="shared" si="9"/>
        <v>1.3352096215149487</v>
      </c>
      <c r="I87" s="115" t="str">
        <f t="shared" si="10"/>
        <v>è</v>
      </c>
      <c r="J87" s="50"/>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c r="BB87" s="16"/>
      <c r="BC87" s="16"/>
      <c r="BD87" s="16"/>
      <c r="BE87" s="16"/>
      <c r="BF87" s="16"/>
      <c r="BG87" s="16"/>
      <c r="BH87" s="16"/>
      <c r="BI87" s="16"/>
      <c r="BJ87" s="16"/>
      <c r="BK87" s="16"/>
      <c r="BL87" s="16"/>
      <c r="BM87" s="16"/>
      <c r="BN87" s="16"/>
      <c r="BO87" s="16"/>
      <c r="BP87" s="16"/>
      <c r="BQ87" s="16"/>
      <c r="BR87" s="16"/>
      <c r="BS87" s="16"/>
      <c r="BT87" s="16"/>
      <c r="BU87" s="16"/>
      <c r="BV87" s="16"/>
      <c r="BW87" s="16"/>
      <c r="BX87" s="16"/>
      <c r="BY87" s="16"/>
      <c r="BZ87" s="16"/>
      <c r="CA87" s="16"/>
      <c r="CB87" s="16"/>
      <c r="CC87" s="16"/>
      <c r="CD87" s="16"/>
      <c r="CE87" s="16"/>
      <c r="CF87" s="16"/>
      <c r="CG87" s="16"/>
      <c r="CH87" s="16"/>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c r="DT87" s="16"/>
      <c r="DU87" s="16"/>
      <c r="DV87" s="16"/>
      <c r="DW87" s="16"/>
      <c r="DX87" s="16"/>
      <c r="DY87" s="16"/>
      <c r="DZ87" s="16"/>
      <c r="EA87" s="16"/>
      <c r="EB87" s="16"/>
      <c r="EC87" s="16"/>
      <c r="ED87" s="16"/>
      <c r="EE87" s="16"/>
      <c r="EF87" s="16"/>
      <c r="EG87" s="16"/>
      <c r="EH87" s="16"/>
      <c r="EI87" s="16"/>
      <c r="EJ87" s="16"/>
      <c r="EK87" s="16"/>
      <c r="EL87" s="16"/>
      <c r="EM87" s="16"/>
      <c r="EN87" s="16"/>
      <c r="EO87" s="16"/>
      <c r="EP87" s="16"/>
      <c r="EQ87" s="16"/>
      <c r="ER87" s="16"/>
      <c r="ES87" s="16"/>
      <c r="ET87" s="16"/>
      <c r="EU87" s="16"/>
      <c r="EV87" s="16"/>
      <c r="EW87" s="16"/>
      <c r="EX87" s="16"/>
      <c r="EY87" s="16"/>
      <c r="EZ87" s="16"/>
      <c r="FA87" s="16"/>
      <c r="FB87" s="16"/>
      <c r="FC87" s="16"/>
      <c r="FD87" s="16"/>
      <c r="FE87" s="16"/>
      <c r="FF87" s="16"/>
      <c r="FG87" s="16"/>
      <c r="FH87" s="16"/>
      <c r="FI87" s="16"/>
      <c r="FJ87" s="16"/>
      <c r="FK87" s="16"/>
      <c r="FL87" s="16"/>
      <c r="FM87" s="16"/>
      <c r="FN87" s="16"/>
      <c r="FO87" s="16"/>
      <c r="FP87" s="16"/>
      <c r="FQ87" s="16"/>
      <c r="FR87" s="16"/>
      <c r="FS87" s="16"/>
      <c r="FT87" s="16"/>
      <c r="FU87" s="16"/>
      <c r="FV87" s="16"/>
      <c r="FW87" s="16"/>
      <c r="FX87" s="16"/>
      <c r="FY87" s="16"/>
      <c r="FZ87" s="16"/>
      <c r="GA87" s="16"/>
      <c r="GB87" s="16"/>
      <c r="GC87" s="16"/>
      <c r="GD87" s="16"/>
      <c r="GE87" s="16"/>
      <c r="GF87" s="16"/>
      <c r="GG87" s="16"/>
      <c r="GH87" s="16"/>
      <c r="GI87" s="16"/>
      <c r="GJ87" s="16"/>
      <c r="GK87" s="16"/>
      <c r="GL87" s="16"/>
      <c r="GM87" s="16"/>
      <c r="GN87" s="16"/>
      <c r="GO87" s="16"/>
      <c r="GP87" s="16"/>
      <c r="GQ87" s="16"/>
      <c r="GR87" s="16"/>
      <c r="GS87" s="16"/>
      <c r="GT87" s="16"/>
      <c r="GU87" s="16"/>
      <c r="GV87" s="16"/>
      <c r="GW87" s="16"/>
      <c r="GX87" s="16"/>
      <c r="GY87" s="16"/>
      <c r="GZ87" s="16"/>
      <c r="HA87" s="16"/>
      <c r="HB87" s="16"/>
      <c r="HC87" s="16"/>
      <c r="HD87" s="16"/>
      <c r="HE87" s="16"/>
      <c r="HF87" s="16"/>
      <c r="HG87" s="16"/>
      <c r="HH87" s="16"/>
      <c r="HI87" s="16"/>
      <c r="HJ87" s="16"/>
      <c r="HK87" s="16"/>
      <c r="HL87" s="16"/>
      <c r="HM87" s="16"/>
      <c r="HN87" s="16"/>
      <c r="HO87" s="16"/>
      <c r="HP87" s="16"/>
      <c r="HQ87" s="16"/>
      <c r="HR87" s="16"/>
      <c r="HS87" s="16"/>
      <c r="HT87" s="16"/>
      <c r="HU87" s="16"/>
      <c r="HV87" s="16"/>
      <c r="HW87" s="16"/>
      <c r="HX87" s="16"/>
      <c r="HY87" s="16"/>
      <c r="HZ87" s="16"/>
      <c r="IA87" s="16"/>
      <c r="IB87" s="16"/>
      <c r="IC87" s="16"/>
      <c r="ID87" s="16"/>
      <c r="IE87" s="16"/>
      <c r="IF87" s="16"/>
      <c r="IG87" s="16"/>
      <c r="IH87" s="16"/>
      <c r="II87" s="16"/>
      <c r="IJ87" s="16"/>
      <c r="IK87" s="16"/>
      <c r="IL87" s="16"/>
      <c r="IM87" s="16"/>
      <c r="IN87" s="16"/>
      <c r="IO87" s="16"/>
      <c r="IP87" s="16"/>
      <c r="IQ87" s="16"/>
      <c r="IR87" s="16"/>
      <c r="IS87" s="16"/>
      <c r="IT87" s="16"/>
    </row>
    <row r="88" spans="1:254" ht="60">
      <c r="A88" s="18" t="s">
        <v>293</v>
      </c>
      <c r="B88" s="19" t="s">
        <v>312</v>
      </c>
      <c r="C88" s="20">
        <v>29595430.359999999</v>
      </c>
      <c r="D88" s="21">
        <v>30683874.173599999</v>
      </c>
      <c r="E88" s="21">
        <v>34337197.373600006</v>
      </c>
      <c r="F88" s="21">
        <v>35402296.712640002</v>
      </c>
      <c r="G88" s="21">
        <v>38179662.369440004</v>
      </c>
      <c r="H88" s="22">
        <f t="shared" si="9"/>
        <v>29.005261640128452</v>
      </c>
      <c r="I88" s="23" t="str">
        <f t="shared" si="10"/>
        <v>ì</v>
      </c>
      <c r="J88" s="370" t="s">
        <v>504</v>
      </c>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c r="BB88" s="16"/>
      <c r="BC88" s="16"/>
      <c r="BD88" s="16"/>
      <c r="BE88" s="16"/>
      <c r="BF88" s="16"/>
      <c r="BG88" s="16"/>
      <c r="BH88" s="16"/>
      <c r="BI88" s="16"/>
      <c r="BJ88" s="16"/>
      <c r="BK88" s="16"/>
      <c r="BL88" s="16"/>
      <c r="BM88" s="16"/>
      <c r="BN88" s="16"/>
      <c r="BO88" s="16"/>
      <c r="BP88" s="16"/>
      <c r="BQ88" s="16"/>
      <c r="BR88" s="16"/>
      <c r="BS88" s="16"/>
      <c r="BT88" s="16"/>
      <c r="BU88" s="16"/>
      <c r="BV88" s="16"/>
      <c r="BW88" s="16"/>
      <c r="BX88" s="16"/>
      <c r="BY88" s="16"/>
      <c r="BZ88" s="16"/>
      <c r="CA88" s="16"/>
      <c r="CB88" s="16"/>
      <c r="CC88" s="16"/>
      <c r="CD88" s="16"/>
      <c r="CE88" s="16"/>
      <c r="CF88" s="16"/>
      <c r="CG88" s="16"/>
      <c r="CH88" s="16"/>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c r="DT88" s="16"/>
      <c r="DU88" s="16"/>
      <c r="DV88" s="16"/>
      <c r="DW88" s="16"/>
      <c r="DX88" s="16"/>
      <c r="DY88" s="16"/>
      <c r="DZ88" s="16"/>
      <c r="EA88" s="16"/>
      <c r="EB88" s="16"/>
      <c r="EC88" s="16"/>
      <c r="ED88" s="16"/>
      <c r="EE88" s="16"/>
      <c r="EF88" s="16"/>
      <c r="EG88" s="16"/>
      <c r="EH88" s="16"/>
      <c r="EI88" s="16"/>
      <c r="EJ88" s="16"/>
      <c r="EK88" s="16"/>
      <c r="EL88" s="16"/>
      <c r="EM88" s="16"/>
      <c r="EN88" s="16"/>
      <c r="EO88" s="16"/>
      <c r="EP88" s="16"/>
      <c r="EQ88" s="16"/>
      <c r="ER88" s="16"/>
      <c r="ES88" s="16"/>
      <c r="ET88" s="16"/>
      <c r="EU88" s="16"/>
      <c r="EV88" s="16"/>
      <c r="EW88" s="16"/>
      <c r="EX88" s="16"/>
      <c r="EY88" s="16"/>
      <c r="EZ88" s="16"/>
      <c r="FA88" s="16"/>
      <c r="FB88" s="16"/>
      <c r="FC88" s="16"/>
      <c r="FD88" s="16"/>
      <c r="FE88" s="16"/>
      <c r="FF88" s="16"/>
      <c r="FG88" s="16"/>
      <c r="FH88" s="16"/>
      <c r="FI88" s="16"/>
      <c r="FJ88" s="16"/>
      <c r="FK88" s="16"/>
      <c r="FL88" s="16"/>
      <c r="FM88" s="16"/>
      <c r="FN88" s="16"/>
      <c r="FO88" s="16"/>
      <c r="FP88" s="16"/>
      <c r="FQ88" s="16"/>
      <c r="FR88" s="16"/>
      <c r="FS88" s="16"/>
      <c r="FT88" s="16"/>
      <c r="FU88" s="16"/>
      <c r="FV88" s="16"/>
      <c r="FW88" s="16"/>
      <c r="FX88" s="16"/>
      <c r="FY88" s="16"/>
      <c r="FZ88" s="16"/>
      <c r="GA88" s="16"/>
      <c r="GB88" s="16"/>
      <c r="GC88" s="16"/>
      <c r="GD88" s="16"/>
      <c r="GE88" s="16"/>
      <c r="GF88" s="16"/>
      <c r="GG88" s="16"/>
      <c r="GH88" s="16"/>
      <c r="GI88" s="16"/>
      <c r="GJ88" s="16"/>
      <c r="GK88" s="16"/>
      <c r="GL88" s="16"/>
      <c r="GM88" s="16"/>
      <c r="GN88" s="16"/>
      <c r="GO88" s="16"/>
      <c r="GP88" s="16"/>
      <c r="GQ88" s="16"/>
      <c r="GR88" s="16"/>
      <c r="GS88" s="16"/>
      <c r="GT88" s="16"/>
      <c r="GU88" s="16"/>
      <c r="GV88" s="16"/>
      <c r="GW88" s="16"/>
      <c r="GX88" s="16"/>
      <c r="GY88" s="16"/>
      <c r="GZ88" s="16"/>
      <c r="HA88" s="16"/>
      <c r="HB88" s="16"/>
      <c r="HC88" s="16"/>
      <c r="HD88" s="16"/>
      <c r="HE88" s="16"/>
      <c r="HF88" s="16"/>
      <c r="HG88" s="16"/>
      <c r="HH88" s="16"/>
      <c r="HI88" s="16"/>
      <c r="HJ88" s="16"/>
      <c r="HK88" s="16"/>
      <c r="HL88" s="16"/>
      <c r="HM88" s="16"/>
      <c r="HN88" s="16"/>
      <c r="HO88" s="16"/>
      <c r="HP88" s="16"/>
      <c r="HQ88" s="16"/>
      <c r="HR88" s="16"/>
      <c r="HS88" s="16"/>
      <c r="HT88" s="16"/>
      <c r="HU88" s="16"/>
      <c r="HV88" s="16"/>
      <c r="HW88" s="16"/>
      <c r="HX88" s="16"/>
      <c r="HY88" s="16"/>
      <c r="HZ88" s="16"/>
      <c r="IA88" s="16"/>
      <c r="IB88" s="16"/>
      <c r="IC88" s="16"/>
      <c r="ID88" s="16"/>
      <c r="IE88" s="16"/>
      <c r="IF88" s="16"/>
      <c r="IG88" s="16"/>
      <c r="IH88" s="16"/>
      <c r="II88" s="16"/>
      <c r="IJ88" s="16"/>
      <c r="IK88" s="16"/>
      <c r="IL88" s="16"/>
      <c r="IM88" s="16"/>
      <c r="IN88" s="16"/>
      <c r="IO88" s="16"/>
      <c r="IP88" s="16"/>
      <c r="IQ88" s="16"/>
      <c r="IR88" s="16"/>
      <c r="IS88" s="16"/>
      <c r="IT88" s="16"/>
    </row>
    <row r="89" spans="1:254">
      <c r="A89" s="26" t="s">
        <v>294</v>
      </c>
      <c r="B89" s="27" t="s">
        <v>295</v>
      </c>
      <c r="C89" s="28">
        <v>2353636.2399999998</v>
      </c>
      <c r="D89" s="29">
        <v>2326655.5847999998</v>
      </c>
      <c r="E89" s="29">
        <v>2326655.5847999998</v>
      </c>
      <c r="F89" s="29">
        <v>2354682.5555200004</v>
      </c>
      <c r="G89" s="29">
        <v>2364692.1879199999</v>
      </c>
      <c r="H89" s="30">
        <f t="shared" si="9"/>
        <v>0.46973902475262719</v>
      </c>
      <c r="I89" s="115" t="str">
        <f t="shared" si="10"/>
        <v>è</v>
      </c>
      <c r="J89" s="50"/>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c r="BB89" s="16"/>
      <c r="BC89" s="16"/>
      <c r="BD89" s="16"/>
      <c r="BE89" s="16"/>
      <c r="BF89" s="16"/>
      <c r="BG89" s="16"/>
      <c r="BH89" s="16"/>
      <c r="BI89" s="16"/>
      <c r="BJ89" s="16"/>
      <c r="BK89" s="16"/>
      <c r="BL89" s="16"/>
      <c r="BM89" s="16"/>
      <c r="BN89" s="16"/>
      <c r="BO89" s="16"/>
      <c r="BP89" s="16"/>
      <c r="BQ89" s="16"/>
      <c r="BR89" s="16"/>
      <c r="BS89" s="16"/>
      <c r="BT89" s="16"/>
      <c r="BU89" s="16"/>
      <c r="BV89" s="16"/>
      <c r="BW89" s="16"/>
      <c r="BX89" s="16"/>
      <c r="BY89" s="16"/>
      <c r="BZ89" s="16"/>
      <c r="CA89" s="16"/>
      <c r="CB89" s="16"/>
      <c r="CC89" s="16"/>
      <c r="CD89" s="16"/>
      <c r="CE89" s="16"/>
      <c r="CF89" s="16"/>
      <c r="CG89" s="16"/>
      <c r="CH89" s="16"/>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c r="DT89" s="16"/>
      <c r="DU89" s="16"/>
      <c r="DV89" s="16"/>
      <c r="DW89" s="16"/>
      <c r="DX89" s="16"/>
      <c r="DY89" s="16"/>
      <c r="DZ89" s="16"/>
      <c r="EA89" s="16"/>
      <c r="EB89" s="16"/>
      <c r="EC89" s="16"/>
      <c r="ED89" s="16"/>
      <c r="EE89" s="16"/>
      <c r="EF89" s="16"/>
      <c r="EG89" s="16"/>
      <c r="EH89" s="16"/>
      <c r="EI89" s="16"/>
      <c r="EJ89" s="16"/>
      <c r="EK89" s="16"/>
      <c r="EL89" s="16"/>
      <c r="EM89" s="16"/>
      <c r="EN89" s="16"/>
      <c r="EO89" s="16"/>
      <c r="EP89" s="16"/>
      <c r="EQ89" s="16"/>
      <c r="ER89" s="16"/>
      <c r="ES89" s="16"/>
      <c r="ET89" s="16"/>
      <c r="EU89" s="16"/>
      <c r="EV89" s="16"/>
      <c r="EW89" s="16"/>
      <c r="EX89" s="16"/>
      <c r="EY89" s="16"/>
      <c r="EZ89" s="16"/>
      <c r="FA89" s="16"/>
      <c r="FB89" s="16"/>
      <c r="FC89" s="16"/>
      <c r="FD89" s="16"/>
      <c r="FE89" s="16"/>
      <c r="FF89" s="16"/>
      <c r="FG89" s="16"/>
      <c r="FH89" s="16"/>
      <c r="FI89" s="16"/>
      <c r="FJ89" s="16"/>
      <c r="FK89" s="16"/>
      <c r="FL89" s="16"/>
      <c r="FM89" s="16"/>
      <c r="FN89" s="16"/>
      <c r="FO89" s="16"/>
      <c r="FP89" s="16"/>
      <c r="FQ89" s="16"/>
      <c r="FR89" s="16"/>
      <c r="FS89" s="16"/>
      <c r="FT89" s="16"/>
      <c r="FU89" s="16"/>
      <c r="FV89" s="16"/>
      <c r="FW89" s="16"/>
      <c r="FX89" s="16"/>
      <c r="FY89" s="16"/>
      <c r="FZ89" s="16"/>
      <c r="GA89" s="16"/>
      <c r="GB89" s="16"/>
      <c r="GC89" s="16"/>
      <c r="GD89" s="16"/>
      <c r="GE89" s="16"/>
      <c r="GF89" s="16"/>
      <c r="GG89" s="16"/>
      <c r="GH89" s="16"/>
      <c r="GI89" s="16"/>
      <c r="GJ89" s="16"/>
      <c r="GK89" s="16"/>
      <c r="GL89" s="16"/>
      <c r="GM89" s="16"/>
      <c r="GN89" s="16"/>
      <c r="GO89" s="16"/>
      <c r="GP89" s="16"/>
      <c r="GQ89" s="16"/>
      <c r="GR89" s="16"/>
      <c r="GS89" s="16"/>
      <c r="GT89" s="16"/>
      <c r="GU89" s="16"/>
      <c r="GV89" s="16"/>
      <c r="GW89" s="16"/>
      <c r="GX89" s="16"/>
      <c r="GY89" s="16"/>
      <c r="GZ89" s="16"/>
      <c r="HA89" s="16"/>
      <c r="HB89" s="16"/>
      <c r="HC89" s="16"/>
      <c r="HD89" s="16"/>
      <c r="HE89" s="16"/>
      <c r="HF89" s="16"/>
      <c r="HG89" s="16"/>
      <c r="HH89" s="16"/>
      <c r="HI89" s="16"/>
      <c r="HJ89" s="16"/>
      <c r="HK89" s="16"/>
      <c r="HL89" s="16"/>
      <c r="HM89" s="16"/>
      <c r="HN89" s="16"/>
      <c r="HO89" s="16"/>
      <c r="HP89" s="16"/>
      <c r="HQ89" s="16"/>
      <c r="HR89" s="16"/>
      <c r="HS89" s="16"/>
      <c r="HT89" s="16"/>
      <c r="HU89" s="16"/>
      <c r="HV89" s="16"/>
      <c r="HW89" s="16"/>
      <c r="HX89" s="16"/>
      <c r="HY89" s="16"/>
      <c r="HZ89" s="16"/>
      <c r="IA89" s="16"/>
      <c r="IB89" s="16"/>
      <c r="IC89" s="16"/>
      <c r="ID89" s="16"/>
      <c r="IE89" s="16"/>
      <c r="IF89" s="16"/>
      <c r="IG89" s="16"/>
      <c r="IH89" s="16"/>
      <c r="II89" s="16"/>
      <c r="IJ89" s="16"/>
      <c r="IK89" s="16"/>
      <c r="IL89" s="16"/>
      <c r="IM89" s="16"/>
      <c r="IN89" s="16"/>
      <c r="IO89" s="16"/>
      <c r="IP89" s="16"/>
      <c r="IQ89" s="16"/>
      <c r="IR89" s="16"/>
      <c r="IS89" s="16"/>
      <c r="IT89" s="16"/>
    </row>
    <row r="90" spans="1:254" ht="36">
      <c r="A90" s="18" t="s">
        <v>296</v>
      </c>
      <c r="B90" s="19" t="s">
        <v>297</v>
      </c>
      <c r="C90" s="20">
        <v>19219926.039999999</v>
      </c>
      <c r="D90" s="21">
        <v>19506620.435800001</v>
      </c>
      <c r="E90" s="21">
        <v>19995762.515799996</v>
      </c>
      <c r="F90" s="21">
        <v>21409563.269919995</v>
      </c>
      <c r="G90" s="21">
        <v>25006696.967819996</v>
      </c>
      <c r="H90" s="22">
        <f t="shared" si="9"/>
        <v>30.108185202048759</v>
      </c>
      <c r="I90" s="23" t="str">
        <f t="shared" si="10"/>
        <v>ì</v>
      </c>
      <c r="J90" s="386" t="s">
        <v>505</v>
      </c>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c r="BB90" s="16"/>
      <c r="BC90" s="16"/>
      <c r="BD90" s="16"/>
      <c r="BE90" s="16"/>
      <c r="BF90" s="16"/>
      <c r="BG90" s="16"/>
      <c r="BH90" s="16"/>
      <c r="BI90" s="16"/>
      <c r="BJ90" s="16"/>
      <c r="BK90" s="16"/>
      <c r="BL90" s="16"/>
      <c r="BM90" s="16"/>
      <c r="BN90" s="16"/>
      <c r="BO90" s="16"/>
      <c r="BP90" s="16"/>
      <c r="BQ90" s="16"/>
      <c r="BR90" s="16"/>
      <c r="BS90" s="16"/>
      <c r="BT90" s="16"/>
      <c r="BU90" s="16"/>
      <c r="BV90" s="16"/>
      <c r="BW90" s="16"/>
      <c r="BX90" s="16"/>
      <c r="BY90" s="16"/>
      <c r="BZ90" s="16"/>
      <c r="CA90" s="16"/>
      <c r="CB90" s="16"/>
      <c r="CC90" s="16"/>
      <c r="CD90" s="16"/>
      <c r="CE90" s="16"/>
      <c r="CF90" s="16"/>
      <c r="CG90" s="16"/>
      <c r="CH90" s="16"/>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c r="DT90" s="16"/>
      <c r="DU90" s="16"/>
      <c r="DV90" s="16"/>
      <c r="DW90" s="16"/>
      <c r="DX90" s="16"/>
      <c r="DY90" s="16"/>
      <c r="DZ90" s="16"/>
      <c r="EA90" s="16"/>
      <c r="EB90" s="16"/>
      <c r="EC90" s="16"/>
      <c r="ED90" s="16"/>
      <c r="EE90" s="16"/>
      <c r="EF90" s="16"/>
      <c r="EG90" s="16"/>
      <c r="EH90" s="16"/>
      <c r="EI90" s="16"/>
      <c r="EJ90" s="16"/>
      <c r="EK90" s="16"/>
      <c r="EL90" s="16"/>
      <c r="EM90" s="16"/>
      <c r="EN90" s="16"/>
      <c r="EO90" s="16"/>
      <c r="EP90" s="16"/>
      <c r="EQ90" s="16"/>
      <c r="ER90" s="16"/>
      <c r="ES90" s="16"/>
      <c r="ET90" s="16"/>
      <c r="EU90" s="16"/>
      <c r="EV90" s="16"/>
      <c r="EW90" s="16"/>
      <c r="EX90" s="16"/>
      <c r="EY90" s="16"/>
      <c r="EZ90" s="16"/>
      <c r="FA90" s="16"/>
      <c r="FB90" s="16"/>
      <c r="FC90" s="16"/>
      <c r="FD90" s="16"/>
      <c r="FE90" s="16"/>
      <c r="FF90" s="16"/>
      <c r="FG90" s="16"/>
      <c r="FH90" s="16"/>
      <c r="FI90" s="16"/>
      <c r="FJ90" s="16"/>
      <c r="FK90" s="16"/>
      <c r="FL90" s="16"/>
      <c r="FM90" s="16"/>
      <c r="FN90" s="16"/>
      <c r="FO90" s="16"/>
      <c r="FP90" s="16"/>
      <c r="FQ90" s="16"/>
      <c r="FR90" s="16"/>
      <c r="FS90" s="16"/>
      <c r="FT90" s="16"/>
      <c r="FU90" s="16"/>
      <c r="FV90" s="16"/>
      <c r="FW90" s="16"/>
      <c r="FX90" s="16"/>
      <c r="FY90" s="16"/>
      <c r="FZ90" s="16"/>
      <c r="GA90" s="16"/>
      <c r="GB90" s="16"/>
      <c r="GC90" s="16"/>
      <c r="GD90" s="16"/>
      <c r="GE90" s="16"/>
      <c r="GF90" s="16"/>
      <c r="GG90" s="16"/>
      <c r="GH90" s="16"/>
      <c r="GI90" s="16"/>
      <c r="GJ90" s="16"/>
      <c r="GK90" s="16"/>
      <c r="GL90" s="16"/>
      <c r="GM90" s="16"/>
      <c r="GN90" s="16"/>
      <c r="GO90" s="16"/>
      <c r="GP90" s="16"/>
      <c r="GQ90" s="16"/>
      <c r="GR90" s="16"/>
      <c r="GS90" s="16"/>
      <c r="GT90" s="16"/>
      <c r="GU90" s="16"/>
      <c r="GV90" s="16"/>
      <c r="GW90" s="16"/>
      <c r="GX90" s="16"/>
      <c r="GY90" s="16"/>
      <c r="GZ90" s="16"/>
      <c r="HA90" s="16"/>
      <c r="HB90" s="16"/>
      <c r="HC90" s="16"/>
      <c r="HD90" s="16"/>
      <c r="HE90" s="16"/>
      <c r="HF90" s="16"/>
      <c r="HG90" s="16"/>
      <c r="HH90" s="16"/>
      <c r="HI90" s="16"/>
      <c r="HJ90" s="16"/>
      <c r="HK90" s="16"/>
      <c r="HL90" s="16"/>
      <c r="HM90" s="16"/>
      <c r="HN90" s="16"/>
      <c r="HO90" s="16"/>
      <c r="HP90" s="16"/>
      <c r="HQ90" s="16"/>
      <c r="HR90" s="16"/>
      <c r="HS90" s="16"/>
      <c r="HT90" s="16"/>
      <c r="HU90" s="16"/>
      <c r="HV90" s="16"/>
      <c r="HW90" s="16"/>
      <c r="HX90" s="16"/>
      <c r="HY90" s="16"/>
      <c r="HZ90" s="16"/>
      <c r="IA90" s="16"/>
      <c r="IB90" s="16"/>
      <c r="IC90" s="16"/>
      <c r="ID90" s="16"/>
      <c r="IE90" s="16"/>
      <c r="IF90" s="16"/>
      <c r="IG90" s="16"/>
      <c r="IH90" s="16"/>
      <c r="II90" s="16"/>
      <c r="IJ90" s="16"/>
      <c r="IK90" s="16"/>
      <c r="IL90" s="16"/>
      <c r="IM90" s="16"/>
      <c r="IN90" s="16"/>
      <c r="IO90" s="16"/>
      <c r="IP90" s="16"/>
      <c r="IQ90" s="16"/>
      <c r="IR90" s="16"/>
      <c r="IS90" s="16"/>
      <c r="IT90" s="16"/>
    </row>
    <row r="91" spans="1:254" ht="24">
      <c r="A91" s="26" t="s">
        <v>298</v>
      </c>
      <c r="B91" s="27" t="s">
        <v>299</v>
      </c>
      <c r="C91" s="28">
        <v>28991452.439999998</v>
      </c>
      <c r="D91" s="29">
        <v>29119658.623999998</v>
      </c>
      <c r="E91" s="29">
        <v>29289658.623999998</v>
      </c>
      <c r="F91" s="29">
        <v>30064147.321599998</v>
      </c>
      <c r="G91" s="29">
        <v>30195750.413599998</v>
      </c>
      <c r="H91" s="30">
        <f t="shared" si="9"/>
        <v>4.153975990310883</v>
      </c>
      <c r="I91" s="115" t="str">
        <f t="shared" si="10"/>
        <v>è</v>
      </c>
      <c r="J91" s="369" t="s">
        <v>554</v>
      </c>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c r="BB91" s="16"/>
      <c r="BC91" s="16"/>
      <c r="BD91" s="16"/>
      <c r="BE91" s="16"/>
      <c r="BF91" s="16"/>
      <c r="BG91" s="16"/>
      <c r="BH91" s="16"/>
      <c r="BI91" s="16"/>
      <c r="BJ91" s="16"/>
      <c r="BK91" s="16"/>
      <c r="BL91" s="16"/>
      <c r="BM91" s="16"/>
      <c r="BN91" s="16"/>
      <c r="BO91" s="16"/>
      <c r="BP91" s="16"/>
      <c r="BQ91" s="16"/>
      <c r="BR91" s="16"/>
      <c r="BS91" s="16"/>
      <c r="BT91" s="16"/>
      <c r="BU91" s="16"/>
      <c r="BV91" s="16"/>
      <c r="BW91" s="16"/>
      <c r="BX91" s="16"/>
      <c r="BY91" s="16"/>
      <c r="BZ91" s="16"/>
      <c r="CA91" s="16"/>
      <c r="CB91" s="16"/>
      <c r="CC91" s="16"/>
      <c r="CD91" s="16"/>
      <c r="CE91" s="16"/>
      <c r="CF91" s="16"/>
      <c r="CG91" s="16"/>
      <c r="CH91" s="16"/>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c r="DT91" s="16"/>
      <c r="DU91" s="16"/>
      <c r="DV91" s="16"/>
      <c r="DW91" s="16"/>
      <c r="DX91" s="16"/>
      <c r="DY91" s="16"/>
      <c r="DZ91" s="16"/>
      <c r="EA91" s="16"/>
      <c r="EB91" s="16"/>
      <c r="EC91" s="16"/>
      <c r="ED91" s="16"/>
      <c r="EE91" s="16"/>
      <c r="EF91" s="16"/>
      <c r="EG91" s="16"/>
      <c r="EH91" s="16"/>
      <c r="EI91" s="16"/>
      <c r="EJ91" s="16"/>
      <c r="EK91" s="16"/>
      <c r="EL91" s="16"/>
      <c r="EM91" s="16"/>
      <c r="EN91" s="16"/>
      <c r="EO91" s="16"/>
      <c r="EP91" s="16"/>
      <c r="EQ91" s="16"/>
      <c r="ER91" s="16"/>
      <c r="ES91" s="16"/>
      <c r="ET91" s="16"/>
      <c r="EU91" s="16"/>
      <c r="EV91" s="16"/>
      <c r="EW91" s="16"/>
      <c r="EX91" s="16"/>
      <c r="EY91" s="16"/>
      <c r="EZ91" s="16"/>
      <c r="FA91" s="16"/>
      <c r="FB91" s="16"/>
      <c r="FC91" s="16"/>
      <c r="FD91" s="16"/>
      <c r="FE91" s="16"/>
      <c r="FF91" s="16"/>
      <c r="FG91" s="16"/>
      <c r="FH91" s="16"/>
      <c r="FI91" s="16"/>
      <c r="FJ91" s="16"/>
      <c r="FK91" s="16"/>
      <c r="FL91" s="16"/>
      <c r="FM91" s="16"/>
      <c r="FN91" s="16"/>
      <c r="FO91" s="16"/>
      <c r="FP91" s="16"/>
      <c r="FQ91" s="16"/>
      <c r="FR91" s="16"/>
      <c r="FS91" s="16"/>
      <c r="FT91" s="16"/>
      <c r="FU91" s="16"/>
      <c r="FV91" s="16"/>
      <c r="FW91" s="16"/>
      <c r="FX91" s="16"/>
      <c r="FY91" s="16"/>
      <c r="FZ91" s="16"/>
      <c r="GA91" s="16"/>
      <c r="GB91" s="16"/>
      <c r="GC91" s="16"/>
      <c r="GD91" s="16"/>
      <c r="GE91" s="16"/>
      <c r="GF91" s="16"/>
      <c r="GG91" s="16"/>
      <c r="GH91" s="16"/>
      <c r="GI91" s="16"/>
      <c r="GJ91" s="16"/>
      <c r="GK91" s="16"/>
      <c r="GL91" s="16"/>
      <c r="GM91" s="16"/>
      <c r="GN91" s="16"/>
      <c r="GO91" s="16"/>
      <c r="GP91" s="16"/>
      <c r="GQ91" s="16"/>
      <c r="GR91" s="16"/>
      <c r="GS91" s="16"/>
      <c r="GT91" s="16"/>
      <c r="GU91" s="16"/>
      <c r="GV91" s="16"/>
      <c r="GW91" s="16"/>
      <c r="GX91" s="16"/>
      <c r="GY91" s="16"/>
      <c r="GZ91" s="16"/>
      <c r="HA91" s="16"/>
      <c r="HB91" s="16"/>
      <c r="HC91" s="16"/>
      <c r="HD91" s="16"/>
      <c r="HE91" s="16"/>
      <c r="HF91" s="16"/>
      <c r="HG91" s="16"/>
      <c r="HH91" s="16"/>
      <c r="HI91" s="16"/>
      <c r="HJ91" s="16"/>
      <c r="HK91" s="16"/>
      <c r="HL91" s="16"/>
      <c r="HM91" s="16"/>
      <c r="HN91" s="16"/>
      <c r="HO91" s="16"/>
      <c r="HP91" s="16"/>
      <c r="HQ91" s="16"/>
      <c r="HR91" s="16"/>
      <c r="HS91" s="16"/>
      <c r="HT91" s="16"/>
      <c r="HU91" s="16"/>
      <c r="HV91" s="16"/>
      <c r="HW91" s="16"/>
      <c r="HX91" s="16"/>
      <c r="HY91" s="16"/>
      <c r="HZ91" s="16"/>
      <c r="IA91" s="16"/>
      <c r="IB91" s="16"/>
      <c r="IC91" s="16"/>
      <c r="ID91" s="16"/>
      <c r="IE91" s="16"/>
      <c r="IF91" s="16"/>
      <c r="IG91" s="16"/>
      <c r="IH91" s="16"/>
      <c r="II91" s="16"/>
      <c r="IJ91" s="16"/>
      <c r="IK91" s="16"/>
      <c r="IL91" s="16"/>
      <c r="IM91" s="16"/>
      <c r="IN91" s="16"/>
      <c r="IO91" s="16"/>
      <c r="IP91" s="16"/>
      <c r="IQ91" s="16"/>
      <c r="IR91" s="16"/>
      <c r="IS91" s="16"/>
      <c r="IT91" s="16"/>
    </row>
    <row r="92" spans="1:254" ht="24">
      <c r="A92" s="18" t="s">
        <v>300</v>
      </c>
      <c r="B92" s="19" t="s">
        <v>301</v>
      </c>
      <c r="C92" s="20">
        <v>-5360683.2799999993</v>
      </c>
      <c r="D92" s="21">
        <v>-5693516.5307999998</v>
      </c>
      <c r="E92" s="21">
        <v>-5693516.5307999998</v>
      </c>
      <c r="F92" s="21">
        <v>-5677883.0819199998</v>
      </c>
      <c r="G92" s="21">
        <v>-5672299.7073199991</v>
      </c>
      <c r="H92" s="22">
        <f t="shared" si="9"/>
        <v>5.8129982885316167</v>
      </c>
      <c r="I92" s="23" t="str">
        <f t="shared" si="10"/>
        <v>î</v>
      </c>
      <c r="J92" s="368" t="s">
        <v>506</v>
      </c>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c r="BB92" s="16"/>
      <c r="BC92" s="16"/>
      <c r="BD92" s="16"/>
      <c r="BE92" s="16"/>
      <c r="BF92" s="16"/>
      <c r="BG92" s="16"/>
      <c r="BH92" s="16"/>
      <c r="BI92" s="16"/>
      <c r="BJ92" s="16"/>
      <c r="BK92" s="16"/>
      <c r="BL92" s="16"/>
      <c r="BM92" s="16"/>
      <c r="BN92" s="16"/>
      <c r="BO92" s="16"/>
      <c r="BP92" s="16"/>
      <c r="BQ92" s="16"/>
      <c r="BR92" s="16"/>
      <c r="BS92" s="16"/>
      <c r="BT92" s="16"/>
      <c r="BU92" s="16"/>
      <c r="BV92" s="16"/>
      <c r="BW92" s="16"/>
      <c r="BX92" s="16"/>
      <c r="BY92" s="16"/>
      <c r="BZ92" s="16"/>
      <c r="CA92" s="16"/>
      <c r="CB92" s="16"/>
      <c r="CC92" s="16"/>
      <c r="CD92" s="16"/>
      <c r="CE92" s="16"/>
      <c r="CF92" s="16"/>
      <c r="CG92" s="16"/>
      <c r="CH92" s="16"/>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c r="DT92" s="16"/>
      <c r="DU92" s="16"/>
      <c r="DV92" s="16"/>
      <c r="DW92" s="16"/>
      <c r="DX92" s="16"/>
      <c r="DY92" s="16"/>
      <c r="DZ92" s="16"/>
      <c r="EA92" s="16"/>
      <c r="EB92" s="16"/>
      <c r="EC92" s="16"/>
      <c r="ED92" s="16"/>
      <c r="EE92" s="16"/>
      <c r="EF92" s="16"/>
      <c r="EG92" s="16"/>
      <c r="EH92" s="16"/>
      <c r="EI92" s="16"/>
      <c r="EJ92" s="16"/>
      <c r="EK92" s="16"/>
      <c r="EL92" s="16"/>
      <c r="EM92" s="16"/>
      <c r="EN92" s="16"/>
      <c r="EO92" s="16"/>
      <c r="EP92" s="16"/>
      <c r="EQ92" s="16"/>
      <c r="ER92" s="16"/>
      <c r="ES92" s="16"/>
      <c r="ET92" s="16"/>
      <c r="EU92" s="16"/>
      <c r="EV92" s="16"/>
      <c r="EW92" s="16"/>
      <c r="EX92" s="16"/>
      <c r="EY92" s="16"/>
      <c r="EZ92" s="16"/>
      <c r="FA92" s="16"/>
      <c r="FB92" s="16"/>
      <c r="FC92" s="16"/>
      <c r="FD92" s="16"/>
      <c r="FE92" s="16"/>
      <c r="FF92" s="16"/>
      <c r="FG92" s="16"/>
      <c r="FH92" s="16"/>
      <c r="FI92" s="16"/>
      <c r="FJ92" s="16"/>
      <c r="FK92" s="16"/>
      <c r="FL92" s="16"/>
      <c r="FM92" s="16"/>
      <c r="FN92" s="16"/>
      <c r="FO92" s="16"/>
      <c r="FP92" s="16"/>
      <c r="FQ92" s="16"/>
      <c r="FR92" s="16"/>
      <c r="FS92" s="16"/>
      <c r="FT92" s="16"/>
      <c r="FU92" s="16"/>
      <c r="FV92" s="16"/>
      <c r="FW92" s="16"/>
      <c r="FX92" s="16"/>
      <c r="FY92" s="16"/>
      <c r="FZ92" s="16"/>
      <c r="GA92" s="16"/>
      <c r="GB92" s="16"/>
      <c r="GC92" s="16"/>
      <c r="GD92" s="16"/>
      <c r="GE92" s="16"/>
      <c r="GF92" s="16"/>
      <c r="GG92" s="16"/>
      <c r="GH92" s="16"/>
      <c r="GI92" s="16"/>
      <c r="GJ92" s="16"/>
      <c r="GK92" s="16"/>
      <c r="GL92" s="16"/>
      <c r="GM92" s="16"/>
      <c r="GN92" s="16"/>
      <c r="GO92" s="16"/>
      <c r="GP92" s="16"/>
      <c r="GQ92" s="16"/>
      <c r="GR92" s="16"/>
      <c r="GS92" s="16"/>
      <c r="GT92" s="16"/>
      <c r="GU92" s="16"/>
      <c r="GV92" s="16"/>
      <c r="GW92" s="16"/>
      <c r="GX92" s="16"/>
      <c r="GY92" s="16"/>
      <c r="GZ92" s="16"/>
      <c r="HA92" s="16"/>
      <c r="HB92" s="16"/>
      <c r="HC92" s="16"/>
      <c r="HD92" s="16"/>
      <c r="HE92" s="16"/>
      <c r="HF92" s="16"/>
      <c r="HG92" s="16"/>
      <c r="HH92" s="16"/>
      <c r="HI92" s="16"/>
      <c r="HJ92" s="16"/>
      <c r="HK92" s="16"/>
      <c r="HL92" s="16"/>
      <c r="HM92" s="16"/>
      <c r="HN92" s="16"/>
      <c r="HO92" s="16"/>
      <c r="HP92" s="16"/>
      <c r="HQ92" s="16"/>
      <c r="HR92" s="16"/>
      <c r="HS92" s="16"/>
      <c r="HT92" s="16"/>
      <c r="HU92" s="16"/>
      <c r="HV92" s="16"/>
      <c r="HW92" s="16"/>
      <c r="HX92" s="16"/>
      <c r="HY92" s="16"/>
      <c r="HZ92" s="16"/>
      <c r="IA92" s="16"/>
      <c r="IB92" s="16"/>
      <c r="IC92" s="16"/>
      <c r="ID92" s="16"/>
      <c r="IE92" s="16"/>
      <c r="IF92" s="16"/>
      <c r="IG92" s="16"/>
      <c r="IH92" s="16"/>
      <c r="II92" s="16"/>
      <c r="IJ92" s="16"/>
      <c r="IK92" s="16"/>
      <c r="IL92" s="16"/>
      <c r="IM92" s="16"/>
      <c r="IN92" s="16"/>
      <c r="IO92" s="16"/>
      <c r="IP92" s="16"/>
      <c r="IQ92" s="16"/>
      <c r="IR92" s="16"/>
      <c r="IS92" s="16"/>
      <c r="IT92" s="16"/>
    </row>
    <row r="93" spans="1:254" ht="48">
      <c r="A93" s="26" t="s">
        <v>302</v>
      </c>
      <c r="B93" s="27" t="s">
        <v>303</v>
      </c>
      <c r="C93" s="28">
        <v>5810000</v>
      </c>
      <c r="D93" s="29">
        <v>5830000</v>
      </c>
      <c r="E93" s="29">
        <v>5850000</v>
      </c>
      <c r="F93" s="29">
        <v>5870000</v>
      </c>
      <c r="G93" s="29">
        <v>5890000</v>
      </c>
      <c r="H93" s="30">
        <f t="shared" si="9"/>
        <v>1.3769363166953497</v>
      </c>
      <c r="I93" s="115" t="str">
        <f t="shared" si="10"/>
        <v>è</v>
      </c>
      <c r="J93" s="369" t="s">
        <v>507</v>
      </c>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c r="BB93" s="16"/>
      <c r="BC93" s="16"/>
      <c r="BD93" s="16"/>
      <c r="BE93" s="16"/>
      <c r="BF93" s="16"/>
      <c r="BG93" s="16"/>
      <c r="BH93" s="16"/>
      <c r="BI93" s="16"/>
      <c r="BJ93" s="16"/>
      <c r="BK93" s="16"/>
      <c r="BL93" s="16"/>
      <c r="BM93" s="16"/>
      <c r="BN93" s="16"/>
      <c r="BO93" s="16"/>
      <c r="BP93" s="16"/>
      <c r="BQ93" s="16"/>
      <c r="BR93" s="16"/>
      <c r="BS93" s="16"/>
      <c r="BT93" s="16"/>
      <c r="BU93" s="16"/>
      <c r="BV93" s="16"/>
      <c r="BW93" s="16"/>
      <c r="BX93" s="16"/>
      <c r="BY93" s="16"/>
      <c r="BZ93" s="16"/>
      <c r="CA93" s="16"/>
      <c r="CB93" s="16"/>
      <c r="CC93" s="16"/>
      <c r="CD93" s="16"/>
      <c r="CE93" s="16"/>
      <c r="CF93" s="16"/>
      <c r="CG93" s="16"/>
      <c r="CH93" s="16"/>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c r="DO93" s="16"/>
      <c r="DP93" s="16"/>
      <c r="DQ93" s="16"/>
      <c r="DR93" s="16"/>
      <c r="DS93" s="16"/>
      <c r="DT93" s="16"/>
      <c r="DU93" s="16"/>
      <c r="DV93" s="16"/>
      <c r="DW93" s="16"/>
      <c r="DX93" s="16"/>
      <c r="DY93" s="16"/>
      <c r="DZ93" s="16"/>
      <c r="EA93" s="16"/>
      <c r="EB93" s="16"/>
      <c r="EC93" s="16"/>
      <c r="ED93" s="16"/>
      <c r="EE93" s="16"/>
      <c r="EF93" s="16"/>
      <c r="EG93" s="16"/>
      <c r="EH93" s="16"/>
      <c r="EI93" s="16"/>
      <c r="EJ93" s="16"/>
      <c r="EK93" s="16"/>
      <c r="EL93" s="16"/>
      <c r="EM93" s="16"/>
      <c r="EN93" s="16"/>
      <c r="EO93" s="16"/>
      <c r="EP93" s="16"/>
      <c r="EQ93" s="16"/>
      <c r="ER93" s="16"/>
      <c r="ES93" s="16"/>
      <c r="ET93" s="16"/>
      <c r="EU93" s="16"/>
      <c r="EV93" s="16"/>
      <c r="EW93" s="16"/>
      <c r="EX93" s="16"/>
      <c r="EY93" s="16"/>
      <c r="EZ93" s="16"/>
      <c r="FA93" s="16"/>
      <c r="FB93" s="16"/>
      <c r="FC93" s="16"/>
      <c r="FD93" s="16"/>
      <c r="FE93" s="16"/>
      <c r="FF93" s="16"/>
      <c r="FG93" s="16"/>
      <c r="FH93" s="16"/>
      <c r="FI93" s="16"/>
      <c r="FJ93" s="16"/>
      <c r="FK93" s="16"/>
      <c r="FL93" s="16"/>
      <c r="FM93" s="16"/>
      <c r="FN93" s="16"/>
      <c r="FO93" s="16"/>
      <c r="FP93" s="16"/>
      <c r="FQ93" s="16"/>
      <c r="FR93" s="16"/>
      <c r="FS93" s="16"/>
      <c r="FT93" s="16"/>
      <c r="FU93" s="16"/>
      <c r="FV93" s="16"/>
      <c r="FW93" s="16"/>
      <c r="FX93" s="16"/>
      <c r="FY93" s="16"/>
      <c r="FZ93" s="16"/>
      <c r="GA93" s="16"/>
      <c r="GB93" s="16"/>
      <c r="GC93" s="16"/>
      <c r="GD93" s="16"/>
      <c r="GE93" s="16"/>
      <c r="GF93" s="16"/>
      <c r="GG93" s="16"/>
      <c r="GH93" s="16"/>
      <c r="GI93" s="16"/>
      <c r="GJ93" s="16"/>
      <c r="GK93" s="16"/>
      <c r="GL93" s="16"/>
      <c r="GM93" s="16"/>
      <c r="GN93" s="16"/>
      <c r="GO93" s="16"/>
      <c r="GP93" s="16"/>
      <c r="GQ93" s="16"/>
      <c r="GR93" s="16"/>
      <c r="GS93" s="16"/>
      <c r="GT93" s="16"/>
      <c r="GU93" s="16"/>
      <c r="GV93" s="16"/>
      <c r="GW93" s="16"/>
      <c r="GX93" s="16"/>
      <c r="GY93" s="16"/>
      <c r="GZ93" s="16"/>
      <c r="HA93" s="16"/>
      <c r="HB93" s="16"/>
      <c r="HC93" s="16"/>
      <c r="HD93" s="16"/>
      <c r="HE93" s="16"/>
      <c r="HF93" s="16"/>
      <c r="HG93" s="16"/>
      <c r="HH93" s="16"/>
      <c r="HI93" s="16"/>
      <c r="HJ93" s="16"/>
      <c r="HK93" s="16"/>
      <c r="HL93" s="16"/>
      <c r="HM93" s="16"/>
      <c r="HN93" s="16"/>
      <c r="HO93" s="16"/>
      <c r="HP93" s="16"/>
      <c r="HQ93" s="16"/>
      <c r="HR93" s="16"/>
      <c r="HS93" s="16"/>
      <c r="HT93" s="16"/>
      <c r="HU93" s="16"/>
      <c r="HV93" s="16"/>
      <c r="HW93" s="16"/>
      <c r="HX93" s="16"/>
      <c r="HY93" s="16"/>
      <c r="HZ93" s="16"/>
      <c r="IA93" s="16"/>
      <c r="IB93" s="16"/>
      <c r="IC93" s="16"/>
      <c r="ID93" s="16"/>
      <c r="IE93" s="16"/>
      <c r="IF93" s="16"/>
      <c r="IG93" s="16"/>
      <c r="IH93" s="16"/>
      <c r="II93" s="16"/>
      <c r="IJ93" s="16"/>
      <c r="IK93" s="16"/>
      <c r="IL93" s="16"/>
      <c r="IM93" s="16"/>
      <c r="IN93" s="16"/>
      <c r="IO93" s="16"/>
      <c r="IP93" s="16"/>
      <c r="IQ93" s="16"/>
      <c r="IR93" s="16"/>
      <c r="IS93" s="16"/>
      <c r="IT93" s="16"/>
    </row>
    <row r="94" spans="1:254" ht="12.75" customHeight="1">
      <c r="A94" s="18" t="s">
        <v>304</v>
      </c>
      <c r="B94" s="19" t="s">
        <v>305</v>
      </c>
      <c r="C94" s="20">
        <v>1448226.83</v>
      </c>
      <c r="D94" s="21">
        <v>1557010.2367000002</v>
      </c>
      <c r="E94" s="21">
        <v>1543727.2367000002</v>
      </c>
      <c r="F94" s="21">
        <v>1565533.9740800001</v>
      </c>
      <c r="G94" s="21">
        <v>1571187.2374299997</v>
      </c>
      <c r="H94" s="22">
        <f t="shared" si="9"/>
        <v>8.4904108170679109</v>
      </c>
      <c r="I94" s="23" t="str">
        <f t="shared" si="10"/>
        <v>ì</v>
      </c>
      <c r="J94" s="368" t="s">
        <v>509</v>
      </c>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c r="AV94" s="16"/>
      <c r="AW94" s="16"/>
      <c r="AX94" s="16"/>
      <c r="AY94" s="16"/>
      <c r="AZ94" s="16"/>
      <c r="BA94" s="16"/>
      <c r="BB94" s="16"/>
      <c r="BC94" s="16"/>
      <c r="BD94" s="16"/>
      <c r="BE94" s="16"/>
      <c r="BF94" s="16"/>
      <c r="BG94" s="16"/>
      <c r="BH94" s="16"/>
      <c r="BI94" s="16"/>
      <c r="BJ94" s="16"/>
      <c r="BK94" s="16"/>
      <c r="BL94" s="16"/>
      <c r="BM94" s="16"/>
      <c r="BN94" s="16"/>
      <c r="BO94" s="16"/>
      <c r="BP94" s="16"/>
      <c r="BQ94" s="16"/>
      <c r="BR94" s="16"/>
      <c r="BS94" s="16"/>
      <c r="BT94" s="16"/>
      <c r="BU94" s="16"/>
      <c r="BV94" s="16"/>
      <c r="BW94" s="16"/>
      <c r="BX94" s="16"/>
      <c r="BY94" s="16"/>
      <c r="BZ94" s="16"/>
      <c r="CA94" s="16"/>
      <c r="CB94" s="16"/>
      <c r="CC94" s="16"/>
      <c r="CD94" s="16"/>
      <c r="CE94" s="16"/>
      <c r="CF94" s="16"/>
      <c r="CG94" s="16"/>
      <c r="CH94" s="16"/>
      <c r="CI94" s="16"/>
      <c r="CJ94" s="16"/>
      <c r="CK94" s="16"/>
      <c r="CL94" s="16"/>
      <c r="CM94" s="16"/>
      <c r="CN94" s="16"/>
      <c r="CO94" s="16"/>
      <c r="CP94" s="16"/>
      <c r="CQ94" s="16"/>
      <c r="CR94" s="16"/>
      <c r="CS94" s="16"/>
      <c r="CT94" s="16"/>
      <c r="CU94" s="16"/>
      <c r="CV94" s="16"/>
      <c r="CW94" s="16"/>
      <c r="CX94" s="16"/>
      <c r="CY94" s="16"/>
      <c r="CZ94" s="16"/>
      <c r="DA94" s="16"/>
      <c r="DB94" s="16"/>
      <c r="DC94" s="16"/>
      <c r="DD94" s="16"/>
      <c r="DE94" s="16"/>
      <c r="DF94" s="16"/>
      <c r="DG94" s="16"/>
      <c r="DH94" s="16"/>
      <c r="DI94" s="16"/>
      <c r="DJ94" s="16"/>
      <c r="DK94" s="16"/>
      <c r="DL94" s="16"/>
      <c r="DM94" s="16"/>
      <c r="DN94" s="16"/>
      <c r="DO94" s="16"/>
      <c r="DP94" s="16"/>
      <c r="DQ94" s="16"/>
      <c r="DR94" s="16"/>
      <c r="DS94" s="16"/>
      <c r="DT94" s="16"/>
      <c r="DU94" s="16"/>
      <c r="DV94" s="16"/>
      <c r="DW94" s="16"/>
      <c r="DX94" s="16"/>
      <c r="DY94" s="16"/>
      <c r="DZ94" s="16"/>
      <c r="EA94" s="16"/>
      <c r="EB94" s="16"/>
      <c r="EC94" s="16"/>
      <c r="ED94" s="16"/>
      <c r="EE94" s="16"/>
      <c r="EF94" s="16"/>
      <c r="EG94" s="16"/>
      <c r="EH94" s="16"/>
      <c r="EI94" s="16"/>
      <c r="EJ94" s="16"/>
      <c r="EK94" s="16"/>
      <c r="EL94" s="16"/>
      <c r="EM94" s="16"/>
      <c r="EN94" s="16"/>
      <c r="EO94" s="16"/>
      <c r="EP94" s="16"/>
      <c r="EQ94" s="16"/>
      <c r="ER94" s="16"/>
      <c r="ES94" s="16"/>
      <c r="ET94" s="16"/>
      <c r="EU94" s="16"/>
      <c r="EV94" s="16"/>
      <c r="EW94" s="16"/>
      <c r="EX94" s="16"/>
      <c r="EY94" s="16"/>
      <c r="EZ94" s="16"/>
      <c r="FA94" s="16"/>
      <c r="FB94" s="16"/>
      <c r="FC94" s="16"/>
      <c r="FD94" s="16"/>
      <c r="FE94" s="16"/>
      <c r="FF94" s="16"/>
      <c r="FG94" s="16"/>
      <c r="FH94" s="16"/>
      <c r="FI94" s="16"/>
      <c r="FJ94" s="16"/>
      <c r="FK94" s="16"/>
      <c r="FL94" s="16"/>
      <c r="FM94" s="16"/>
      <c r="FN94" s="16"/>
      <c r="FO94" s="16"/>
      <c r="FP94" s="16"/>
      <c r="FQ94" s="16"/>
      <c r="FR94" s="16"/>
      <c r="FS94" s="16"/>
      <c r="FT94" s="16"/>
      <c r="FU94" s="16"/>
      <c r="FV94" s="16"/>
      <c r="FW94" s="16"/>
      <c r="FX94" s="16"/>
      <c r="FY94" s="16"/>
      <c r="FZ94" s="16"/>
      <c r="GA94" s="16"/>
      <c r="GB94" s="16"/>
      <c r="GC94" s="16"/>
      <c r="GD94" s="16"/>
      <c r="GE94" s="16"/>
      <c r="GF94" s="16"/>
      <c r="GG94" s="16"/>
      <c r="GH94" s="16"/>
      <c r="GI94" s="16"/>
      <c r="GJ94" s="16"/>
      <c r="GK94" s="16"/>
      <c r="GL94" s="16"/>
      <c r="GM94" s="16"/>
      <c r="GN94" s="16"/>
      <c r="GO94" s="16"/>
      <c r="GP94" s="16"/>
      <c r="GQ94" s="16"/>
      <c r="GR94" s="16"/>
      <c r="GS94" s="16"/>
      <c r="GT94" s="16"/>
      <c r="GU94" s="16"/>
      <c r="GV94" s="16"/>
      <c r="GW94" s="16"/>
      <c r="GX94" s="16"/>
      <c r="GY94" s="16"/>
      <c r="GZ94" s="16"/>
      <c r="HA94" s="16"/>
      <c r="HB94" s="16"/>
      <c r="HC94" s="16"/>
      <c r="HD94" s="16"/>
      <c r="HE94" s="16"/>
      <c r="HF94" s="16"/>
      <c r="HG94" s="16"/>
      <c r="HH94" s="16"/>
      <c r="HI94" s="16"/>
      <c r="HJ94" s="16"/>
      <c r="HK94" s="16"/>
      <c r="HL94" s="16"/>
      <c r="HM94" s="16"/>
      <c r="HN94" s="16"/>
      <c r="HO94" s="16"/>
      <c r="HP94" s="16"/>
      <c r="HQ94" s="16"/>
      <c r="HR94" s="16"/>
      <c r="HS94" s="16"/>
      <c r="HT94" s="16"/>
      <c r="HU94" s="16"/>
      <c r="HV94" s="16"/>
      <c r="HW94" s="16"/>
      <c r="HX94" s="16"/>
      <c r="HY94" s="16"/>
      <c r="HZ94" s="16"/>
      <c r="IA94" s="16"/>
      <c r="IB94" s="16"/>
      <c r="IC94" s="16"/>
      <c r="ID94" s="16"/>
      <c r="IE94" s="16"/>
      <c r="IF94" s="16"/>
      <c r="IG94" s="16"/>
      <c r="IH94" s="16"/>
      <c r="II94" s="16"/>
      <c r="IJ94" s="16"/>
      <c r="IK94" s="16"/>
      <c r="IL94" s="16"/>
      <c r="IM94" s="16"/>
      <c r="IN94" s="16"/>
      <c r="IO94" s="16"/>
      <c r="IP94" s="16"/>
      <c r="IQ94" s="16"/>
      <c r="IR94" s="16"/>
      <c r="IS94" s="16"/>
      <c r="IT94" s="16"/>
    </row>
    <row r="95" spans="1:254" ht="36">
      <c r="A95" s="26" t="s">
        <v>306</v>
      </c>
      <c r="B95" s="27" t="s">
        <v>307</v>
      </c>
      <c r="C95" s="28">
        <v>10628889.700000001</v>
      </c>
      <c r="D95" s="29">
        <v>11031725.648300001</v>
      </c>
      <c r="E95" s="29">
        <v>10861333.648300001</v>
      </c>
      <c r="F95" s="29">
        <v>11247263.087920001</v>
      </c>
      <c r="G95" s="29">
        <v>11409577.602070002</v>
      </c>
      <c r="H95" s="30">
        <f t="shared" si="9"/>
        <v>7.3449619302192986</v>
      </c>
      <c r="I95" s="115" t="str">
        <f t="shared" si="10"/>
        <v>ì</v>
      </c>
      <c r="J95" s="369" t="s">
        <v>555</v>
      </c>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c r="AV95" s="16"/>
      <c r="AW95" s="16"/>
      <c r="AX95" s="16"/>
      <c r="AY95" s="16"/>
      <c r="AZ95" s="16"/>
      <c r="BA95" s="16"/>
      <c r="BB95" s="16"/>
      <c r="BC95" s="16"/>
      <c r="BD95" s="16"/>
      <c r="BE95" s="16"/>
      <c r="BF95" s="16"/>
      <c r="BG95" s="16"/>
      <c r="BH95" s="16"/>
      <c r="BI95" s="16"/>
      <c r="BJ95" s="16"/>
      <c r="BK95" s="16"/>
      <c r="BL95" s="16"/>
      <c r="BM95" s="16"/>
      <c r="BN95" s="16"/>
      <c r="BO95" s="16"/>
      <c r="BP95" s="16"/>
      <c r="BQ95" s="16"/>
      <c r="BR95" s="16"/>
      <c r="BS95" s="16"/>
      <c r="BT95" s="16"/>
      <c r="BU95" s="16"/>
      <c r="BV95" s="16"/>
      <c r="BW95" s="16"/>
      <c r="BX95" s="16"/>
      <c r="BY95" s="16"/>
      <c r="BZ95" s="16"/>
      <c r="CA95" s="16"/>
      <c r="CB95" s="16"/>
      <c r="CC95" s="16"/>
      <c r="CD95" s="16"/>
      <c r="CE95" s="16"/>
      <c r="CF95" s="16"/>
      <c r="CG95" s="16"/>
      <c r="CH95" s="16"/>
      <c r="CI95" s="16"/>
      <c r="CJ95" s="16"/>
      <c r="CK95" s="16"/>
      <c r="CL95" s="16"/>
      <c r="CM95" s="16"/>
      <c r="CN95" s="16"/>
      <c r="CO95" s="16"/>
      <c r="CP95" s="16"/>
      <c r="CQ95" s="16"/>
      <c r="CR95" s="16"/>
      <c r="CS95" s="16"/>
      <c r="CT95" s="16"/>
      <c r="CU95" s="16"/>
      <c r="CV95" s="16"/>
      <c r="CW95" s="16"/>
      <c r="CX95" s="16"/>
      <c r="CY95" s="16"/>
      <c r="CZ95" s="16"/>
      <c r="DA95" s="16"/>
      <c r="DB95" s="16"/>
      <c r="DC95" s="16"/>
      <c r="DD95" s="16"/>
      <c r="DE95" s="16"/>
      <c r="DF95" s="16"/>
      <c r="DG95" s="16"/>
      <c r="DH95" s="16"/>
      <c r="DI95" s="16"/>
      <c r="DJ95" s="16"/>
      <c r="DK95" s="16"/>
      <c r="DL95" s="16"/>
      <c r="DM95" s="16"/>
      <c r="DN95" s="16"/>
      <c r="DO95" s="16"/>
      <c r="DP95" s="16"/>
      <c r="DQ95" s="16"/>
      <c r="DR95" s="16"/>
      <c r="DS95" s="16"/>
      <c r="DT95" s="16"/>
      <c r="DU95" s="16"/>
      <c r="DV95" s="16"/>
      <c r="DW95" s="16"/>
      <c r="DX95" s="16"/>
      <c r="DY95" s="16"/>
      <c r="DZ95" s="16"/>
      <c r="EA95" s="16"/>
      <c r="EB95" s="16"/>
      <c r="EC95" s="16"/>
      <c r="ED95" s="16"/>
      <c r="EE95" s="16"/>
      <c r="EF95" s="16"/>
      <c r="EG95" s="16"/>
      <c r="EH95" s="16"/>
      <c r="EI95" s="16"/>
      <c r="EJ95" s="16"/>
      <c r="EK95" s="16"/>
      <c r="EL95" s="16"/>
      <c r="EM95" s="16"/>
      <c r="EN95" s="16"/>
      <c r="EO95" s="16"/>
      <c r="EP95" s="16"/>
      <c r="EQ95" s="16"/>
      <c r="ER95" s="16"/>
      <c r="ES95" s="16"/>
      <c r="ET95" s="16"/>
      <c r="EU95" s="16"/>
      <c r="EV95" s="16"/>
      <c r="EW95" s="16"/>
      <c r="EX95" s="16"/>
      <c r="EY95" s="16"/>
      <c r="EZ95" s="16"/>
      <c r="FA95" s="16"/>
      <c r="FB95" s="16"/>
      <c r="FC95" s="16"/>
      <c r="FD95" s="16"/>
      <c r="FE95" s="16"/>
      <c r="FF95" s="16"/>
      <c r="FG95" s="16"/>
      <c r="FH95" s="16"/>
      <c r="FI95" s="16"/>
      <c r="FJ95" s="16"/>
      <c r="FK95" s="16"/>
      <c r="FL95" s="16"/>
      <c r="FM95" s="16"/>
      <c r="FN95" s="16"/>
      <c r="FO95" s="16"/>
      <c r="FP95" s="16"/>
      <c r="FQ95" s="16"/>
      <c r="FR95" s="16"/>
      <c r="FS95" s="16"/>
      <c r="FT95" s="16"/>
      <c r="FU95" s="16"/>
      <c r="FV95" s="16"/>
      <c r="FW95" s="16"/>
      <c r="FX95" s="16"/>
      <c r="FY95" s="16"/>
      <c r="FZ95" s="16"/>
      <c r="GA95" s="16"/>
      <c r="GB95" s="16"/>
      <c r="GC95" s="16"/>
      <c r="GD95" s="16"/>
      <c r="GE95" s="16"/>
      <c r="GF95" s="16"/>
      <c r="GG95" s="16"/>
      <c r="GH95" s="16"/>
      <c r="GI95" s="16"/>
      <c r="GJ95" s="16"/>
      <c r="GK95" s="16"/>
      <c r="GL95" s="16"/>
      <c r="GM95" s="16"/>
      <c r="GN95" s="16"/>
      <c r="GO95" s="16"/>
      <c r="GP95" s="16"/>
      <c r="GQ95" s="16"/>
      <c r="GR95" s="16"/>
      <c r="GS95" s="16"/>
      <c r="GT95" s="16"/>
      <c r="GU95" s="16"/>
      <c r="GV95" s="16"/>
      <c r="GW95" s="16"/>
      <c r="GX95" s="16"/>
      <c r="GY95" s="16"/>
      <c r="GZ95" s="16"/>
      <c r="HA95" s="16"/>
      <c r="HB95" s="16"/>
      <c r="HC95" s="16"/>
      <c r="HD95" s="16"/>
      <c r="HE95" s="16"/>
      <c r="HF95" s="16"/>
      <c r="HG95" s="16"/>
      <c r="HH95" s="16"/>
      <c r="HI95" s="16"/>
      <c r="HJ95" s="16"/>
      <c r="HK95" s="16"/>
      <c r="HL95" s="16"/>
      <c r="HM95" s="16"/>
      <c r="HN95" s="16"/>
      <c r="HO95" s="16"/>
      <c r="HP95" s="16"/>
      <c r="HQ95" s="16"/>
      <c r="HR95" s="16"/>
      <c r="HS95" s="16"/>
      <c r="HT95" s="16"/>
      <c r="HU95" s="16"/>
      <c r="HV95" s="16"/>
      <c r="HW95" s="16"/>
      <c r="HX95" s="16"/>
      <c r="HY95" s="16"/>
      <c r="HZ95" s="16"/>
      <c r="IA95" s="16"/>
      <c r="IB95" s="16"/>
      <c r="IC95" s="16"/>
      <c r="ID95" s="16"/>
      <c r="IE95" s="16"/>
      <c r="IF95" s="16"/>
      <c r="IG95" s="16"/>
      <c r="IH95" s="16"/>
      <c r="II95" s="16"/>
      <c r="IJ95" s="16"/>
      <c r="IK95" s="16"/>
      <c r="IL95" s="16"/>
      <c r="IM95" s="16"/>
      <c r="IN95" s="16"/>
      <c r="IO95" s="16"/>
      <c r="IP95" s="16"/>
      <c r="IQ95" s="16"/>
      <c r="IR95" s="16"/>
      <c r="IS95" s="16"/>
      <c r="IT95" s="16"/>
    </row>
    <row r="96" spans="1:254" ht="36">
      <c r="A96" s="18" t="s">
        <v>308</v>
      </c>
      <c r="B96" s="19" t="s">
        <v>309</v>
      </c>
      <c r="C96" s="20">
        <v>844195.76</v>
      </c>
      <c r="D96" s="21">
        <v>732833.12450000015</v>
      </c>
      <c r="E96" s="21">
        <v>632833.12450000015</v>
      </c>
      <c r="F96" s="21">
        <v>640703.03480000002</v>
      </c>
      <c r="G96" s="21">
        <v>643513.71705000009</v>
      </c>
      <c r="H96" s="22">
        <f t="shared" si="9"/>
        <v>-23.771979493239797</v>
      </c>
      <c r="I96" s="23" t="str">
        <f t="shared" si="10"/>
        <v>î</v>
      </c>
      <c r="J96" s="368" t="s">
        <v>510</v>
      </c>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c r="AV96" s="16"/>
      <c r="AW96" s="16"/>
      <c r="AX96" s="16"/>
      <c r="AY96" s="16"/>
      <c r="AZ96" s="16"/>
      <c r="BA96" s="16"/>
      <c r="BB96" s="16"/>
      <c r="BC96" s="16"/>
      <c r="BD96" s="16"/>
      <c r="BE96" s="16"/>
      <c r="BF96" s="16"/>
      <c r="BG96" s="16"/>
      <c r="BH96" s="16"/>
      <c r="BI96" s="16"/>
      <c r="BJ96" s="16"/>
      <c r="BK96" s="16"/>
      <c r="BL96" s="16"/>
      <c r="BM96" s="16"/>
      <c r="BN96" s="16"/>
      <c r="BO96" s="16"/>
      <c r="BP96" s="16"/>
      <c r="BQ96" s="16"/>
      <c r="BR96" s="16"/>
      <c r="BS96" s="16"/>
      <c r="BT96" s="16"/>
      <c r="BU96" s="16"/>
      <c r="BV96" s="16"/>
      <c r="BW96" s="16"/>
      <c r="BX96" s="16"/>
      <c r="BY96" s="16"/>
      <c r="BZ96" s="16"/>
      <c r="CA96" s="16"/>
      <c r="CB96" s="16"/>
      <c r="CC96" s="16"/>
      <c r="CD96" s="16"/>
      <c r="CE96" s="16"/>
      <c r="CF96" s="16"/>
      <c r="CG96" s="16"/>
      <c r="CH96" s="16"/>
      <c r="CI96" s="16"/>
      <c r="CJ96" s="16"/>
      <c r="CK96" s="16"/>
      <c r="CL96" s="16"/>
      <c r="CM96" s="16"/>
      <c r="CN96" s="16"/>
      <c r="CO96" s="16"/>
      <c r="CP96" s="16"/>
      <c r="CQ96" s="16"/>
      <c r="CR96" s="16"/>
      <c r="CS96" s="16"/>
      <c r="CT96" s="16"/>
      <c r="CU96" s="16"/>
      <c r="CV96" s="16"/>
      <c r="CW96" s="16"/>
      <c r="CX96" s="16"/>
      <c r="CY96" s="16"/>
      <c r="CZ96" s="16"/>
      <c r="DA96" s="16"/>
      <c r="DB96" s="16"/>
      <c r="DC96" s="16"/>
      <c r="DD96" s="16"/>
      <c r="DE96" s="16"/>
      <c r="DF96" s="16"/>
      <c r="DG96" s="16"/>
      <c r="DH96" s="16"/>
      <c r="DI96" s="16"/>
      <c r="DJ96" s="16"/>
      <c r="DK96" s="16"/>
      <c r="DL96" s="16"/>
      <c r="DM96" s="16"/>
      <c r="DN96" s="16"/>
      <c r="DO96" s="16"/>
      <c r="DP96" s="16"/>
      <c r="DQ96" s="16"/>
      <c r="DR96" s="16"/>
      <c r="DS96" s="16"/>
      <c r="DT96" s="16"/>
      <c r="DU96" s="16"/>
      <c r="DV96" s="16"/>
      <c r="DW96" s="16"/>
      <c r="DX96" s="16"/>
      <c r="DY96" s="16"/>
      <c r="DZ96" s="16"/>
      <c r="EA96" s="16"/>
      <c r="EB96" s="16"/>
      <c r="EC96" s="16"/>
      <c r="ED96" s="16"/>
      <c r="EE96" s="16"/>
      <c r="EF96" s="16"/>
      <c r="EG96" s="16"/>
      <c r="EH96" s="16"/>
      <c r="EI96" s="16"/>
      <c r="EJ96" s="16"/>
      <c r="EK96" s="16"/>
      <c r="EL96" s="16"/>
      <c r="EM96" s="16"/>
      <c r="EN96" s="16"/>
      <c r="EO96" s="16"/>
      <c r="EP96" s="16"/>
      <c r="EQ96" s="16"/>
      <c r="ER96" s="16"/>
      <c r="ES96" s="16"/>
      <c r="ET96" s="16"/>
      <c r="EU96" s="16"/>
      <c r="EV96" s="16"/>
      <c r="EW96" s="16"/>
      <c r="EX96" s="16"/>
      <c r="EY96" s="16"/>
      <c r="EZ96" s="16"/>
      <c r="FA96" s="16"/>
      <c r="FB96" s="16"/>
      <c r="FC96" s="16"/>
      <c r="FD96" s="16"/>
      <c r="FE96" s="16"/>
      <c r="FF96" s="16"/>
      <c r="FG96" s="16"/>
      <c r="FH96" s="16"/>
      <c r="FI96" s="16"/>
      <c r="FJ96" s="16"/>
      <c r="FK96" s="16"/>
      <c r="FL96" s="16"/>
      <c r="FM96" s="16"/>
      <c r="FN96" s="16"/>
      <c r="FO96" s="16"/>
      <c r="FP96" s="16"/>
      <c r="FQ96" s="16"/>
      <c r="FR96" s="16"/>
      <c r="FS96" s="16"/>
      <c r="FT96" s="16"/>
      <c r="FU96" s="16"/>
      <c r="FV96" s="16"/>
      <c r="FW96" s="16"/>
      <c r="FX96" s="16"/>
      <c r="FY96" s="16"/>
      <c r="FZ96" s="16"/>
      <c r="GA96" s="16"/>
      <c r="GB96" s="16"/>
      <c r="GC96" s="16"/>
      <c r="GD96" s="16"/>
      <c r="GE96" s="16"/>
      <c r="GF96" s="16"/>
      <c r="GG96" s="16"/>
      <c r="GH96" s="16"/>
      <c r="GI96" s="16"/>
      <c r="GJ96" s="16"/>
      <c r="GK96" s="16"/>
      <c r="GL96" s="16"/>
      <c r="GM96" s="16"/>
      <c r="GN96" s="16"/>
      <c r="GO96" s="16"/>
      <c r="GP96" s="16"/>
      <c r="GQ96" s="16"/>
      <c r="GR96" s="16"/>
      <c r="GS96" s="16"/>
      <c r="GT96" s="16"/>
      <c r="GU96" s="16"/>
      <c r="GV96" s="16"/>
      <c r="GW96" s="16"/>
      <c r="GX96" s="16"/>
      <c r="GY96" s="16"/>
      <c r="GZ96" s="16"/>
      <c r="HA96" s="16"/>
      <c r="HB96" s="16"/>
      <c r="HC96" s="16"/>
      <c r="HD96" s="16"/>
      <c r="HE96" s="16"/>
      <c r="HF96" s="16"/>
      <c r="HG96" s="16"/>
      <c r="HH96" s="16"/>
      <c r="HI96" s="16"/>
      <c r="HJ96" s="16"/>
      <c r="HK96" s="16"/>
      <c r="HL96" s="16"/>
      <c r="HM96" s="16"/>
      <c r="HN96" s="16"/>
      <c r="HO96" s="16"/>
      <c r="HP96" s="16"/>
      <c r="HQ96" s="16"/>
      <c r="HR96" s="16"/>
      <c r="HS96" s="16"/>
      <c r="HT96" s="16"/>
      <c r="HU96" s="16"/>
      <c r="HV96" s="16"/>
      <c r="HW96" s="16"/>
      <c r="HX96" s="16"/>
      <c r="HY96" s="16"/>
      <c r="HZ96" s="16"/>
      <c r="IA96" s="16"/>
      <c r="IB96" s="16"/>
      <c r="IC96" s="16"/>
      <c r="ID96" s="16"/>
      <c r="IE96" s="16"/>
      <c r="IF96" s="16"/>
      <c r="IG96" s="16"/>
      <c r="IH96" s="16"/>
      <c r="II96" s="16"/>
      <c r="IJ96" s="16"/>
      <c r="IK96" s="16"/>
      <c r="IL96" s="16"/>
      <c r="IM96" s="16"/>
      <c r="IN96" s="16"/>
      <c r="IO96" s="16"/>
      <c r="IP96" s="16"/>
      <c r="IQ96" s="16"/>
      <c r="IR96" s="16"/>
      <c r="IS96" s="16"/>
      <c r="IT96" s="16"/>
    </row>
    <row r="97" spans="1:254" ht="48">
      <c r="A97" s="26" t="s">
        <v>310</v>
      </c>
      <c r="B97" s="27" t="s">
        <v>311</v>
      </c>
      <c r="C97" s="28">
        <v>4327336.419999999</v>
      </c>
      <c r="D97" s="29">
        <v>4627620.575199998</v>
      </c>
      <c r="E97" s="29">
        <v>4585264.575199998</v>
      </c>
      <c r="F97" s="29">
        <v>4708838.648479999</v>
      </c>
      <c r="G97" s="29">
        <v>4793221.746079999</v>
      </c>
      <c r="H97" s="30">
        <f t="shared" si="9"/>
        <v>10.766099070245147</v>
      </c>
      <c r="I97" s="115" t="str">
        <f t="shared" si="10"/>
        <v>ì</v>
      </c>
      <c r="J97" s="369" t="s">
        <v>511</v>
      </c>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c r="AS97" s="16"/>
      <c r="AT97" s="16"/>
      <c r="AU97" s="16"/>
      <c r="AV97" s="16"/>
      <c r="AW97" s="16"/>
      <c r="AX97" s="16"/>
      <c r="AY97" s="16"/>
      <c r="AZ97" s="16"/>
      <c r="BA97" s="16"/>
      <c r="BB97" s="16"/>
      <c r="BC97" s="16"/>
      <c r="BD97" s="16"/>
      <c r="BE97" s="16"/>
      <c r="BF97" s="16"/>
      <c r="BG97" s="16"/>
      <c r="BH97" s="16"/>
      <c r="BI97" s="16"/>
      <c r="BJ97" s="16"/>
      <c r="BK97" s="16"/>
      <c r="BL97" s="16"/>
      <c r="BM97" s="16"/>
      <c r="BN97" s="16"/>
      <c r="BO97" s="16"/>
      <c r="BP97" s="16"/>
      <c r="BQ97" s="16"/>
      <c r="BR97" s="16"/>
      <c r="BS97" s="16"/>
      <c r="BT97" s="16"/>
      <c r="BU97" s="16"/>
      <c r="BV97" s="16"/>
      <c r="BW97" s="16"/>
      <c r="BX97" s="16"/>
      <c r="BY97" s="16"/>
      <c r="BZ97" s="16"/>
      <c r="CA97" s="16"/>
      <c r="CB97" s="16"/>
      <c r="CC97" s="16"/>
      <c r="CD97" s="16"/>
      <c r="CE97" s="16"/>
      <c r="CF97" s="16"/>
      <c r="CG97" s="16"/>
      <c r="CH97" s="16"/>
      <c r="CI97" s="16"/>
      <c r="CJ97" s="16"/>
      <c r="CK97" s="16"/>
      <c r="CL97" s="16"/>
      <c r="CM97" s="16"/>
      <c r="CN97" s="16"/>
      <c r="CO97" s="16"/>
      <c r="CP97" s="16"/>
      <c r="CQ97" s="16"/>
      <c r="CR97" s="16"/>
      <c r="CS97" s="16"/>
      <c r="CT97" s="16"/>
      <c r="CU97" s="16"/>
      <c r="CV97" s="16"/>
      <c r="CW97" s="16"/>
      <c r="CX97" s="16"/>
      <c r="CY97" s="16"/>
      <c r="CZ97" s="16"/>
      <c r="DA97" s="16"/>
      <c r="DB97" s="16"/>
      <c r="DC97" s="16"/>
      <c r="DD97" s="16"/>
      <c r="DE97" s="16"/>
      <c r="DF97" s="16"/>
      <c r="DG97" s="16"/>
      <c r="DH97" s="16"/>
      <c r="DI97" s="16"/>
      <c r="DJ97" s="16"/>
      <c r="DK97" s="16"/>
      <c r="DL97" s="16"/>
      <c r="DM97" s="16"/>
      <c r="DN97" s="16"/>
      <c r="DO97" s="16"/>
      <c r="DP97" s="16"/>
      <c r="DQ97" s="16"/>
      <c r="DR97" s="16"/>
      <c r="DS97" s="16"/>
      <c r="DT97" s="16"/>
      <c r="DU97" s="16"/>
      <c r="DV97" s="16"/>
      <c r="DW97" s="16"/>
      <c r="DX97" s="16"/>
      <c r="DY97" s="16"/>
      <c r="DZ97" s="16"/>
      <c r="EA97" s="16"/>
      <c r="EB97" s="16"/>
      <c r="EC97" s="16"/>
      <c r="ED97" s="16"/>
      <c r="EE97" s="16"/>
      <c r="EF97" s="16"/>
      <c r="EG97" s="16"/>
      <c r="EH97" s="16"/>
      <c r="EI97" s="16"/>
      <c r="EJ97" s="16"/>
      <c r="EK97" s="16"/>
      <c r="EL97" s="16"/>
      <c r="EM97" s="16"/>
      <c r="EN97" s="16"/>
      <c r="EO97" s="16"/>
      <c r="EP97" s="16"/>
      <c r="EQ97" s="16"/>
      <c r="ER97" s="16"/>
      <c r="ES97" s="16"/>
      <c r="ET97" s="16"/>
      <c r="EU97" s="16"/>
      <c r="EV97" s="16"/>
      <c r="EW97" s="16"/>
      <c r="EX97" s="16"/>
      <c r="EY97" s="16"/>
      <c r="EZ97" s="16"/>
      <c r="FA97" s="16"/>
      <c r="FB97" s="16"/>
      <c r="FC97" s="16"/>
      <c r="FD97" s="16"/>
      <c r="FE97" s="16"/>
      <c r="FF97" s="16"/>
      <c r="FG97" s="16"/>
      <c r="FH97" s="16"/>
      <c r="FI97" s="16"/>
      <c r="FJ97" s="16"/>
      <c r="FK97" s="16"/>
      <c r="FL97" s="16"/>
      <c r="FM97" s="16"/>
      <c r="FN97" s="16"/>
      <c r="FO97" s="16"/>
      <c r="FP97" s="16"/>
      <c r="FQ97" s="16"/>
      <c r="FR97" s="16"/>
      <c r="FS97" s="16"/>
      <c r="FT97" s="16"/>
      <c r="FU97" s="16"/>
      <c r="FV97" s="16"/>
      <c r="FW97" s="16"/>
      <c r="FX97" s="16"/>
      <c r="FY97" s="16"/>
      <c r="FZ97" s="16"/>
      <c r="GA97" s="16"/>
      <c r="GB97" s="16"/>
      <c r="GC97" s="16"/>
      <c r="GD97" s="16"/>
      <c r="GE97" s="16"/>
      <c r="GF97" s="16"/>
      <c r="GG97" s="16"/>
      <c r="GH97" s="16"/>
      <c r="GI97" s="16"/>
      <c r="GJ97" s="16"/>
      <c r="GK97" s="16"/>
      <c r="GL97" s="16"/>
      <c r="GM97" s="16"/>
      <c r="GN97" s="16"/>
      <c r="GO97" s="16"/>
      <c r="GP97" s="16"/>
      <c r="GQ97" s="16"/>
      <c r="GR97" s="16"/>
      <c r="GS97" s="16"/>
      <c r="GT97" s="16"/>
      <c r="GU97" s="16"/>
      <c r="GV97" s="16"/>
      <c r="GW97" s="16"/>
      <c r="GX97" s="16"/>
      <c r="GY97" s="16"/>
      <c r="GZ97" s="16"/>
      <c r="HA97" s="16"/>
      <c r="HB97" s="16"/>
      <c r="HC97" s="16"/>
      <c r="HD97" s="16"/>
      <c r="HE97" s="16"/>
      <c r="HF97" s="16"/>
      <c r="HG97" s="16"/>
      <c r="HH97" s="16"/>
      <c r="HI97" s="16"/>
      <c r="HJ97" s="16"/>
      <c r="HK97" s="16"/>
      <c r="HL97" s="16"/>
      <c r="HM97" s="16"/>
      <c r="HN97" s="16"/>
      <c r="HO97" s="16"/>
      <c r="HP97" s="16"/>
      <c r="HQ97" s="16"/>
      <c r="HR97" s="16"/>
      <c r="HS97" s="16"/>
      <c r="HT97" s="16"/>
      <c r="HU97" s="16"/>
      <c r="HV97" s="16"/>
      <c r="HW97" s="16"/>
      <c r="HX97" s="16"/>
      <c r="HY97" s="16"/>
      <c r="HZ97" s="16"/>
      <c r="IA97" s="16"/>
      <c r="IB97" s="16"/>
      <c r="IC97" s="16"/>
      <c r="ID97" s="16"/>
      <c r="IE97" s="16"/>
      <c r="IF97" s="16"/>
      <c r="IG97" s="16"/>
      <c r="IH97" s="16"/>
      <c r="II97" s="16"/>
      <c r="IJ97" s="16"/>
      <c r="IK97" s="16"/>
      <c r="IL97" s="16"/>
      <c r="IM97" s="16"/>
      <c r="IN97" s="16"/>
      <c r="IO97" s="16"/>
      <c r="IP97" s="16"/>
      <c r="IQ97" s="16"/>
      <c r="IR97" s="16"/>
      <c r="IS97" s="16"/>
      <c r="IT97" s="16"/>
    </row>
    <row r="98" spans="1:254" ht="24">
      <c r="A98" s="18" t="s">
        <v>313</v>
      </c>
      <c r="B98" s="19" t="s">
        <v>314</v>
      </c>
      <c r="C98" s="20">
        <v>1441632.6700000004</v>
      </c>
      <c r="D98" s="21">
        <v>1575500</v>
      </c>
      <c r="E98" s="21">
        <v>1422400</v>
      </c>
      <c r="F98" s="21">
        <v>1457333.1840000004</v>
      </c>
      <c r="G98" s="21">
        <v>1558496.6859999998</v>
      </c>
      <c r="H98" s="22">
        <f t="shared" si="9"/>
        <v>8.1063656805168876</v>
      </c>
      <c r="I98" s="23" t="str">
        <f t="shared" si="10"/>
        <v>ì</v>
      </c>
      <c r="J98" s="368" t="s">
        <v>512</v>
      </c>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c r="AV98" s="16"/>
      <c r="AW98" s="16"/>
      <c r="AX98" s="16"/>
      <c r="AY98" s="16"/>
      <c r="AZ98" s="16"/>
      <c r="BA98" s="16"/>
      <c r="BB98" s="16"/>
      <c r="BC98" s="16"/>
      <c r="BD98" s="16"/>
      <c r="BE98" s="16"/>
      <c r="BF98" s="16"/>
      <c r="BG98" s="16"/>
      <c r="BH98" s="16"/>
      <c r="BI98" s="16"/>
      <c r="BJ98" s="16"/>
      <c r="BK98" s="16"/>
      <c r="BL98" s="16"/>
      <c r="BM98" s="16"/>
      <c r="BN98" s="16"/>
      <c r="BO98" s="16"/>
      <c r="BP98" s="16"/>
      <c r="BQ98" s="16"/>
      <c r="BR98" s="16"/>
      <c r="BS98" s="16"/>
      <c r="BT98" s="16"/>
      <c r="BU98" s="16"/>
      <c r="BV98" s="16"/>
      <c r="BW98" s="16"/>
      <c r="BX98" s="16"/>
      <c r="BY98" s="16"/>
      <c r="BZ98" s="16"/>
      <c r="CA98" s="16"/>
      <c r="CB98" s="16"/>
      <c r="CC98" s="16"/>
      <c r="CD98" s="16"/>
      <c r="CE98" s="16"/>
      <c r="CF98" s="16"/>
      <c r="CG98" s="16"/>
      <c r="CH98" s="16"/>
      <c r="CI98" s="16"/>
      <c r="CJ98" s="16"/>
      <c r="CK98" s="16"/>
      <c r="CL98" s="16"/>
      <c r="CM98" s="16"/>
      <c r="CN98" s="16"/>
      <c r="CO98" s="16"/>
      <c r="CP98" s="16"/>
      <c r="CQ98" s="16"/>
      <c r="CR98" s="16"/>
      <c r="CS98" s="16"/>
      <c r="CT98" s="16"/>
      <c r="CU98" s="16"/>
      <c r="CV98" s="16"/>
      <c r="CW98" s="16"/>
      <c r="CX98" s="16"/>
      <c r="CY98" s="16"/>
      <c r="CZ98" s="16"/>
      <c r="DA98" s="16"/>
      <c r="DB98" s="16"/>
      <c r="DC98" s="16"/>
      <c r="DD98" s="16"/>
      <c r="DE98" s="16"/>
      <c r="DF98" s="16"/>
      <c r="DG98" s="16"/>
      <c r="DH98" s="16"/>
      <c r="DI98" s="16"/>
      <c r="DJ98" s="16"/>
      <c r="DK98" s="16"/>
      <c r="DL98" s="16"/>
      <c r="DM98" s="16"/>
      <c r="DN98" s="16"/>
      <c r="DO98" s="16"/>
      <c r="DP98" s="16"/>
      <c r="DQ98" s="16"/>
      <c r="DR98" s="16"/>
      <c r="DS98" s="16"/>
      <c r="DT98" s="16"/>
      <c r="DU98" s="16"/>
      <c r="DV98" s="16"/>
      <c r="DW98" s="16"/>
      <c r="DX98" s="16"/>
      <c r="DY98" s="16"/>
      <c r="DZ98" s="16"/>
      <c r="EA98" s="16"/>
      <c r="EB98" s="16"/>
      <c r="EC98" s="16"/>
      <c r="ED98" s="16"/>
      <c r="EE98" s="16"/>
      <c r="EF98" s="16"/>
      <c r="EG98" s="16"/>
      <c r="EH98" s="16"/>
      <c r="EI98" s="16"/>
      <c r="EJ98" s="16"/>
      <c r="EK98" s="16"/>
      <c r="EL98" s="16"/>
      <c r="EM98" s="16"/>
      <c r="EN98" s="16"/>
      <c r="EO98" s="16"/>
      <c r="EP98" s="16"/>
      <c r="EQ98" s="16"/>
      <c r="ER98" s="16"/>
      <c r="ES98" s="16"/>
      <c r="ET98" s="16"/>
      <c r="EU98" s="16"/>
      <c r="EV98" s="16"/>
      <c r="EW98" s="16"/>
      <c r="EX98" s="16"/>
      <c r="EY98" s="16"/>
      <c r="EZ98" s="16"/>
      <c r="FA98" s="16"/>
      <c r="FB98" s="16"/>
      <c r="FC98" s="16"/>
      <c r="FD98" s="16"/>
      <c r="FE98" s="16"/>
      <c r="FF98" s="16"/>
      <c r="FG98" s="16"/>
      <c r="FH98" s="16"/>
      <c r="FI98" s="16"/>
      <c r="FJ98" s="16"/>
      <c r="FK98" s="16"/>
      <c r="FL98" s="16"/>
      <c r="FM98" s="16"/>
      <c r="FN98" s="16"/>
      <c r="FO98" s="16"/>
      <c r="FP98" s="16"/>
      <c r="FQ98" s="16"/>
      <c r="FR98" s="16"/>
      <c r="FS98" s="16"/>
      <c r="FT98" s="16"/>
      <c r="FU98" s="16"/>
      <c r="FV98" s="16"/>
      <c r="FW98" s="16"/>
      <c r="FX98" s="16"/>
      <c r="FY98" s="16"/>
      <c r="FZ98" s="16"/>
      <c r="GA98" s="16"/>
      <c r="GB98" s="16"/>
      <c r="GC98" s="16"/>
      <c r="GD98" s="16"/>
      <c r="GE98" s="16"/>
      <c r="GF98" s="16"/>
      <c r="GG98" s="16"/>
      <c r="GH98" s="16"/>
      <c r="GI98" s="16"/>
      <c r="GJ98" s="16"/>
      <c r="GK98" s="16"/>
      <c r="GL98" s="16"/>
      <c r="GM98" s="16"/>
      <c r="GN98" s="16"/>
      <c r="GO98" s="16"/>
      <c r="GP98" s="16"/>
      <c r="GQ98" s="16"/>
      <c r="GR98" s="16"/>
      <c r="GS98" s="16"/>
      <c r="GT98" s="16"/>
      <c r="GU98" s="16"/>
      <c r="GV98" s="16"/>
      <c r="GW98" s="16"/>
      <c r="GX98" s="16"/>
      <c r="GY98" s="16"/>
      <c r="GZ98" s="16"/>
      <c r="HA98" s="16"/>
      <c r="HB98" s="16"/>
      <c r="HC98" s="16"/>
      <c r="HD98" s="16"/>
      <c r="HE98" s="16"/>
      <c r="HF98" s="16"/>
      <c r="HG98" s="16"/>
      <c r="HH98" s="16"/>
      <c r="HI98" s="16"/>
      <c r="HJ98" s="16"/>
      <c r="HK98" s="16"/>
      <c r="HL98" s="16"/>
      <c r="HM98" s="16"/>
      <c r="HN98" s="16"/>
      <c r="HO98" s="16"/>
      <c r="HP98" s="16"/>
      <c r="HQ98" s="16"/>
      <c r="HR98" s="16"/>
      <c r="HS98" s="16"/>
      <c r="HT98" s="16"/>
      <c r="HU98" s="16"/>
      <c r="HV98" s="16"/>
      <c r="HW98" s="16"/>
      <c r="HX98" s="16"/>
      <c r="HY98" s="16"/>
      <c r="HZ98" s="16"/>
      <c r="IA98" s="16"/>
      <c r="IB98" s="16"/>
      <c r="IC98" s="16"/>
      <c r="ID98" s="16"/>
      <c r="IE98" s="16"/>
      <c r="IF98" s="16"/>
      <c r="IG98" s="16"/>
      <c r="IH98" s="16"/>
      <c r="II98" s="16"/>
      <c r="IJ98" s="16"/>
      <c r="IK98" s="16"/>
      <c r="IL98" s="16"/>
      <c r="IM98" s="16"/>
      <c r="IN98" s="16"/>
      <c r="IO98" s="16"/>
      <c r="IP98" s="16"/>
      <c r="IQ98" s="16"/>
      <c r="IR98" s="16"/>
      <c r="IS98" s="16"/>
      <c r="IT98" s="16"/>
    </row>
    <row r="99" spans="1:254" ht="48">
      <c r="A99" s="26" t="s">
        <v>315</v>
      </c>
      <c r="B99" s="27" t="s">
        <v>316</v>
      </c>
      <c r="C99" s="28">
        <v>4377384.1400000006</v>
      </c>
      <c r="D99" s="29">
        <v>4498664.1557999998</v>
      </c>
      <c r="E99" s="29">
        <v>4448206.4258000003</v>
      </c>
      <c r="F99" s="29">
        <v>4353103.63992</v>
      </c>
      <c r="G99" s="29">
        <v>4422873.4628199991</v>
      </c>
      <c r="H99" s="30">
        <f t="shared" si="9"/>
        <v>1.0391896476327673</v>
      </c>
      <c r="I99" s="115" t="str">
        <f t="shared" si="10"/>
        <v>è</v>
      </c>
      <c r="J99" s="369" t="s">
        <v>556</v>
      </c>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c r="AV99" s="16"/>
      <c r="AW99" s="16"/>
      <c r="AX99" s="16"/>
      <c r="AY99" s="16"/>
      <c r="AZ99" s="16"/>
      <c r="BA99" s="16"/>
      <c r="BB99" s="16"/>
      <c r="BC99" s="16"/>
      <c r="BD99" s="16"/>
      <c r="BE99" s="16"/>
      <c r="BF99" s="16"/>
      <c r="BG99" s="16"/>
      <c r="BH99" s="16"/>
      <c r="BI99" s="16"/>
      <c r="BJ99" s="16"/>
      <c r="BK99" s="16"/>
      <c r="BL99" s="16"/>
      <c r="BM99" s="16"/>
      <c r="BN99" s="16"/>
      <c r="BO99" s="16"/>
      <c r="BP99" s="16"/>
      <c r="BQ99" s="16"/>
      <c r="BR99" s="16"/>
      <c r="BS99" s="16"/>
      <c r="BT99" s="16"/>
      <c r="BU99" s="16"/>
      <c r="BV99" s="16"/>
      <c r="BW99" s="16"/>
      <c r="BX99" s="16"/>
      <c r="BY99" s="16"/>
      <c r="BZ99" s="16"/>
      <c r="CA99" s="16"/>
      <c r="CB99" s="16"/>
      <c r="CC99" s="16"/>
      <c r="CD99" s="16"/>
      <c r="CE99" s="16"/>
      <c r="CF99" s="16"/>
      <c r="CG99" s="16"/>
      <c r="CH99" s="16"/>
      <c r="CI99" s="16"/>
      <c r="CJ99" s="16"/>
      <c r="CK99" s="16"/>
      <c r="CL99" s="16"/>
      <c r="CM99" s="16"/>
      <c r="CN99" s="16"/>
      <c r="CO99" s="16"/>
      <c r="CP99" s="16"/>
      <c r="CQ99" s="16"/>
      <c r="CR99" s="16"/>
      <c r="CS99" s="16"/>
      <c r="CT99" s="16"/>
      <c r="CU99" s="16"/>
      <c r="CV99" s="16"/>
      <c r="CW99" s="16"/>
      <c r="CX99" s="16"/>
      <c r="CY99" s="16"/>
      <c r="CZ99" s="16"/>
      <c r="DA99" s="16"/>
      <c r="DB99" s="16"/>
      <c r="DC99" s="16"/>
      <c r="DD99" s="16"/>
      <c r="DE99" s="16"/>
      <c r="DF99" s="16"/>
      <c r="DG99" s="16"/>
      <c r="DH99" s="16"/>
      <c r="DI99" s="16"/>
      <c r="DJ99" s="16"/>
      <c r="DK99" s="16"/>
      <c r="DL99" s="16"/>
      <c r="DM99" s="16"/>
      <c r="DN99" s="16"/>
      <c r="DO99" s="16"/>
      <c r="DP99" s="16"/>
      <c r="DQ99" s="16"/>
      <c r="DR99" s="16"/>
      <c r="DS99" s="16"/>
      <c r="DT99" s="16"/>
      <c r="DU99" s="16"/>
      <c r="DV99" s="16"/>
      <c r="DW99" s="16"/>
      <c r="DX99" s="16"/>
      <c r="DY99" s="16"/>
      <c r="DZ99" s="16"/>
      <c r="EA99" s="16"/>
      <c r="EB99" s="16"/>
      <c r="EC99" s="16"/>
      <c r="ED99" s="16"/>
      <c r="EE99" s="16"/>
      <c r="EF99" s="16"/>
      <c r="EG99" s="16"/>
      <c r="EH99" s="16"/>
      <c r="EI99" s="16"/>
      <c r="EJ99" s="16"/>
      <c r="EK99" s="16"/>
      <c r="EL99" s="16"/>
      <c r="EM99" s="16"/>
      <c r="EN99" s="16"/>
      <c r="EO99" s="16"/>
      <c r="EP99" s="16"/>
      <c r="EQ99" s="16"/>
      <c r="ER99" s="16"/>
      <c r="ES99" s="16"/>
      <c r="ET99" s="16"/>
      <c r="EU99" s="16"/>
      <c r="EV99" s="16"/>
      <c r="EW99" s="16"/>
      <c r="EX99" s="16"/>
      <c r="EY99" s="16"/>
      <c r="EZ99" s="16"/>
      <c r="FA99" s="16"/>
      <c r="FB99" s="16"/>
      <c r="FC99" s="16"/>
      <c r="FD99" s="16"/>
      <c r="FE99" s="16"/>
      <c r="FF99" s="16"/>
      <c r="FG99" s="16"/>
      <c r="FH99" s="16"/>
      <c r="FI99" s="16"/>
      <c r="FJ99" s="16"/>
      <c r="FK99" s="16"/>
      <c r="FL99" s="16"/>
      <c r="FM99" s="16"/>
      <c r="FN99" s="16"/>
      <c r="FO99" s="16"/>
      <c r="FP99" s="16"/>
      <c r="FQ99" s="16"/>
      <c r="FR99" s="16"/>
      <c r="FS99" s="16"/>
      <c r="FT99" s="16"/>
      <c r="FU99" s="16"/>
      <c r="FV99" s="16"/>
      <c r="FW99" s="16"/>
      <c r="FX99" s="16"/>
      <c r="FY99" s="16"/>
      <c r="FZ99" s="16"/>
      <c r="GA99" s="16"/>
      <c r="GB99" s="16"/>
      <c r="GC99" s="16"/>
      <c r="GD99" s="16"/>
      <c r="GE99" s="16"/>
      <c r="GF99" s="16"/>
      <c r="GG99" s="16"/>
      <c r="GH99" s="16"/>
      <c r="GI99" s="16"/>
      <c r="GJ99" s="16"/>
      <c r="GK99" s="16"/>
      <c r="GL99" s="16"/>
      <c r="GM99" s="16"/>
      <c r="GN99" s="16"/>
      <c r="GO99" s="16"/>
      <c r="GP99" s="16"/>
      <c r="GQ99" s="16"/>
      <c r="GR99" s="16"/>
      <c r="GS99" s="16"/>
      <c r="GT99" s="16"/>
      <c r="GU99" s="16"/>
      <c r="GV99" s="16"/>
      <c r="GW99" s="16"/>
      <c r="GX99" s="16"/>
      <c r="GY99" s="16"/>
      <c r="GZ99" s="16"/>
      <c r="HA99" s="16"/>
      <c r="HB99" s="16"/>
      <c r="HC99" s="16"/>
      <c r="HD99" s="16"/>
      <c r="HE99" s="16"/>
      <c r="HF99" s="16"/>
      <c r="HG99" s="16"/>
      <c r="HH99" s="16"/>
      <c r="HI99" s="16"/>
      <c r="HJ99" s="16"/>
      <c r="HK99" s="16"/>
      <c r="HL99" s="16"/>
      <c r="HM99" s="16"/>
      <c r="HN99" s="16"/>
      <c r="HO99" s="16"/>
      <c r="HP99" s="16"/>
      <c r="HQ99" s="16"/>
      <c r="HR99" s="16"/>
      <c r="HS99" s="16"/>
      <c r="HT99" s="16"/>
      <c r="HU99" s="16"/>
      <c r="HV99" s="16"/>
      <c r="HW99" s="16"/>
      <c r="HX99" s="16"/>
      <c r="HY99" s="16"/>
      <c r="HZ99" s="16"/>
      <c r="IA99" s="16"/>
      <c r="IB99" s="16"/>
      <c r="IC99" s="16"/>
      <c r="ID99" s="16"/>
      <c r="IE99" s="16"/>
      <c r="IF99" s="16"/>
      <c r="IG99" s="16"/>
      <c r="IH99" s="16"/>
      <c r="II99" s="16"/>
      <c r="IJ99" s="16"/>
      <c r="IK99" s="16"/>
      <c r="IL99" s="16"/>
      <c r="IM99" s="16"/>
      <c r="IN99" s="16"/>
      <c r="IO99" s="16"/>
      <c r="IP99" s="16"/>
      <c r="IQ99" s="16"/>
      <c r="IR99" s="16"/>
      <c r="IS99" s="16"/>
      <c r="IT99" s="16"/>
    </row>
    <row r="100" spans="1:254" ht="25.5" customHeight="1">
      <c r="A100" s="39"/>
      <c r="B100" s="40" t="s">
        <v>317</v>
      </c>
      <c r="C100" s="41">
        <f>SUM(C86:C99)</f>
        <v>106797539.37</v>
      </c>
      <c r="D100" s="41">
        <f>SUM(D86:D99)</f>
        <v>108901614.0124</v>
      </c>
      <c r="E100" s="41">
        <f>SUM(E86:E99)</f>
        <v>112704490.5624</v>
      </c>
      <c r="F100" s="41">
        <f>SUM(F86:F99)</f>
        <v>116535894.63975999</v>
      </c>
      <c r="G100" s="41">
        <f>SUM(G86:G99)</f>
        <v>123516307.94295999</v>
      </c>
      <c r="H100" s="42">
        <f t="shared" si="9"/>
        <v>15.654638366749097</v>
      </c>
      <c r="I100" s="43"/>
      <c r="J100" s="63"/>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c r="AV100" s="16"/>
      <c r="AW100" s="16"/>
      <c r="AX100" s="16"/>
      <c r="AY100" s="16"/>
      <c r="AZ100" s="16"/>
      <c r="BA100" s="16"/>
      <c r="BB100" s="16"/>
      <c r="BC100" s="16"/>
      <c r="BD100" s="16"/>
      <c r="BE100" s="16"/>
      <c r="BF100" s="16"/>
      <c r="BG100" s="16"/>
      <c r="BH100" s="16"/>
      <c r="BI100" s="16"/>
      <c r="BJ100" s="16"/>
      <c r="BK100" s="16"/>
      <c r="BL100" s="16"/>
      <c r="BM100" s="16"/>
      <c r="BN100" s="16"/>
      <c r="BO100" s="16"/>
      <c r="BP100" s="16"/>
      <c r="BQ100" s="16"/>
      <c r="BR100" s="16"/>
      <c r="BS100" s="16"/>
      <c r="BT100" s="16"/>
      <c r="BU100" s="16"/>
      <c r="BV100" s="16"/>
      <c r="BW100" s="16"/>
      <c r="BX100" s="16"/>
      <c r="BY100" s="16"/>
      <c r="BZ100" s="16"/>
      <c r="CA100" s="16"/>
      <c r="CB100" s="16"/>
      <c r="CC100" s="16"/>
      <c r="CD100" s="16"/>
      <c r="CE100" s="16"/>
      <c r="CF100" s="16"/>
      <c r="CG100" s="16"/>
      <c r="CH100" s="16"/>
      <c r="CI100" s="16"/>
      <c r="CJ100" s="16"/>
      <c r="CK100" s="16"/>
      <c r="CL100" s="16"/>
      <c r="CM100" s="16"/>
      <c r="CN100" s="16"/>
      <c r="CO100" s="16"/>
      <c r="CP100" s="16"/>
      <c r="CQ100" s="16"/>
      <c r="CR100" s="16"/>
      <c r="CS100" s="16"/>
      <c r="CT100" s="16"/>
      <c r="CU100" s="16"/>
      <c r="CV100" s="16"/>
      <c r="CW100" s="16"/>
      <c r="CX100" s="16"/>
      <c r="CY100" s="16"/>
      <c r="CZ100" s="16"/>
      <c r="DA100" s="16"/>
      <c r="DB100" s="16"/>
      <c r="DC100" s="16"/>
      <c r="DD100" s="16"/>
      <c r="DE100" s="16"/>
      <c r="DF100" s="16"/>
      <c r="DG100" s="16"/>
      <c r="DH100" s="16"/>
      <c r="DI100" s="16"/>
      <c r="DJ100" s="16"/>
      <c r="DK100" s="16"/>
      <c r="DL100" s="16"/>
      <c r="DM100" s="16"/>
      <c r="DN100" s="16"/>
      <c r="DO100" s="16"/>
      <c r="DP100" s="16"/>
      <c r="DQ100" s="16"/>
      <c r="DR100" s="16"/>
      <c r="DS100" s="16"/>
      <c r="DT100" s="16"/>
      <c r="DU100" s="16"/>
      <c r="DV100" s="16"/>
      <c r="DW100" s="16"/>
      <c r="DX100" s="16"/>
      <c r="DY100" s="16"/>
      <c r="DZ100" s="16"/>
      <c r="EA100" s="16"/>
      <c r="EB100" s="16"/>
      <c r="EC100" s="16"/>
      <c r="ED100" s="16"/>
      <c r="EE100" s="16"/>
      <c r="EF100" s="16"/>
      <c r="EG100" s="16"/>
      <c r="EH100" s="16"/>
      <c r="EI100" s="16"/>
      <c r="EJ100" s="16"/>
      <c r="EK100" s="16"/>
      <c r="EL100" s="16"/>
      <c r="EM100" s="16"/>
      <c r="EN100" s="16"/>
      <c r="EO100" s="16"/>
      <c r="EP100" s="16"/>
      <c r="EQ100" s="16"/>
      <c r="ER100" s="16"/>
      <c r="ES100" s="16"/>
      <c r="ET100" s="16"/>
      <c r="EU100" s="16"/>
      <c r="EV100" s="16"/>
      <c r="EW100" s="16"/>
      <c r="EX100" s="16"/>
      <c r="EY100" s="16"/>
      <c r="EZ100" s="16"/>
      <c r="FA100" s="16"/>
      <c r="FB100" s="16"/>
      <c r="FC100" s="16"/>
      <c r="FD100" s="16"/>
      <c r="FE100" s="16"/>
      <c r="FF100" s="16"/>
      <c r="FG100" s="16"/>
      <c r="FH100" s="16"/>
      <c r="FI100" s="16"/>
      <c r="FJ100" s="16"/>
      <c r="FK100" s="16"/>
      <c r="FL100" s="16"/>
      <c r="FM100" s="16"/>
      <c r="FN100" s="16"/>
      <c r="FO100" s="16"/>
      <c r="FP100" s="16"/>
      <c r="FQ100" s="16"/>
      <c r="FR100" s="16"/>
      <c r="FS100" s="16"/>
      <c r="FT100" s="16"/>
      <c r="FU100" s="16"/>
      <c r="FV100" s="16"/>
      <c r="FW100" s="16"/>
      <c r="FX100" s="16"/>
      <c r="FY100" s="16"/>
      <c r="FZ100" s="16"/>
      <c r="GA100" s="16"/>
      <c r="GB100" s="16"/>
      <c r="GC100" s="16"/>
      <c r="GD100" s="16"/>
      <c r="GE100" s="16"/>
      <c r="GF100" s="16"/>
      <c r="GG100" s="16"/>
      <c r="GH100" s="16"/>
      <c r="GI100" s="16"/>
      <c r="GJ100" s="16"/>
      <c r="GK100" s="16"/>
      <c r="GL100" s="16"/>
      <c r="GM100" s="16"/>
      <c r="GN100" s="16"/>
      <c r="GO100" s="16"/>
      <c r="GP100" s="16"/>
      <c r="GQ100" s="16"/>
      <c r="GR100" s="16"/>
      <c r="GS100" s="16"/>
      <c r="GT100" s="16"/>
      <c r="GU100" s="16"/>
      <c r="GV100" s="16"/>
      <c r="GW100" s="16"/>
      <c r="GX100" s="16"/>
      <c r="GY100" s="16"/>
      <c r="GZ100" s="16"/>
      <c r="HA100" s="16"/>
      <c r="HB100" s="16"/>
      <c r="HC100" s="16"/>
      <c r="HD100" s="16"/>
      <c r="HE100" s="16"/>
      <c r="HF100" s="16"/>
      <c r="HG100" s="16"/>
      <c r="HH100" s="16"/>
      <c r="HI100" s="16"/>
      <c r="HJ100" s="16"/>
      <c r="HK100" s="16"/>
      <c r="HL100" s="16"/>
      <c r="HM100" s="16"/>
      <c r="HN100" s="16"/>
      <c r="HO100" s="16"/>
      <c r="HP100" s="16"/>
      <c r="HQ100" s="16"/>
      <c r="HR100" s="16"/>
      <c r="HS100" s="16"/>
      <c r="HT100" s="16"/>
      <c r="HU100" s="16"/>
      <c r="HV100" s="16"/>
      <c r="HW100" s="16"/>
      <c r="HX100" s="16"/>
      <c r="HY100" s="16"/>
      <c r="HZ100" s="16"/>
      <c r="IA100" s="16"/>
      <c r="IB100" s="16"/>
      <c r="IC100" s="16"/>
      <c r="ID100" s="16"/>
      <c r="IE100" s="16"/>
      <c r="IF100" s="16"/>
      <c r="IG100" s="16"/>
      <c r="IH100" s="16"/>
      <c r="II100" s="16"/>
      <c r="IJ100" s="16"/>
      <c r="IK100" s="16"/>
      <c r="IL100" s="16"/>
      <c r="IM100" s="16"/>
      <c r="IN100" s="16"/>
      <c r="IO100" s="16"/>
      <c r="IP100" s="16"/>
      <c r="IQ100" s="16"/>
      <c r="IR100" s="16"/>
      <c r="IS100" s="16"/>
      <c r="IT100" s="16"/>
    </row>
    <row r="101" spans="1:254">
      <c r="A101" s="33"/>
      <c r="B101" s="36" t="s">
        <v>318</v>
      </c>
      <c r="C101" s="37"/>
      <c r="D101" s="38"/>
      <c r="E101" s="38"/>
      <c r="F101" s="38"/>
      <c r="G101" s="38"/>
      <c r="H101" s="30"/>
      <c r="I101" s="34"/>
      <c r="J101" s="15"/>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c r="AU101" s="16"/>
      <c r="AV101" s="16"/>
      <c r="AW101" s="16"/>
      <c r="AX101" s="16"/>
      <c r="AY101" s="16"/>
      <c r="AZ101" s="16"/>
      <c r="BA101" s="16"/>
      <c r="BB101" s="16"/>
      <c r="BC101" s="16"/>
      <c r="BD101" s="16"/>
      <c r="BE101" s="16"/>
      <c r="BF101" s="16"/>
      <c r="BG101" s="16"/>
      <c r="BH101" s="16"/>
      <c r="BI101" s="16"/>
      <c r="BJ101" s="16"/>
      <c r="BK101" s="16"/>
      <c r="BL101" s="16"/>
      <c r="BM101" s="16"/>
      <c r="BN101" s="16"/>
      <c r="BO101" s="16"/>
      <c r="BP101" s="16"/>
      <c r="BQ101" s="16"/>
      <c r="BR101" s="16"/>
      <c r="BS101" s="16"/>
      <c r="BT101" s="16"/>
      <c r="BU101" s="16"/>
      <c r="BV101" s="16"/>
      <c r="BW101" s="16"/>
      <c r="BX101" s="16"/>
      <c r="BY101" s="16"/>
      <c r="BZ101" s="16"/>
      <c r="CA101" s="16"/>
      <c r="CB101" s="16"/>
      <c r="CC101" s="16"/>
      <c r="CD101" s="16"/>
      <c r="CE101" s="16"/>
      <c r="CF101" s="16"/>
      <c r="CG101" s="16"/>
      <c r="CH101" s="16"/>
      <c r="CI101" s="16"/>
      <c r="CJ101" s="16"/>
      <c r="CK101" s="16"/>
      <c r="CL101" s="16"/>
      <c r="CM101" s="16"/>
      <c r="CN101" s="16"/>
      <c r="CO101" s="16"/>
      <c r="CP101" s="16"/>
      <c r="CQ101" s="16"/>
      <c r="CR101" s="16"/>
      <c r="CS101" s="16"/>
      <c r="CT101" s="16"/>
      <c r="CU101" s="16"/>
      <c r="CV101" s="16"/>
      <c r="CW101" s="16"/>
      <c r="CX101" s="16"/>
      <c r="CY101" s="16"/>
      <c r="CZ101" s="16"/>
      <c r="DA101" s="16"/>
      <c r="DB101" s="16"/>
      <c r="DC101" s="16"/>
      <c r="DD101" s="16"/>
      <c r="DE101" s="16"/>
      <c r="DF101" s="16"/>
      <c r="DG101" s="16"/>
      <c r="DH101" s="16"/>
      <c r="DI101" s="16"/>
      <c r="DJ101" s="16"/>
      <c r="DK101" s="16"/>
      <c r="DL101" s="16"/>
      <c r="DM101" s="16"/>
      <c r="DN101" s="16"/>
      <c r="DO101" s="16"/>
      <c r="DP101" s="16"/>
      <c r="DQ101" s="16"/>
      <c r="DR101" s="16"/>
      <c r="DS101" s="16"/>
      <c r="DT101" s="16"/>
      <c r="DU101" s="16"/>
      <c r="DV101" s="16"/>
      <c r="DW101" s="16"/>
      <c r="DX101" s="16"/>
      <c r="DY101" s="16"/>
      <c r="DZ101" s="16"/>
      <c r="EA101" s="16"/>
      <c r="EB101" s="16"/>
      <c r="EC101" s="16"/>
      <c r="ED101" s="16"/>
      <c r="EE101" s="16"/>
      <c r="EF101" s="16"/>
      <c r="EG101" s="16"/>
      <c r="EH101" s="16"/>
      <c r="EI101" s="16"/>
      <c r="EJ101" s="16"/>
      <c r="EK101" s="16"/>
      <c r="EL101" s="16"/>
      <c r="EM101" s="16"/>
      <c r="EN101" s="16"/>
      <c r="EO101" s="16"/>
      <c r="EP101" s="16"/>
      <c r="EQ101" s="16"/>
      <c r="ER101" s="16"/>
      <c r="ES101" s="16"/>
      <c r="ET101" s="16"/>
      <c r="EU101" s="16"/>
      <c r="EV101" s="16"/>
      <c r="EW101" s="16"/>
      <c r="EX101" s="16"/>
      <c r="EY101" s="16"/>
      <c r="EZ101" s="16"/>
      <c r="FA101" s="16"/>
      <c r="FB101" s="16"/>
      <c r="FC101" s="16"/>
      <c r="FD101" s="16"/>
      <c r="FE101" s="16"/>
      <c r="FF101" s="16"/>
      <c r="FG101" s="16"/>
      <c r="FH101" s="16"/>
      <c r="FI101" s="16"/>
      <c r="FJ101" s="16"/>
      <c r="FK101" s="16"/>
      <c r="FL101" s="16"/>
      <c r="FM101" s="16"/>
      <c r="FN101" s="16"/>
      <c r="FO101" s="16"/>
      <c r="FP101" s="16"/>
      <c r="FQ101" s="16"/>
      <c r="FR101" s="16"/>
      <c r="FS101" s="16"/>
      <c r="FT101" s="16"/>
      <c r="FU101" s="16"/>
      <c r="FV101" s="16"/>
      <c r="FW101" s="16"/>
      <c r="FX101" s="16"/>
      <c r="FY101" s="16"/>
      <c r="FZ101" s="16"/>
      <c r="GA101" s="16"/>
      <c r="GB101" s="16"/>
      <c r="GC101" s="16"/>
      <c r="GD101" s="16"/>
      <c r="GE101" s="16"/>
      <c r="GF101" s="16"/>
      <c r="GG101" s="16"/>
      <c r="GH101" s="16"/>
      <c r="GI101" s="16"/>
      <c r="GJ101" s="16"/>
      <c r="GK101" s="16"/>
      <c r="GL101" s="16"/>
      <c r="GM101" s="16"/>
      <c r="GN101" s="16"/>
      <c r="GO101" s="16"/>
      <c r="GP101" s="16"/>
      <c r="GQ101" s="16"/>
      <c r="GR101" s="16"/>
      <c r="GS101" s="16"/>
      <c r="GT101" s="16"/>
      <c r="GU101" s="16"/>
      <c r="GV101" s="16"/>
      <c r="GW101" s="16"/>
      <c r="GX101" s="16"/>
      <c r="GY101" s="16"/>
      <c r="GZ101" s="16"/>
      <c r="HA101" s="16"/>
      <c r="HB101" s="16"/>
      <c r="HC101" s="16"/>
      <c r="HD101" s="16"/>
      <c r="HE101" s="16"/>
      <c r="HF101" s="16"/>
      <c r="HG101" s="16"/>
      <c r="HH101" s="16"/>
      <c r="HI101" s="16"/>
      <c r="HJ101" s="16"/>
      <c r="HK101" s="16"/>
      <c r="HL101" s="16"/>
      <c r="HM101" s="16"/>
      <c r="HN101" s="16"/>
      <c r="HO101" s="16"/>
      <c r="HP101" s="16"/>
      <c r="HQ101" s="16"/>
      <c r="HR101" s="16"/>
      <c r="HS101" s="16"/>
      <c r="HT101" s="16"/>
      <c r="HU101" s="16"/>
      <c r="HV101" s="16"/>
      <c r="HW101" s="16"/>
      <c r="HX101" s="16"/>
      <c r="HY101" s="16"/>
      <c r="HZ101" s="16"/>
      <c r="IA101" s="16"/>
      <c r="IB101" s="16"/>
      <c r="IC101" s="16"/>
      <c r="ID101" s="16"/>
      <c r="IE101" s="16"/>
      <c r="IF101" s="16"/>
      <c r="IG101" s="16"/>
      <c r="IH101" s="16"/>
      <c r="II101" s="16"/>
      <c r="IJ101" s="16"/>
      <c r="IK101" s="16"/>
      <c r="IL101" s="16"/>
      <c r="IM101" s="16"/>
      <c r="IN101" s="16"/>
      <c r="IO101" s="16"/>
      <c r="IP101" s="16"/>
      <c r="IQ101" s="16"/>
      <c r="IR101" s="16"/>
      <c r="IS101" s="16"/>
      <c r="IT101" s="16"/>
    </row>
    <row r="102" spans="1:254">
      <c r="A102" s="18" t="s">
        <v>319</v>
      </c>
      <c r="B102" s="19" t="s">
        <v>12</v>
      </c>
      <c r="C102" s="20">
        <v>1001545.8200000003</v>
      </c>
      <c r="D102" s="21">
        <v>1032108.4179999999</v>
      </c>
      <c r="E102" s="21">
        <v>1024278.3279999999</v>
      </c>
      <c r="F102" s="21">
        <v>1035145.7971999999</v>
      </c>
      <c r="G102" s="21">
        <v>1038135.3962000001</v>
      </c>
      <c r="H102" s="22">
        <f t="shared" ref="H102:H117" si="11">SUM(G102/C102*100-100)</f>
        <v>3.65331025993396</v>
      </c>
      <c r="I102" s="23" t="str">
        <f t="shared" ref="I102:I125" si="12">IF((SQRT((G102-C102)^2)&lt;20000),$I$158,IF((G102-C102)&gt;(SQRT(C102^2))*5%,$I$159,IF((G102-C102)&lt;-(SQRT(C102^2))*5%,$I$157,$I$158)))</f>
        <v>è</v>
      </c>
      <c r="J102" s="370" t="s">
        <v>532</v>
      </c>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c r="AV102" s="16"/>
      <c r="AW102" s="16"/>
      <c r="AX102" s="16"/>
      <c r="AY102" s="16"/>
      <c r="AZ102" s="16"/>
      <c r="BA102" s="16"/>
      <c r="BB102" s="16"/>
      <c r="BC102" s="16"/>
      <c r="BD102" s="16"/>
      <c r="BE102" s="16"/>
      <c r="BF102" s="16"/>
      <c r="BG102" s="16"/>
      <c r="BH102" s="16"/>
      <c r="BI102" s="16"/>
      <c r="BJ102" s="16"/>
      <c r="BK102" s="16"/>
      <c r="BL102" s="16"/>
      <c r="BM102" s="16"/>
      <c r="BN102" s="16"/>
      <c r="BO102" s="16"/>
      <c r="BP102" s="16"/>
      <c r="BQ102" s="16"/>
      <c r="BR102" s="16"/>
      <c r="BS102" s="16"/>
      <c r="BT102" s="16"/>
      <c r="BU102" s="16"/>
      <c r="BV102" s="16"/>
      <c r="BW102" s="16"/>
      <c r="BX102" s="16"/>
      <c r="BY102" s="16"/>
      <c r="BZ102" s="16"/>
      <c r="CA102" s="16"/>
      <c r="CB102" s="16"/>
      <c r="CC102" s="16"/>
      <c r="CD102" s="16"/>
      <c r="CE102" s="16"/>
      <c r="CF102" s="16"/>
      <c r="CG102" s="16"/>
      <c r="CH102" s="16"/>
      <c r="CI102" s="16"/>
      <c r="CJ102" s="16"/>
      <c r="CK102" s="16"/>
      <c r="CL102" s="16"/>
      <c r="CM102" s="16"/>
      <c r="CN102" s="16"/>
      <c r="CO102" s="16"/>
      <c r="CP102" s="16"/>
      <c r="CQ102" s="16"/>
      <c r="CR102" s="16"/>
      <c r="CS102" s="16"/>
      <c r="CT102" s="16"/>
      <c r="CU102" s="16"/>
      <c r="CV102" s="16"/>
      <c r="CW102" s="16"/>
      <c r="CX102" s="16"/>
      <c r="CY102" s="16"/>
      <c r="CZ102" s="16"/>
      <c r="DA102" s="16"/>
      <c r="DB102" s="16"/>
      <c r="DC102" s="16"/>
      <c r="DD102" s="16"/>
      <c r="DE102" s="16"/>
      <c r="DF102" s="16"/>
      <c r="DG102" s="16"/>
      <c r="DH102" s="16"/>
      <c r="DI102" s="16"/>
      <c r="DJ102" s="16"/>
      <c r="DK102" s="16"/>
      <c r="DL102" s="16"/>
      <c r="DM102" s="16"/>
      <c r="DN102" s="16"/>
      <c r="DO102" s="16"/>
      <c r="DP102" s="16"/>
      <c r="DQ102" s="16"/>
      <c r="DR102" s="16"/>
      <c r="DS102" s="16"/>
      <c r="DT102" s="16"/>
      <c r="DU102" s="16"/>
      <c r="DV102" s="16"/>
      <c r="DW102" s="16"/>
      <c r="DX102" s="16"/>
      <c r="DY102" s="16"/>
      <c r="DZ102" s="16"/>
      <c r="EA102" s="16"/>
      <c r="EB102" s="16"/>
      <c r="EC102" s="16"/>
      <c r="ED102" s="16"/>
      <c r="EE102" s="16"/>
      <c r="EF102" s="16"/>
      <c r="EG102" s="16"/>
      <c r="EH102" s="16"/>
      <c r="EI102" s="16"/>
      <c r="EJ102" s="16"/>
      <c r="EK102" s="16"/>
      <c r="EL102" s="16"/>
      <c r="EM102" s="16"/>
      <c r="EN102" s="16"/>
      <c r="EO102" s="16"/>
      <c r="EP102" s="16"/>
      <c r="EQ102" s="16"/>
      <c r="ER102" s="16"/>
      <c r="ES102" s="16"/>
      <c r="ET102" s="16"/>
      <c r="EU102" s="16"/>
      <c r="EV102" s="16"/>
      <c r="EW102" s="16"/>
      <c r="EX102" s="16"/>
      <c r="EY102" s="16"/>
      <c r="EZ102" s="16"/>
      <c r="FA102" s="16"/>
      <c r="FB102" s="16"/>
      <c r="FC102" s="16"/>
      <c r="FD102" s="16"/>
      <c r="FE102" s="16"/>
      <c r="FF102" s="16"/>
      <c r="FG102" s="16"/>
      <c r="FH102" s="16"/>
      <c r="FI102" s="16"/>
      <c r="FJ102" s="16"/>
      <c r="FK102" s="16"/>
      <c r="FL102" s="16"/>
      <c r="FM102" s="16"/>
      <c r="FN102" s="16"/>
      <c r="FO102" s="16"/>
      <c r="FP102" s="16"/>
      <c r="FQ102" s="16"/>
      <c r="FR102" s="16"/>
      <c r="FS102" s="16"/>
      <c r="FT102" s="16"/>
      <c r="FU102" s="16"/>
      <c r="FV102" s="16"/>
      <c r="FW102" s="16"/>
      <c r="FX102" s="16"/>
      <c r="FY102" s="16"/>
      <c r="FZ102" s="16"/>
      <c r="GA102" s="16"/>
      <c r="GB102" s="16"/>
      <c r="GC102" s="16"/>
      <c r="GD102" s="16"/>
      <c r="GE102" s="16"/>
      <c r="GF102" s="16"/>
      <c r="GG102" s="16"/>
      <c r="GH102" s="16"/>
      <c r="GI102" s="16"/>
      <c r="GJ102" s="16"/>
      <c r="GK102" s="16"/>
      <c r="GL102" s="16"/>
      <c r="GM102" s="16"/>
      <c r="GN102" s="16"/>
      <c r="GO102" s="16"/>
      <c r="GP102" s="16"/>
      <c r="GQ102" s="16"/>
      <c r="GR102" s="16"/>
      <c r="GS102" s="16"/>
      <c r="GT102" s="16"/>
      <c r="GU102" s="16"/>
      <c r="GV102" s="16"/>
      <c r="GW102" s="16"/>
      <c r="GX102" s="16"/>
      <c r="GY102" s="16"/>
      <c r="GZ102" s="16"/>
      <c r="HA102" s="16"/>
      <c r="HB102" s="16"/>
      <c r="HC102" s="16"/>
      <c r="HD102" s="16"/>
      <c r="HE102" s="16"/>
      <c r="HF102" s="16"/>
      <c r="HG102" s="16"/>
      <c r="HH102" s="16"/>
      <c r="HI102" s="16"/>
      <c r="HJ102" s="16"/>
      <c r="HK102" s="16"/>
      <c r="HL102" s="16"/>
      <c r="HM102" s="16"/>
      <c r="HN102" s="16"/>
      <c r="HO102" s="16"/>
      <c r="HP102" s="16"/>
      <c r="HQ102" s="16"/>
      <c r="HR102" s="16"/>
      <c r="HS102" s="16"/>
      <c r="HT102" s="16"/>
      <c r="HU102" s="16"/>
      <c r="HV102" s="16"/>
      <c r="HW102" s="16"/>
      <c r="HX102" s="16"/>
      <c r="HY102" s="16"/>
      <c r="HZ102" s="16"/>
      <c r="IA102" s="16"/>
      <c r="IB102" s="16"/>
      <c r="IC102" s="16"/>
      <c r="ID102" s="16"/>
      <c r="IE102" s="16"/>
      <c r="IF102" s="16"/>
      <c r="IG102" s="16"/>
      <c r="IH102" s="16"/>
      <c r="II102" s="16"/>
      <c r="IJ102" s="16"/>
      <c r="IK102" s="16"/>
      <c r="IL102" s="16"/>
      <c r="IM102" s="16"/>
      <c r="IN102" s="16"/>
      <c r="IO102" s="16"/>
      <c r="IP102" s="16"/>
      <c r="IQ102" s="16"/>
      <c r="IR102" s="16"/>
      <c r="IS102" s="16"/>
      <c r="IT102" s="16"/>
    </row>
    <row r="103" spans="1:254" ht="36">
      <c r="A103" s="26" t="s">
        <v>361</v>
      </c>
      <c r="B103" s="27" t="s">
        <v>13</v>
      </c>
      <c r="C103" s="28">
        <v>347716.42000000004</v>
      </c>
      <c r="D103" s="29">
        <v>403038.18200000003</v>
      </c>
      <c r="E103" s="29">
        <v>483038.18200000003</v>
      </c>
      <c r="F103" s="29">
        <v>489486.31880000001</v>
      </c>
      <c r="G103" s="29">
        <v>491789.22479999997</v>
      </c>
      <c r="H103" s="30">
        <f t="shared" si="11"/>
        <v>41.433995207934061</v>
      </c>
      <c r="I103" s="115" t="str">
        <f t="shared" si="12"/>
        <v>ì</v>
      </c>
      <c r="J103" s="369" t="s">
        <v>538</v>
      </c>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c r="AS103" s="16"/>
      <c r="AT103" s="16"/>
      <c r="AU103" s="16"/>
      <c r="AV103" s="16"/>
      <c r="AW103" s="16"/>
      <c r="AX103" s="16"/>
      <c r="AY103" s="16"/>
      <c r="AZ103" s="16"/>
      <c r="BA103" s="16"/>
      <c r="BB103" s="16"/>
      <c r="BC103" s="16"/>
      <c r="BD103" s="16"/>
      <c r="BE103" s="16"/>
      <c r="BF103" s="16"/>
      <c r="BG103" s="16"/>
      <c r="BH103" s="16"/>
      <c r="BI103" s="16"/>
      <c r="BJ103" s="16"/>
      <c r="BK103" s="16"/>
      <c r="BL103" s="16"/>
      <c r="BM103" s="16"/>
      <c r="BN103" s="16"/>
      <c r="BO103" s="16"/>
      <c r="BP103" s="16"/>
      <c r="BQ103" s="16"/>
      <c r="BR103" s="16"/>
      <c r="BS103" s="16"/>
      <c r="BT103" s="16"/>
      <c r="BU103" s="16"/>
      <c r="BV103" s="16"/>
      <c r="BW103" s="16"/>
      <c r="BX103" s="16"/>
      <c r="BY103" s="16"/>
      <c r="BZ103" s="16"/>
      <c r="CA103" s="16"/>
      <c r="CB103" s="16"/>
      <c r="CC103" s="16"/>
      <c r="CD103" s="16"/>
      <c r="CE103" s="16"/>
      <c r="CF103" s="16"/>
      <c r="CG103" s="16"/>
      <c r="CH103" s="16"/>
      <c r="CI103" s="16"/>
      <c r="CJ103" s="16"/>
      <c r="CK103" s="16"/>
      <c r="CL103" s="16"/>
      <c r="CM103" s="16"/>
      <c r="CN103" s="16"/>
      <c r="CO103" s="16"/>
      <c r="CP103" s="16"/>
      <c r="CQ103" s="16"/>
      <c r="CR103" s="16"/>
      <c r="CS103" s="16"/>
      <c r="CT103" s="16"/>
      <c r="CU103" s="16"/>
      <c r="CV103" s="16"/>
      <c r="CW103" s="16"/>
      <c r="CX103" s="16"/>
      <c r="CY103" s="16"/>
      <c r="CZ103" s="16"/>
      <c r="DA103" s="16"/>
      <c r="DB103" s="16"/>
      <c r="DC103" s="16"/>
      <c r="DD103" s="16"/>
      <c r="DE103" s="16"/>
      <c r="DF103" s="16"/>
      <c r="DG103" s="16"/>
      <c r="DH103" s="16"/>
      <c r="DI103" s="16"/>
      <c r="DJ103" s="16"/>
      <c r="DK103" s="16"/>
      <c r="DL103" s="16"/>
      <c r="DM103" s="16"/>
      <c r="DN103" s="16"/>
      <c r="DO103" s="16"/>
      <c r="DP103" s="16"/>
      <c r="DQ103" s="16"/>
      <c r="DR103" s="16"/>
      <c r="DS103" s="16"/>
      <c r="DT103" s="16"/>
      <c r="DU103" s="16"/>
      <c r="DV103" s="16"/>
      <c r="DW103" s="16"/>
      <c r="DX103" s="16"/>
      <c r="DY103" s="16"/>
      <c r="DZ103" s="16"/>
      <c r="EA103" s="16"/>
      <c r="EB103" s="16"/>
      <c r="EC103" s="16"/>
      <c r="ED103" s="16"/>
      <c r="EE103" s="16"/>
      <c r="EF103" s="16"/>
      <c r="EG103" s="16"/>
      <c r="EH103" s="16"/>
      <c r="EI103" s="16"/>
      <c r="EJ103" s="16"/>
      <c r="EK103" s="16"/>
      <c r="EL103" s="16"/>
      <c r="EM103" s="16"/>
      <c r="EN103" s="16"/>
      <c r="EO103" s="16"/>
      <c r="EP103" s="16"/>
      <c r="EQ103" s="16"/>
      <c r="ER103" s="16"/>
      <c r="ES103" s="16"/>
      <c r="ET103" s="16"/>
      <c r="EU103" s="16"/>
      <c r="EV103" s="16"/>
      <c r="EW103" s="16"/>
      <c r="EX103" s="16"/>
      <c r="EY103" s="16"/>
      <c r="EZ103" s="16"/>
      <c r="FA103" s="16"/>
      <c r="FB103" s="16"/>
      <c r="FC103" s="16"/>
      <c r="FD103" s="16"/>
      <c r="FE103" s="16"/>
      <c r="FF103" s="16"/>
      <c r="FG103" s="16"/>
      <c r="FH103" s="16"/>
      <c r="FI103" s="16"/>
      <c r="FJ103" s="16"/>
      <c r="FK103" s="16"/>
      <c r="FL103" s="16"/>
      <c r="FM103" s="16"/>
      <c r="FN103" s="16"/>
      <c r="FO103" s="16"/>
      <c r="FP103" s="16"/>
      <c r="FQ103" s="16"/>
      <c r="FR103" s="16"/>
      <c r="FS103" s="16"/>
      <c r="FT103" s="16"/>
      <c r="FU103" s="16"/>
      <c r="FV103" s="16"/>
      <c r="FW103" s="16"/>
      <c r="FX103" s="16"/>
      <c r="FY103" s="16"/>
      <c r="FZ103" s="16"/>
      <c r="GA103" s="16"/>
      <c r="GB103" s="16"/>
      <c r="GC103" s="16"/>
      <c r="GD103" s="16"/>
      <c r="GE103" s="16"/>
      <c r="GF103" s="16"/>
      <c r="GG103" s="16"/>
      <c r="GH103" s="16"/>
      <c r="GI103" s="16"/>
      <c r="GJ103" s="16"/>
      <c r="GK103" s="16"/>
      <c r="GL103" s="16"/>
      <c r="GM103" s="16"/>
      <c r="GN103" s="16"/>
      <c r="GO103" s="16"/>
      <c r="GP103" s="16"/>
      <c r="GQ103" s="16"/>
      <c r="GR103" s="16"/>
      <c r="GS103" s="16"/>
      <c r="GT103" s="16"/>
      <c r="GU103" s="16"/>
      <c r="GV103" s="16"/>
      <c r="GW103" s="16"/>
      <c r="GX103" s="16"/>
      <c r="GY103" s="16"/>
      <c r="GZ103" s="16"/>
      <c r="HA103" s="16"/>
      <c r="HB103" s="16"/>
      <c r="HC103" s="16"/>
      <c r="HD103" s="16"/>
      <c r="HE103" s="16"/>
      <c r="HF103" s="16"/>
      <c r="HG103" s="16"/>
      <c r="HH103" s="16"/>
      <c r="HI103" s="16"/>
      <c r="HJ103" s="16"/>
      <c r="HK103" s="16"/>
      <c r="HL103" s="16"/>
      <c r="HM103" s="16"/>
      <c r="HN103" s="16"/>
      <c r="HO103" s="16"/>
      <c r="HP103" s="16"/>
      <c r="HQ103" s="16"/>
      <c r="HR103" s="16"/>
      <c r="HS103" s="16"/>
      <c r="HT103" s="16"/>
      <c r="HU103" s="16"/>
      <c r="HV103" s="16"/>
      <c r="HW103" s="16"/>
      <c r="HX103" s="16"/>
      <c r="HY103" s="16"/>
      <c r="HZ103" s="16"/>
      <c r="IA103" s="16"/>
      <c r="IB103" s="16"/>
      <c r="IC103" s="16"/>
      <c r="ID103" s="16"/>
      <c r="IE103" s="16"/>
      <c r="IF103" s="16"/>
      <c r="IG103" s="16"/>
      <c r="IH103" s="16"/>
      <c r="II103" s="16"/>
      <c r="IJ103" s="16"/>
      <c r="IK103" s="16"/>
      <c r="IL103" s="16"/>
      <c r="IM103" s="16"/>
      <c r="IN103" s="16"/>
      <c r="IO103" s="16"/>
      <c r="IP103" s="16"/>
      <c r="IQ103" s="16"/>
      <c r="IR103" s="16"/>
      <c r="IS103" s="16"/>
      <c r="IT103" s="16"/>
    </row>
    <row r="104" spans="1:254" ht="24">
      <c r="A104" s="18" t="s">
        <v>360</v>
      </c>
      <c r="B104" s="19" t="s">
        <v>320</v>
      </c>
      <c r="C104" s="20">
        <v>1295951.52</v>
      </c>
      <c r="D104" s="21">
        <f>1203647.1537-20000</f>
        <v>1183647.1536999999</v>
      </c>
      <c r="E104" s="21">
        <v>1153647.1537000001</v>
      </c>
      <c r="F104" s="21">
        <v>1170444.8908800003</v>
      </c>
      <c r="G104" s="21">
        <v>1176444.0827299999</v>
      </c>
      <c r="H104" s="22">
        <f t="shared" si="11"/>
        <v>-9.2215978318386504</v>
      </c>
      <c r="I104" s="23" t="str">
        <f t="shared" si="12"/>
        <v>î</v>
      </c>
      <c r="J104" s="370" t="s">
        <v>537</v>
      </c>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c r="AS104" s="16"/>
      <c r="AT104" s="16"/>
      <c r="AU104" s="16"/>
      <c r="AV104" s="16"/>
      <c r="AW104" s="16"/>
      <c r="AX104" s="16"/>
      <c r="AY104" s="16"/>
      <c r="AZ104" s="16"/>
      <c r="BA104" s="16"/>
      <c r="BB104" s="16"/>
      <c r="BC104" s="16"/>
      <c r="BD104" s="16"/>
      <c r="BE104" s="16"/>
      <c r="BF104" s="16"/>
      <c r="BG104" s="16"/>
      <c r="BH104" s="16"/>
      <c r="BI104" s="16"/>
      <c r="BJ104" s="16"/>
      <c r="BK104" s="16"/>
      <c r="BL104" s="16"/>
      <c r="BM104" s="16"/>
      <c r="BN104" s="16"/>
      <c r="BO104" s="16"/>
      <c r="BP104" s="16"/>
      <c r="BQ104" s="16"/>
      <c r="BR104" s="16"/>
      <c r="BS104" s="16"/>
      <c r="BT104" s="16"/>
      <c r="BU104" s="16"/>
      <c r="BV104" s="16"/>
      <c r="BW104" s="16"/>
      <c r="BX104" s="16"/>
      <c r="BY104" s="16"/>
      <c r="BZ104" s="16"/>
      <c r="CA104" s="16"/>
      <c r="CB104" s="16"/>
      <c r="CC104" s="16"/>
      <c r="CD104" s="16"/>
      <c r="CE104" s="16"/>
      <c r="CF104" s="16"/>
      <c r="CG104" s="16"/>
      <c r="CH104" s="16"/>
      <c r="CI104" s="16"/>
      <c r="CJ104" s="16"/>
      <c r="CK104" s="16"/>
      <c r="CL104" s="16"/>
      <c r="CM104" s="16"/>
      <c r="CN104" s="16"/>
      <c r="CO104" s="16"/>
      <c r="CP104" s="16"/>
      <c r="CQ104" s="16"/>
      <c r="CR104" s="16"/>
      <c r="CS104" s="16"/>
      <c r="CT104" s="16"/>
      <c r="CU104" s="16"/>
      <c r="CV104" s="16"/>
      <c r="CW104" s="16"/>
      <c r="CX104" s="16"/>
      <c r="CY104" s="16"/>
      <c r="CZ104" s="16"/>
      <c r="DA104" s="16"/>
      <c r="DB104" s="16"/>
      <c r="DC104" s="16"/>
      <c r="DD104" s="16"/>
      <c r="DE104" s="16"/>
      <c r="DF104" s="16"/>
      <c r="DG104" s="16"/>
      <c r="DH104" s="16"/>
      <c r="DI104" s="16"/>
      <c r="DJ104" s="16"/>
      <c r="DK104" s="16"/>
      <c r="DL104" s="16"/>
      <c r="DM104" s="16"/>
      <c r="DN104" s="16"/>
      <c r="DO104" s="16"/>
      <c r="DP104" s="16"/>
      <c r="DQ104" s="16"/>
      <c r="DR104" s="16"/>
      <c r="DS104" s="16"/>
      <c r="DT104" s="16"/>
      <c r="DU104" s="16"/>
      <c r="DV104" s="16"/>
      <c r="DW104" s="16"/>
      <c r="DX104" s="16"/>
      <c r="DY104" s="16"/>
      <c r="DZ104" s="16"/>
      <c r="EA104" s="16"/>
      <c r="EB104" s="16"/>
      <c r="EC104" s="16"/>
      <c r="ED104" s="16"/>
      <c r="EE104" s="16"/>
      <c r="EF104" s="16"/>
      <c r="EG104" s="16"/>
      <c r="EH104" s="16"/>
      <c r="EI104" s="16"/>
      <c r="EJ104" s="16"/>
      <c r="EK104" s="16"/>
      <c r="EL104" s="16"/>
      <c r="EM104" s="16"/>
      <c r="EN104" s="16"/>
      <c r="EO104" s="16"/>
      <c r="EP104" s="16"/>
      <c r="EQ104" s="16"/>
      <c r="ER104" s="16"/>
      <c r="ES104" s="16"/>
      <c r="ET104" s="16"/>
      <c r="EU104" s="16"/>
      <c r="EV104" s="16"/>
      <c r="EW104" s="16"/>
      <c r="EX104" s="16"/>
      <c r="EY104" s="16"/>
      <c r="EZ104" s="16"/>
      <c r="FA104" s="16"/>
      <c r="FB104" s="16"/>
      <c r="FC104" s="16"/>
      <c r="FD104" s="16"/>
      <c r="FE104" s="16"/>
      <c r="FF104" s="16"/>
      <c r="FG104" s="16"/>
      <c r="FH104" s="16"/>
      <c r="FI104" s="16"/>
      <c r="FJ104" s="16"/>
      <c r="FK104" s="16"/>
      <c r="FL104" s="16"/>
      <c r="FM104" s="16"/>
      <c r="FN104" s="16"/>
      <c r="FO104" s="16"/>
      <c r="FP104" s="16"/>
      <c r="FQ104" s="16"/>
      <c r="FR104" s="16"/>
      <c r="FS104" s="16"/>
      <c r="FT104" s="16"/>
      <c r="FU104" s="16"/>
      <c r="FV104" s="16"/>
      <c r="FW104" s="16"/>
      <c r="FX104" s="16"/>
      <c r="FY104" s="16"/>
      <c r="FZ104" s="16"/>
      <c r="GA104" s="16"/>
      <c r="GB104" s="16"/>
      <c r="GC104" s="16"/>
      <c r="GD104" s="16"/>
      <c r="GE104" s="16"/>
      <c r="GF104" s="16"/>
      <c r="GG104" s="16"/>
      <c r="GH104" s="16"/>
      <c r="GI104" s="16"/>
      <c r="GJ104" s="16"/>
      <c r="GK104" s="16"/>
      <c r="GL104" s="16"/>
      <c r="GM104" s="16"/>
      <c r="GN104" s="16"/>
      <c r="GO104" s="16"/>
      <c r="GP104" s="16"/>
      <c r="GQ104" s="16"/>
      <c r="GR104" s="16"/>
      <c r="GS104" s="16"/>
      <c r="GT104" s="16"/>
      <c r="GU104" s="16"/>
      <c r="GV104" s="16"/>
      <c r="GW104" s="16"/>
      <c r="GX104" s="16"/>
      <c r="GY104" s="16"/>
      <c r="GZ104" s="16"/>
      <c r="HA104" s="16"/>
      <c r="HB104" s="16"/>
      <c r="HC104" s="16"/>
      <c r="HD104" s="16"/>
      <c r="HE104" s="16"/>
      <c r="HF104" s="16"/>
      <c r="HG104" s="16"/>
      <c r="HH104" s="16"/>
      <c r="HI104" s="16"/>
      <c r="HJ104" s="16"/>
      <c r="HK104" s="16"/>
      <c r="HL104" s="16"/>
      <c r="HM104" s="16"/>
      <c r="HN104" s="16"/>
      <c r="HO104" s="16"/>
      <c r="HP104" s="16"/>
      <c r="HQ104" s="16"/>
      <c r="HR104" s="16"/>
      <c r="HS104" s="16"/>
      <c r="HT104" s="16"/>
      <c r="HU104" s="16"/>
      <c r="HV104" s="16"/>
      <c r="HW104" s="16"/>
      <c r="HX104" s="16"/>
      <c r="HY104" s="16"/>
      <c r="HZ104" s="16"/>
      <c r="IA104" s="16"/>
      <c r="IB104" s="16"/>
      <c r="IC104" s="16"/>
      <c r="ID104" s="16"/>
      <c r="IE104" s="16"/>
      <c r="IF104" s="16"/>
      <c r="IG104" s="16"/>
      <c r="IH104" s="16"/>
      <c r="II104" s="16"/>
      <c r="IJ104" s="16"/>
      <c r="IK104" s="16"/>
      <c r="IL104" s="16"/>
      <c r="IM104" s="16"/>
      <c r="IN104" s="16"/>
      <c r="IO104" s="16"/>
      <c r="IP104" s="16"/>
      <c r="IQ104" s="16"/>
      <c r="IR104" s="16"/>
      <c r="IS104" s="16"/>
      <c r="IT104" s="16"/>
    </row>
    <row r="105" spans="1:254" ht="84">
      <c r="A105" s="26" t="s">
        <v>321</v>
      </c>
      <c r="B105" s="27" t="s">
        <v>322</v>
      </c>
      <c r="C105" s="28">
        <v>-14351721.900000006</v>
      </c>
      <c r="D105" s="47">
        <v>-15920096.988399997</v>
      </c>
      <c r="E105" s="47">
        <v>-22913943.988399997</v>
      </c>
      <c r="F105" s="47">
        <v>-22411888.024159998</v>
      </c>
      <c r="G105" s="47">
        <v>-24387510.68336001</v>
      </c>
      <c r="H105" s="30">
        <f t="shared" si="11"/>
        <v>69.927419533958499</v>
      </c>
      <c r="I105" s="115" t="str">
        <f t="shared" si="12"/>
        <v>î</v>
      </c>
      <c r="J105" s="369" t="s">
        <v>559</v>
      </c>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c r="AS105" s="16"/>
      <c r="AT105" s="16"/>
      <c r="AU105" s="16"/>
      <c r="AV105" s="16"/>
      <c r="AW105" s="16"/>
      <c r="AX105" s="16"/>
      <c r="AY105" s="16"/>
      <c r="AZ105" s="16"/>
      <c r="BA105" s="16"/>
      <c r="BB105" s="16"/>
      <c r="BC105" s="16"/>
      <c r="BD105" s="16"/>
      <c r="BE105" s="16"/>
      <c r="BF105" s="16"/>
      <c r="BG105" s="16"/>
      <c r="BH105" s="16"/>
      <c r="BI105" s="16"/>
      <c r="BJ105" s="16"/>
      <c r="BK105" s="16"/>
      <c r="BL105" s="16"/>
      <c r="BM105" s="16"/>
      <c r="BN105" s="16"/>
      <c r="BO105" s="16"/>
      <c r="BP105" s="16"/>
      <c r="BQ105" s="16"/>
      <c r="BR105" s="16"/>
      <c r="BS105" s="16"/>
      <c r="BT105" s="16"/>
      <c r="BU105" s="16"/>
      <c r="BV105" s="16"/>
      <c r="BW105" s="16"/>
      <c r="BX105" s="16"/>
      <c r="BY105" s="16"/>
      <c r="BZ105" s="16"/>
      <c r="CA105" s="16"/>
      <c r="CB105" s="16"/>
      <c r="CC105" s="16"/>
      <c r="CD105" s="16"/>
      <c r="CE105" s="16"/>
      <c r="CF105" s="16"/>
      <c r="CG105" s="16"/>
      <c r="CH105" s="16"/>
      <c r="CI105" s="16"/>
      <c r="CJ105" s="16"/>
      <c r="CK105" s="16"/>
      <c r="CL105" s="16"/>
      <c r="CM105" s="16"/>
      <c r="CN105" s="16"/>
      <c r="CO105" s="16"/>
      <c r="CP105" s="16"/>
      <c r="CQ105" s="16"/>
      <c r="CR105" s="16"/>
      <c r="CS105" s="16"/>
      <c r="CT105" s="16"/>
      <c r="CU105" s="16"/>
      <c r="CV105" s="16"/>
      <c r="CW105" s="16"/>
      <c r="CX105" s="16"/>
      <c r="CY105" s="16"/>
      <c r="CZ105" s="16"/>
      <c r="DA105" s="16"/>
      <c r="DB105" s="16"/>
      <c r="DC105" s="16"/>
      <c r="DD105" s="16"/>
      <c r="DE105" s="16"/>
      <c r="DF105" s="16"/>
      <c r="DG105" s="16"/>
      <c r="DH105" s="16"/>
      <c r="DI105" s="16"/>
      <c r="DJ105" s="16"/>
      <c r="DK105" s="16"/>
      <c r="DL105" s="16"/>
      <c r="DM105" s="16"/>
      <c r="DN105" s="16"/>
      <c r="DO105" s="16"/>
      <c r="DP105" s="16"/>
      <c r="DQ105" s="16"/>
      <c r="DR105" s="16"/>
      <c r="DS105" s="16"/>
      <c r="DT105" s="16"/>
      <c r="DU105" s="16"/>
      <c r="DV105" s="16"/>
      <c r="DW105" s="16"/>
      <c r="DX105" s="16"/>
      <c r="DY105" s="16"/>
      <c r="DZ105" s="16"/>
      <c r="EA105" s="16"/>
      <c r="EB105" s="16"/>
      <c r="EC105" s="16"/>
      <c r="ED105" s="16"/>
      <c r="EE105" s="16"/>
      <c r="EF105" s="16"/>
      <c r="EG105" s="16"/>
      <c r="EH105" s="16"/>
      <c r="EI105" s="16"/>
      <c r="EJ105" s="16"/>
      <c r="EK105" s="16"/>
      <c r="EL105" s="16"/>
      <c r="EM105" s="16"/>
      <c r="EN105" s="16"/>
      <c r="EO105" s="16"/>
      <c r="EP105" s="16"/>
      <c r="EQ105" s="16"/>
      <c r="ER105" s="16"/>
      <c r="ES105" s="16"/>
      <c r="ET105" s="16"/>
      <c r="EU105" s="16"/>
      <c r="EV105" s="16"/>
      <c r="EW105" s="16"/>
      <c r="EX105" s="16"/>
      <c r="EY105" s="16"/>
      <c r="EZ105" s="16"/>
      <c r="FA105" s="16"/>
      <c r="FB105" s="16"/>
      <c r="FC105" s="16"/>
      <c r="FD105" s="16"/>
      <c r="FE105" s="16"/>
      <c r="FF105" s="16"/>
      <c r="FG105" s="16"/>
      <c r="FH105" s="16"/>
      <c r="FI105" s="16"/>
      <c r="FJ105" s="16"/>
      <c r="FK105" s="16"/>
      <c r="FL105" s="16"/>
      <c r="FM105" s="16"/>
      <c r="FN105" s="16"/>
      <c r="FO105" s="16"/>
      <c r="FP105" s="16"/>
      <c r="FQ105" s="16"/>
      <c r="FR105" s="16"/>
      <c r="FS105" s="16"/>
      <c r="FT105" s="16"/>
      <c r="FU105" s="16"/>
      <c r="FV105" s="16"/>
      <c r="FW105" s="16"/>
      <c r="FX105" s="16"/>
      <c r="FY105" s="16"/>
      <c r="FZ105" s="16"/>
      <c r="GA105" s="16"/>
      <c r="GB105" s="16"/>
      <c r="GC105" s="16"/>
      <c r="GD105" s="16"/>
      <c r="GE105" s="16"/>
      <c r="GF105" s="16"/>
      <c r="GG105" s="16"/>
      <c r="GH105" s="16"/>
      <c r="GI105" s="16"/>
      <c r="GJ105" s="16"/>
      <c r="GK105" s="16"/>
      <c r="GL105" s="16"/>
      <c r="GM105" s="16"/>
      <c r="GN105" s="16"/>
      <c r="GO105" s="16"/>
      <c r="GP105" s="16"/>
      <c r="GQ105" s="16"/>
      <c r="GR105" s="16"/>
      <c r="GS105" s="16"/>
      <c r="GT105" s="16"/>
      <c r="GU105" s="16"/>
      <c r="GV105" s="16"/>
      <c r="GW105" s="16"/>
      <c r="GX105" s="16"/>
      <c r="GY105" s="16"/>
      <c r="GZ105" s="16"/>
      <c r="HA105" s="16"/>
      <c r="HB105" s="16"/>
      <c r="HC105" s="16"/>
      <c r="HD105" s="16"/>
      <c r="HE105" s="16"/>
      <c r="HF105" s="16"/>
      <c r="HG105" s="16"/>
      <c r="HH105" s="16"/>
      <c r="HI105" s="16"/>
      <c r="HJ105" s="16"/>
      <c r="HK105" s="16"/>
      <c r="HL105" s="16"/>
      <c r="HM105" s="16"/>
      <c r="HN105" s="16"/>
      <c r="HO105" s="16"/>
      <c r="HP105" s="16"/>
      <c r="HQ105" s="16"/>
      <c r="HR105" s="16"/>
      <c r="HS105" s="16"/>
      <c r="HT105" s="16"/>
      <c r="HU105" s="16"/>
      <c r="HV105" s="16"/>
      <c r="HW105" s="16"/>
      <c r="HX105" s="16"/>
      <c r="HY105" s="16"/>
      <c r="HZ105" s="16"/>
      <c r="IA105" s="16"/>
      <c r="IB105" s="16"/>
      <c r="IC105" s="16"/>
      <c r="ID105" s="16"/>
      <c r="IE105" s="16"/>
      <c r="IF105" s="16"/>
      <c r="IG105" s="16"/>
      <c r="IH105" s="16"/>
      <c r="II105" s="16"/>
      <c r="IJ105" s="16"/>
      <c r="IK105" s="16"/>
      <c r="IL105" s="16"/>
      <c r="IM105" s="16"/>
      <c r="IN105" s="16"/>
      <c r="IO105" s="16"/>
      <c r="IP105" s="16"/>
      <c r="IQ105" s="16"/>
      <c r="IR105" s="16"/>
      <c r="IS105" s="16"/>
      <c r="IT105" s="16"/>
    </row>
    <row r="106" spans="1:254" ht="48">
      <c r="A106" s="18" t="s">
        <v>323</v>
      </c>
      <c r="B106" s="19" t="s">
        <v>324</v>
      </c>
      <c r="C106" s="20">
        <v>-14237599.920000002</v>
      </c>
      <c r="D106" s="21">
        <v>-6260969.4780999944</v>
      </c>
      <c r="E106" s="21">
        <v>-8773009.4780999944</v>
      </c>
      <c r="F106" s="21">
        <v>-11693501.357439995</v>
      </c>
      <c r="G106" s="21">
        <v>-11588279.171489999</v>
      </c>
      <c r="H106" s="22">
        <f t="shared" si="11"/>
        <v>-18.607916807582285</v>
      </c>
      <c r="I106" s="23" t="str">
        <f t="shared" si="12"/>
        <v>ì</v>
      </c>
      <c r="J106" s="370" t="s">
        <v>513</v>
      </c>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c r="AV106" s="16"/>
      <c r="AW106" s="16"/>
      <c r="AX106" s="16"/>
      <c r="AY106" s="16"/>
      <c r="AZ106" s="16"/>
      <c r="BA106" s="16"/>
      <c r="BB106" s="16"/>
      <c r="BC106" s="16"/>
      <c r="BD106" s="16"/>
      <c r="BE106" s="16"/>
      <c r="BF106" s="16"/>
      <c r="BG106" s="16"/>
      <c r="BH106" s="16"/>
      <c r="BI106" s="16"/>
      <c r="BJ106" s="16"/>
      <c r="BK106" s="16"/>
      <c r="BL106" s="16"/>
      <c r="BM106" s="16"/>
      <c r="BN106" s="16"/>
      <c r="BO106" s="16"/>
      <c r="BP106" s="16"/>
      <c r="BQ106" s="16"/>
      <c r="BR106" s="16"/>
      <c r="BS106" s="16"/>
      <c r="BT106" s="16"/>
      <c r="BU106" s="16"/>
      <c r="BV106" s="16"/>
      <c r="BW106" s="16"/>
      <c r="BX106" s="16"/>
      <c r="BY106" s="16"/>
      <c r="BZ106" s="16"/>
      <c r="CA106" s="16"/>
      <c r="CB106" s="16"/>
      <c r="CC106" s="16"/>
      <c r="CD106" s="16"/>
      <c r="CE106" s="16"/>
      <c r="CF106" s="16"/>
      <c r="CG106" s="16"/>
      <c r="CH106" s="16"/>
      <c r="CI106" s="16"/>
      <c r="CJ106" s="16"/>
      <c r="CK106" s="16"/>
      <c r="CL106" s="16"/>
      <c r="CM106" s="16"/>
      <c r="CN106" s="16"/>
      <c r="CO106" s="16"/>
      <c r="CP106" s="16"/>
      <c r="CQ106" s="16"/>
      <c r="CR106" s="16"/>
      <c r="CS106" s="16"/>
      <c r="CT106" s="16"/>
      <c r="CU106" s="16"/>
      <c r="CV106" s="16"/>
      <c r="CW106" s="16"/>
      <c r="CX106" s="16"/>
      <c r="CY106" s="16"/>
      <c r="CZ106" s="16"/>
      <c r="DA106" s="16"/>
      <c r="DB106" s="16"/>
      <c r="DC106" s="16"/>
      <c r="DD106" s="16"/>
      <c r="DE106" s="16"/>
      <c r="DF106" s="16"/>
      <c r="DG106" s="16"/>
      <c r="DH106" s="16"/>
      <c r="DI106" s="16"/>
      <c r="DJ106" s="16"/>
      <c r="DK106" s="16"/>
      <c r="DL106" s="16"/>
      <c r="DM106" s="16"/>
      <c r="DN106" s="16"/>
      <c r="DO106" s="16"/>
      <c r="DP106" s="16"/>
      <c r="DQ106" s="16"/>
      <c r="DR106" s="16"/>
      <c r="DS106" s="16"/>
      <c r="DT106" s="16"/>
      <c r="DU106" s="16"/>
      <c r="DV106" s="16"/>
      <c r="DW106" s="16"/>
      <c r="DX106" s="16"/>
      <c r="DY106" s="16"/>
      <c r="DZ106" s="16"/>
      <c r="EA106" s="16"/>
      <c r="EB106" s="16"/>
      <c r="EC106" s="16"/>
      <c r="ED106" s="16"/>
      <c r="EE106" s="16"/>
      <c r="EF106" s="16"/>
      <c r="EG106" s="16"/>
      <c r="EH106" s="16"/>
      <c r="EI106" s="16"/>
      <c r="EJ106" s="16"/>
      <c r="EK106" s="16"/>
      <c r="EL106" s="16"/>
      <c r="EM106" s="16"/>
      <c r="EN106" s="16"/>
      <c r="EO106" s="16"/>
      <c r="EP106" s="16"/>
      <c r="EQ106" s="16"/>
      <c r="ER106" s="16"/>
      <c r="ES106" s="16"/>
      <c r="ET106" s="16"/>
      <c r="EU106" s="16"/>
      <c r="EV106" s="16"/>
      <c r="EW106" s="16"/>
      <c r="EX106" s="16"/>
      <c r="EY106" s="16"/>
      <c r="EZ106" s="16"/>
      <c r="FA106" s="16"/>
      <c r="FB106" s="16"/>
      <c r="FC106" s="16"/>
      <c r="FD106" s="16"/>
      <c r="FE106" s="16"/>
      <c r="FF106" s="16"/>
      <c r="FG106" s="16"/>
      <c r="FH106" s="16"/>
      <c r="FI106" s="16"/>
      <c r="FJ106" s="16"/>
      <c r="FK106" s="16"/>
      <c r="FL106" s="16"/>
      <c r="FM106" s="16"/>
      <c r="FN106" s="16"/>
      <c r="FO106" s="16"/>
      <c r="FP106" s="16"/>
      <c r="FQ106" s="16"/>
      <c r="FR106" s="16"/>
      <c r="FS106" s="16"/>
      <c r="FT106" s="16"/>
      <c r="FU106" s="16"/>
      <c r="FV106" s="16"/>
      <c r="FW106" s="16"/>
      <c r="FX106" s="16"/>
      <c r="FY106" s="16"/>
      <c r="FZ106" s="16"/>
      <c r="GA106" s="16"/>
      <c r="GB106" s="16"/>
      <c r="GC106" s="16"/>
      <c r="GD106" s="16"/>
      <c r="GE106" s="16"/>
      <c r="GF106" s="16"/>
      <c r="GG106" s="16"/>
      <c r="GH106" s="16"/>
      <c r="GI106" s="16"/>
      <c r="GJ106" s="16"/>
      <c r="GK106" s="16"/>
      <c r="GL106" s="16"/>
      <c r="GM106" s="16"/>
      <c r="GN106" s="16"/>
      <c r="GO106" s="16"/>
      <c r="GP106" s="16"/>
      <c r="GQ106" s="16"/>
      <c r="GR106" s="16"/>
      <c r="GS106" s="16"/>
      <c r="GT106" s="16"/>
      <c r="GU106" s="16"/>
      <c r="GV106" s="16"/>
      <c r="GW106" s="16"/>
      <c r="GX106" s="16"/>
      <c r="GY106" s="16"/>
      <c r="GZ106" s="16"/>
      <c r="HA106" s="16"/>
      <c r="HB106" s="16"/>
      <c r="HC106" s="16"/>
      <c r="HD106" s="16"/>
      <c r="HE106" s="16"/>
      <c r="HF106" s="16"/>
      <c r="HG106" s="16"/>
      <c r="HH106" s="16"/>
      <c r="HI106" s="16"/>
      <c r="HJ106" s="16"/>
      <c r="HK106" s="16"/>
      <c r="HL106" s="16"/>
      <c r="HM106" s="16"/>
      <c r="HN106" s="16"/>
      <c r="HO106" s="16"/>
      <c r="HP106" s="16"/>
      <c r="HQ106" s="16"/>
      <c r="HR106" s="16"/>
      <c r="HS106" s="16"/>
      <c r="HT106" s="16"/>
      <c r="HU106" s="16"/>
      <c r="HV106" s="16"/>
      <c r="HW106" s="16"/>
      <c r="HX106" s="16"/>
      <c r="HY106" s="16"/>
      <c r="HZ106" s="16"/>
      <c r="IA106" s="16"/>
      <c r="IB106" s="16"/>
      <c r="IC106" s="16"/>
      <c r="ID106" s="16"/>
      <c r="IE106" s="16"/>
      <c r="IF106" s="16"/>
      <c r="IG106" s="16"/>
      <c r="IH106" s="16"/>
      <c r="II106" s="16"/>
      <c r="IJ106" s="16"/>
      <c r="IK106" s="16"/>
      <c r="IL106" s="16"/>
      <c r="IM106" s="16"/>
      <c r="IN106" s="16"/>
      <c r="IO106" s="16"/>
      <c r="IP106" s="16"/>
      <c r="IQ106" s="16"/>
      <c r="IR106" s="16"/>
      <c r="IS106" s="16"/>
      <c r="IT106" s="16"/>
    </row>
    <row r="107" spans="1:254">
      <c r="A107" s="26" t="s">
        <v>325</v>
      </c>
      <c r="B107" s="27" t="s">
        <v>374</v>
      </c>
      <c r="C107" s="28">
        <v>363600</v>
      </c>
      <c r="D107" s="29">
        <v>165000</v>
      </c>
      <c r="E107" s="29">
        <v>-100000</v>
      </c>
      <c r="F107" s="29">
        <v>-120000</v>
      </c>
      <c r="G107" s="29">
        <v>-140000</v>
      </c>
      <c r="H107" s="30">
        <f t="shared" si="11"/>
        <v>-138.5038503850385</v>
      </c>
      <c r="I107" s="115" t="str">
        <f t="shared" si="12"/>
        <v>î</v>
      </c>
      <c r="J107" s="369" t="s">
        <v>514</v>
      </c>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c r="AS107" s="16"/>
      <c r="AT107" s="16"/>
      <c r="AU107" s="16"/>
      <c r="AV107" s="16"/>
      <c r="AW107" s="16"/>
      <c r="AX107" s="16"/>
      <c r="AY107" s="16"/>
      <c r="AZ107" s="16"/>
      <c r="BA107" s="16"/>
      <c r="BB107" s="16"/>
      <c r="BC107" s="16"/>
      <c r="BD107" s="16"/>
      <c r="BE107" s="16"/>
      <c r="BF107" s="16"/>
      <c r="BG107" s="16"/>
      <c r="BH107" s="16"/>
      <c r="BI107" s="16"/>
      <c r="BJ107" s="16"/>
      <c r="BK107" s="16"/>
      <c r="BL107" s="16"/>
      <c r="BM107" s="16"/>
      <c r="BN107" s="16"/>
      <c r="BO107" s="16"/>
      <c r="BP107" s="16"/>
      <c r="BQ107" s="16"/>
      <c r="BR107" s="16"/>
      <c r="BS107" s="16"/>
      <c r="BT107" s="16"/>
      <c r="BU107" s="16"/>
      <c r="BV107" s="16"/>
      <c r="BW107" s="16"/>
      <c r="BX107" s="16"/>
      <c r="BY107" s="16"/>
      <c r="BZ107" s="16"/>
      <c r="CA107" s="16"/>
      <c r="CB107" s="16"/>
      <c r="CC107" s="16"/>
      <c r="CD107" s="16"/>
      <c r="CE107" s="16"/>
      <c r="CF107" s="16"/>
      <c r="CG107" s="16"/>
      <c r="CH107" s="16"/>
      <c r="CI107" s="16"/>
      <c r="CJ107" s="16"/>
      <c r="CK107" s="16"/>
      <c r="CL107" s="16"/>
      <c r="CM107" s="16"/>
      <c r="CN107" s="16"/>
      <c r="CO107" s="16"/>
      <c r="CP107" s="16"/>
      <c r="CQ107" s="16"/>
      <c r="CR107" s="16"/>
      <c r="CS107" s="16"/>
      <c r="CT107" s="16"/>
      <c r="CU107" s="16"/>
      <c r="CV107" s="16"/>
      <c r="CW107" s="16"/>
      <c r="CX107" s="16"/>
      <c r="CY107" s="16"/>
      <c r="CZ107" s="16"/>
      <c r="DA107" s="16"/>
      <c r="DB107" s="16"/>
      <c r="DC107" s="16"/>
      <c r="DD107" s="16"/>
      <c r="DE107" s="16"/>
      <c r="DF107" s="16"/>
      <c r="DG107" s="16"/>
      <c r="DH107" s="16"/>
      <c r="DI107" s="16"/>
      <c r="DJ107" s="16"/>
      <c r="DK107" s="16"/>
      <c r="DL107" s="16"/>
      <c r="DM107" s="16"/>
      <c r="DN107" s="16"/>
      <c r="DO107" s="16"/>
      <c r="DP107" s="16"/>
      <c r="DQ107" s="16"/>
      <c r="DR107" s="16"/>
      <c r="DS107" s="16"/>
      <c r="DT107" s="16"/>
      <c r="DU107" s="16"/>
      <c r="DV107" s="16"/>
      <c r="DW107" s="16"/>
      <c r="DX107" s="16"/>
      <c r="DY107" s="16"/>
      <c r="DZ107" s="16"/>
      <c r="EA107" s="16"/>
      <c r="EB107" s="16"/>
      <c r="EC107" s="16"/>
      <c r="ED107" s="16"/>
      <c r="EE107" s="16"/>
      <c r="EF107" s="16"/>
      <c r="EG107" s="16"/>
      <c r="EH107" s="16"/>
      <c r="EI107" s="16"/>
      <c r="EJ107" s="16"/>
      <c r="EK107" s="16"/>
      <c r="EL107" s="16"/>
      <c r="EM107" s="16"/>
      <c r="EN107" s="16"/>
      <c r="EO107" s="16"/>
      <c r="EP107" s="16"/>
      <c r="EQ107" s="16"/>
      <c r="ER107" s="16"/>
      <c r="ES107" s="16"/>
      <c r="ET107" s="16"/>
      <c r="EU107" s="16"/>
      <c r="EV107" s="16"/>
      <c r="EW107" s="16"/>
      <c r="EX107" s="16"/>
      <c r="EY107" s="16"/>
      <c r="EZ107" s="16"/>
      <c r="FA107" s="16"/>
      <c r="FB107" s="16"/>
      <c r="FC107" s="16"/>
      <c r="FD107" s="16"/>
      <c r="FE107" s="16"/>
      <c r="FF107" s="16"/>
      <c r="FG107" s="16"/>
      <c r="FH107" s="16"/>
      <c r="FI107" s="16"/>
      <c r="FJ107" s="16"/>
      <c r="FK107" s="16"/>
      <c r="FL107" s="16"/>
      <c r="FM107" s="16"/>
      <c r="FN107" s="16"/>
      <c r="FO107" s="16"/>
      <c r="FP107" s="16"/>
      <c r="FQ107" s="16"/>
      <c r="FR107" s="16"/>
      <c r="FS107" s="16"/>
      <c r="FT107" s="16"/>
      <c r="FU107" s="16"/>
      <c r="FV107" s="16"/>
      <c r="FW107" s="16"/>
      <c r="FX107" s="16"/>
      <c r="FY107" s="16"/>
      <c r="FZ107" s="16"/>
      <c r="GA107" s="16"/>
      <c r="GB107" s="16"/>
      <c r="GC107" s="16"/>
      <c r="GD107" s="16"/>
      <c r="GE107" s="16"/>
      <c r="GF107" s="16"/>
      <c r="GG107" s="16"/>
      <c r="GH107" s="16"/>
      <c r="GI107" s="16"/>
      <c r="GJ107" s="16"/>
      <c r="GK107" s="16"/>
      <c r="GL107" s="16"/>
      <c r="GM107" s="16"/>
      <c r="GN107" s="16"/>
      <c r="GO107" s="16"/>
      <c r="GP107" s="16"/>
      <c r="GQ107" s="16"/>
      <c r="GR107" s="16"/>
      <c r="GS107" s="16"/>
      <c r="GT107" s="16"/>
      <c r="GU107" s="16"/>
      <c r="GV107" s="16"/>
      <c r="GW107" s="16"/>
      <c r="GX107" s="16"/>
      <c r="GY107" s="16"/>
      <c r="GZ107" s="16"/>
      <c r="HA107" s="16"/>
      <c r="HB107" s="16"/>
      <c r="HC107" s="16"/>
      <c r="HD107" s="16"/>
      <c r="HE107" s="16"/>
      <c r="HF107" s="16"/>
      <c r="HG107" s="16"/>
      <c r="HH107" s="16"/>
      <c r="HI107" s="16"/>
      <c r="HJ107" s="16"/>
      <c r="HK107" s="16"/>
      <c r="HL107" s="16"/>
      <c r="HM107" s="16"/>
      <c r="HN107" s="16"/>
      <c r="HO107" s="16"/>
      <c r="HP107" s="16"/>
      <c r="HQ107" s="16"/>
      <c r="HR107" s="16"/>
      <c r="HS107" s="16"/>
      <c r="HT107" s="16"/>
      <c r="HU107" s="16"/>
      <c r="HV107" s="16"/>
      <c r="HW107" s="16"/>
      <c r="HX107" s="16"/>
      <c r="HY107" s="16"/>
      <c r="HZ107" s="16"/>
      <c r="IA107" s="16"/>
      <c r="IB107" s="16"/>
      <c r="IC107" s="16"/>
      <c r="ID107" s="16"/>
      <c r="IE107" s="16"/>
      <c r="IF107" s="16"/>
      <c r="IG107" s="16"/>
      <c r="IH107" s="16"/>
      <c r="II107" s="16"/>
      <c r="IJ107" s="16"/>
      <c r="IK107" s="16"/>
      <c r="IL107" s="16"/>
      <c r="IM107" s="16"/>
      <c r="IN107" s="16"/>
      <c r="IO107" s="16"/>
      <c r="IP107" s="16"/>
      <c r="IQ107" s="16"/>
      <c r="IR107" s="16"/>
      <c r="IS107" s="16"/>
      <c r="IT107" s="16"/>
    </row>
    <row r="108" spans="1:254">
      <c r="A108" s="18" t="s">
        <v>326</v>
      </c>
      <c r="B108" s="19" t="s">
        <v>327</v>
      </c>
      <c r="C108" s="20">
        <v>0</v>
      </c>
      <c r="D108" s="21">
        <v>0</v>
      </c>
      <c r="E108" s="21">
        <v>0</v>
      </c>
      <c r="F108" s="21">
        <v>0</v>
      </c>
      <c r="G108" s="21">
        <v>0</v>
      </c>
      <c r="H108" s="22">
        <v>0</v>
      </c>
      <c r="I108" s="23" t="str">
        <f t="shared" si="12"/>
        <v>è</v>
      </c>
      <c r="J108" s="32"/>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c r="AR108" s="16"/>
      <c r="AS108" s="16"/>
      <c r="AT108" s="16"/>
      <c r="AU108" s="16"/>
      <c r="AV108" s="16"/>
      <c r="AW108" s="16"/>
      <c r="AX108" s="16"/>
      <c r="AY108" s="16"/>
      <c r="AZ108" s="16"/>
      <c r="BA108" s="16"/>
      <c r="BB108" s="16"/>
      <c r="BC108" s="16"/>
      <c r="BD108" s="16"/>
      <c r="BE108" s="16"/>
      <c r="BF108" s="16"/>
      <c r="BG108" s="16"/>
      <c r="BH108" s="16"/>
      <c r="BI108" s="16"/>
      <c r="BJ108" s="16"/>
      <c r="BK108" s="16"/>
      <c r="BL108" s="16"/>
      <c r="BM108" s="16"/>
      <c r="BN108" s="16"/>
      <c r="BO108" s="16"/>
      <c r="BP108" s="16"/>
      <c r="BQ108" s="16"/>
      <c r="BR108" s="16"/>
      <c r="BS108" s="16"/>
      <c r="BT108" s="16"/>
      <c r="BU108" s="16"/>
      <c r="BV108" s="16"/>
      <c r="BW108" s="16"/>
      <c r="BX108" s="16"/>
      <c r="BY108" s="16"/>
      <c r="BZ108" s="16"/>
      <c r="CA108" s="16"/>
      <c r="CB108" s="16"/>
      <c r="CC108" s="16"/>
      <c r="CD108" s="16"/>
      <c r="CE108" s="16"/>
      <c r="CF108" s="16"/>
      <c r="CG108" s="16"/>
      <c r="CH108" s="16"/>
      <c r="CI108" s="16"/>
      <c r="CJ108" s="16"/>
      <c r="CK108" s="16"/>
      <c r="CL108" s="16"/>
      <c r="CM108" s="16"/>
      <c r="CN108" s="16"/>
      <c r="CO108" s="16"/>
      <c r="CP108" s="16"/>
      <c r="CQ108" s="16"/>
      <c r="CR108" s="16"/>
      <c r="CS108" s="16"/>
      <c r="CT108" s="16"/>
      <c r="CU108" s="16"/>
      <c r="CV108" s="16"/>
      <c r="CW108" s="16"/>
      <c r="CX108" s="16"/>
      <c r="CY108" s="16"/>
      <c r="CZ108" s="16"/>
      <c r="DA108" s="16"/>
      <c r="DB108" s="16"/>
      <c r="DC108" s="16"/>
      <c r="DD108" s="16"/>
      <c r="DE108" s="16"/>
      <c r="DF108" s="16"/>
      <c r="DG108" s="16"/>
      <c r="DH108" s="16"/>
      <c r="DI108" s="16"/>
      <c r="DJ108" s="16"/>
      <c r="DK108" s="16"/>
      <c r="DL108" s="16"/>
      <c r="DM108" s="16"/>
      <c r="DN108" s="16"/>
      <c r="DO108" s="16"/>
      <c r="DP108" s="16"/>
      <c r="DQ108" s="16"/>
      <c r="DR108" s="16"/>
      <c r="DS108" s="16"/>
      <c r="DT108" s="16"/>
      <c r="DU108" s="16"/>
      <c r="DV108" s="16"/>
      <c r="DW108" s="16"/>
      <c r="DX108" s="16"/>
      <c r="DY108" s="16"/>
      <c r="DZ108" s="16"/>
      <c r="EA108" s="16"/>
      <c r="EB108" s="16"/>
      <c r="EC108" s="16"/>
      <c r="ED108" s="16"/>
      <c r="EE108" s="16"/>
      <c r="EF108" s="16"/>
      <c r="EG108" s="16"/>
      <c r="EH108" s="16"/>
      <c r="EI108" s="16"/>
      <c r="EJ108" s="16"/>
      <c r="EK108" s="16"/>
      <c r="EL108" s="16"/>
      <c r="EM108" s="16"/>
      <c r="EN108" s="16"/>
      <c r="EO108" s="16"/>
      <c r="EP108" s="16"/>
      <c r="EQ108" s="16"/>
      <c r="ER108" s="16"/>
      <c r="ES108" s="16"/>
      <c r="ET108" s="16"/>
      <c r="EU108" s="16"/>
      <c r="EV108" s="16"/>
      <c r="EW108" s="16"/>
      <c r="EX108" s="16"/>
      <c r="EY108" s="16"/>
      <c r="EZ108" s="16"/>
      <c r="FA108" s="16"/>
      <c r="FB108" s="16"/>
      <c r="FC108" s="16"/>
      <c r="FD108" s="16"/>
      <c r="FE108" s="16"/>
      <c r="FF108" s="16"/>
      <c r="FG108" s="16"/>
      <c r="FH108" s="16"/>
      <c r="FI108" s="16"/>
      <c r="FJ108" s="16"/>
      <c r="FK108" s="16"/>
      <c r="FL108" s="16"/>
      <c r="FM108" s="16"/>
      <c r="FN108" s="16"/>
      <c r="FO108" s="16"/>
      <c r="FP108" s="16"/>
      <c r="FQ108" s="16"/>
      <c r="FR108" s="16"/>
      <c r="FS108" s="16"/>
      <c r="FT108" s="16"/>
      <c r="FU108" s="16"/>
      <c r="FV108" s="16"/>
      <c r="FW108" s="16"/>
      <c r="FX108" s="16"/>
      <c r="FY108" s="16"/>
      <c r="FZ108" s="16"/>
      <c r="GA108" s="16"/>
      <c r="GB108" s="16"/>
      <c r="GC108" s="16"/>
      <c r="GD108" s="16"/>
      <c r="GE108" s="16"/>
      <c r="GF108" s="16"/>
      <c r="GG108" s="16"/>
      <c r="GH108" s="16"/>
      <c r="GI108" s="16"/>
      <c r="GJ108" s="16"/>
      <c r="GK108" s="16"/>
      <c r="GL108" s="16"/>
      <c r="GM108" s="16"/>
      <c r="GN108" s="16"/>
      <c r="GO108" s="16"/>
      <c r="GP108" s="16"/>
      <c r="GQ108" s="16"/>
      <c r="GR108" s="16"/>
      <c r="GS108" s="16"/>
      <c r="GT108" s="16"/>
      <c r="GU108" s="16"/>
      <c r="GV108" s="16"/>
      <c r="GW108" s="16"/>
      <c r="GX108" s="16"/>
      <c r="GY108" s="16"/>
      <c r="GZ108" s="16"/>
      <c r="HA108" s="16"/>
      <c r="HB108" s="16"/>
      <c r="HC108" s="16"/>
      <c r="HD108" s="16"/>
      <c r="HE108" s="16"/>
      <c r="HF108" s="16"/>
      <c r="HG108" s="16"/>
      <c r="HH108" s="16"/>
      <c r="HI108" s="16"/>
      <c r="HJ108" s="16"/>
      <c r="HK108" s="16"/>
      <c r="HL108" s="16"/>
      <c r="HM108" s="16"/>
      <c r="HN108" s="16"/>
      <c r="HO108" s="16"/>
      <c r="HP108" s="16"/>
      <c r="HQ108" s="16"/>
      <c r="HR108" s="16"/>
      <c r="HS108" s="16"/>
      <c r="HT108" s="16"/>
      <c r="HU108" s="16"/>
      <c r="HV108" s="16"/>
      <c r="HW108" s="16"/>
      <c r="HX108" s="16"/>
      <c r="HY108" s="16"/>
      <c r="HZ108" s="16"/>
      <c r="IA108" s="16"/>
      <c r="IB108" s="16"/>
      <c r="IC108" s="16"/>
      <c r="ID108" s="16"/>
      <c r="IE108" s="16"/>
      <c r="IF108" s="16"/>
      <c r="IG108" s="16"/>
      <c r="IH108" s="16"/>
      <c r="II108" s="16"/>
      <c r="IJ108" s="16"/>
      <c r="IK108" s="16"/>
      <c r="IL108" s="16"/>
      <c r="IM108" s="16"/>
      <c r="IN108" s="16"/>
      <c r="IO108" s="16"/>
      <c r="IP108" s="16"/>
      <c r="IQ108" s="16"/>
      <c r="IR108" s="16"/>
      <c r="IS108" s="16"/>
      <c r="IT108" s="16"/>
    </row>
    <row r="109" spans="1:254" ht="24">
      <c r="A109" s="26" t="s">
        <v>328</v>
      </c>
      <c r="B109" s="27" t="s">
        <v>388</v>
      </c>
      <c r="C109" s="28">
        <v>4693752.959999999</v>
      </c>
      <c r="D109" s="29">
        <v>4624518.2899999991</v>
      </c>
      <c r="E109" s="29">
        <v>4624518.2899999991</v>
      </c>
      <c r="F109" s="29">
        <v>4665847.8159999996</v>
      </c>
      <c r="G109" s="29">
        <v>4680608.3609999996</v>
      </c>
      <c r="H109" s="30">
        <f t="shared" si="11"/>
        <v>-0.28004454243793475</v>
      </c>
      <c r="I109" s="115" t="str">
        <f t="shared" si="12"/>
        <v>è</v>
      </c>
      <c r="J109" s="369" t="s">
        <v>516</v>
      </c>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c r="AR109" s="16"/>
      <c r="AS109" s="16"/>
      <c r="AT109" s="16"/>
      <c r="AU109" s="16"/>
      <c r="AV109" s="16"/>
      <c r="AW109" s="16"/>
      <c r="AX109" s="16"/>
      <c r="AY109" s="16"/>
      <c r="AZ109" s="16"/>
      <c r="BA109" s="16"/>
      <c r="BB109" s="16"/>
      <c r="BC109" s="16"/>
      <c r="BD109" s="16"/>
      <c r="BE109" s="16"/>
      <c r="BF109" s="16"/>
      <c r="BG109" s="16"/>
      <c r="BH109" s="16"/>
      <c r="BI109" s="16"/>
      <c r="BJ109" s="16"/>
      <c r="BK109" s="16"/>
      <c r="BL109" s="16"/>
      <c r="BM109" s="16"/>
      <c r="BN109" s="16"/>
      <c r="BO109" s="16"/>
      <c r="BP109" s="16"/>
      <c r="BQ109" s="16"/>
      <c r="BR109" s="16"/>
      <c r="BS109" s="16"/>
      <c r="BT109" s="16"/>
      <c r="BU109" s="16"/>
      <c r="BV109" s="16"/>
      <c r="BW109" s="16"/>
      <c r="BX109" s="16"/>
      <c r="BY109" s="16"/>
      <c r="BZ109" s="16"/>
      <c r="CA109" s="16"/>
      <c r="CB109" s="16"/>
      <c r="CC109" s="16"/>
      <c r="CD109" s="16"/>
      <c r="CE109" s="16"/>
      <c r="CF109" s="16"/>
      <c r="CG109" s="16"/>
      <c r="CH109" s="16"/>
      <c r="CI109" s="16"/>
      <c r="CJ109" s="16"/>
      <c r="CK109" s="16"/>
      <c r="CL109" s="16"/>
      <c r="CM109" s="16"/>
      <c r="CN109" s="16"/>
      <c r="CO109" s="16"/>
      <c r="CP109" s="16"/>
      <c r="CQ109" s="16"/>
      <c r="CR109" s="16"/>
      <c r="CS109" s="16"/>
      <c r="CT109" s="16"/>
      <c r="CU109" s="16"/>
      <c r="CV109" s="16"/>
      <c r="CW109" s="16"/>
      <c r="CX109" s="16"/>
      <c r="CY109" s="16"/>
      <c r="CZ109" s="16"/>
      <c r="DA109" s="16"/>
      <c r="DB109" s="16"/>
      <c r="DC109" s="16"/>
      <c r="DD109" s="16"/>
      <c r="DE109" s="16"/>
      <c r="DF109" s="16"/>
      <c r="DG109" s="16"/>
      <c r="DH109" s="16"/>
      <c r="DI109" s="16"/>
      <c r="DJ109" s="16"/>
      <c r="DK109" s="16"/>
      <c r="DL109" s="16"/>
      <c r="DM109" s="16"/>
      <c r="DN109" s="16"/>
      <c r="DO109" s="16"/>
      <c r="DP109" s="16"/>
      <c r="DQ109" s="16"/>
      <c r="DR109" s="16"/>
      <c r="DS109" s="16"/>
      <c r="DT109" s="16"/>
      <c r="DU109" s="16"/>
      <c r="DV109" s="16"/>
      <c r="DW109" s="16"/>
      <c r="DX109" s="16"/>
      <c r="DY109" s="16"/>
      <c r="DZ109" s="16"/>
      <c r="EA109" s="16"/>
      <c r="EB109" s="16"/>
      <c r="EC109" s="16"/>
      <c r="ED109" s="16"/>
      <c r="EE109" s="16"/>
      <c r="EF109" s="16"/>
      <c r="EG109" s="16"/>
      <c r="EH109" s="16"/>
      <c r="EI109" s="16"/>
      <c r="EJ109" s="16"/>
      <c r="EK109" s="16"/>
      <c r="EL109" s="16"/>
      <c r="EM109" s="16"/>
      <c r="EN109" s="16"/>
      <c r="EO109" s="16"/>
      <c r="EP109" s="16"/>
      <c r="EQ109" s="16"/>
      <c r="ER109" s="16"/>
      <c r="ES109" s="16"/>
      <c r="ET109" s="16"/>
      <c r="EU109" s="16"/>
      <c r="EV109" s="16"/>
      <c r="EW109" s="16"/>
      <c r="EX109" s="16"/>
      <c r="EY109" s="16"/>
      <c r="EZ109" s="16"/>
      <c r="FA109" s="16"/>
      <c r="FB109" s="16"/>
      <c r="FC109" s="16"/>
      <c r="FD109" s="16"/>
      <c r="FE109" s="16"/>
      <c r="FF109" s="16"/>
      <c r="FG109" s="16"/>
      <c r="FH109" s="16"/>
      <c r="FI109" s="16"/>
      <c r="FJ109" s="16"/>
      <c r="FK109" s="16"/>
      <c r="FL109" s="16"/>
      <c r="FM109" s="16"/>
      <c r="FN109" s="16"/>
      <c r="FO109" s="16"/>
      <c r="FP109" s="16"/>
      <c r="FQ109" s="16"/>
      <c r="FR109" s="16"/>
      <c r="FS109" s="16"/>
      <c r="FT109" s="16"/>
      <c r="FU109" s="16"/>
      <c r="FV109" s="16"/>
      <c r="FW109" s="16"/>
      <c r="FX109" s="16"/>
      <c r="FY109" s="16"/>
      <c r="FZ109" s="16"/>
      <c r="GA109" s="16"/>
      <c r="GB109" s="16"/>
      <c r="GC109" s="16"/>
      <c r="GD109" s="16"/>
      <c r="GE109" s="16"/>
      <c r="GF109" s="16"/>
      <c r="GG109" s="16"/>
      <c r="GH109" s="16"/>
      <c r="GI109" s="16"/>
      <c r="GJ109" s="16"/>
      <c r="GK109" s="16"/>
      <c r="GL109" s="16"/>
      <c r="GM109" s="16"/>
      <c r="GN109" s="16"/>
      <c r="GO109" s="16"/>
      <c r="GP109" s="16"/>
      <c r="GQ109" s="16"/>
      <c r="GR109" s="16"/>
      <c r="GS109" s="16"/>
      <c r="GT109" s="16"/>
      <c r="GU109" s="16"/>
      <c r="GV109" s="16"/>
      <c r="GW109" s="16"/>
      <c r="GX109" s="16"/>
      <c r="GY109" s="16"/>
      <c r="GZ109" s="16"/>
      <c r="HA109" s="16"/>
      <c r="HB109" s="16"/>
      <c r="HC109" s="16"/>
      <c r="HD109" s="16"/>
      <c r="HE109" s="16"/>
      <c r="HF109" s="16"/>
      <c r="HG109" s="16"/>
      <c r="HH109" s="16"/>
      <c r="HI109" s="16"/>
      <c r="HJ109" s="16"/>
      <c r="HK109" s="16"/>
      <c r="HL109" s="16"/>
      <c r="HM109" s="16"/>
      <c r="HN109" s="16"/>
      <c r="HO109" s="16"/>
      <c r="HP109" s="16"/>
      <c r="HQ109" s="16"/>
      <c r="HR109" s="16"/>
      <c r="HS109" s="16"/>
      <c r="HT109" s="16"/>
      <c r="HU109" s="16"/>
      <c r="HV109" s="16"/>
      <c r="HW109" s="16"/>
      <c r="HX109" s="16"/>
      <c r="HY109" s="16"/>
      <c r="HZ109" s="16"/>
      <c r="IA109" s="16"/>
      <c r="IB109" s="16"/>
      <c r="IC109" s="16"/>
      <c r="ID109" s="16"/>
      <c r="IE109" s="16"/>
      <c r="IF109" s="16"/>
      <c r="IG109" s="16"/>
      <c r="IH109" s="16"/>
      <c r="II109" s="16"/>
      <c r="IJ109" s="16"/>
      <c r="IK109" s="16"/>
      <c r="IL109" s="16"/>
      <c r="IM109" s="16"/>
      <c r="IN109" s="16"/>
      <c r="IO109" s="16"/>
      <c r="IP109" s="16"/>
      <c r="IQ109" s="16"/>
      <c r="IR109" s="16"/>
      <c r="IS109" s="16"/>
      <c r="IT109" s="16"/>
    </row>
    <row r="110" spans="1:254">
      <c r="A110" s="18" t="s">
        <v>329</v>
      </c>
      <c r="B110" s="19" t="s">
        <v>330</v>
      </c>
      <c r="C110" s="20">
        <v>-410432</v>
      </c>
      <c r="D110" s="21">
        <v>-433693.5</v>
      </c>
      <c r="E110" s="21">
        <v>-433693.5</v>
      </c>
      <c r="F110" s="21">
        <v>-389327.19199999981</v>
      </c>
      <c r="G110" s="21">
        <v>-373482.0820000004</v>
      </c>
      <c r="H110" s="22">
        <f t="shared" si="11"/>
        <v>-9.0026893614531929</v>
      </c>
      <c r="I110" s="23" t="str">
        <f t="shared" si="12"/>
        <v>ì</v>
      </c>
      <c r="J110" s="368" t="s">
        <v>515</v>
      </c>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c r="BC110" s="16"/>
      <c r="BD110" s="16"/>
      <c r="BE110" s="16"/>
      <c r="BF110" s="16"/>
      <c r="BG110" s="16"/>
      <c r="BH110" s="16"/>
      <c r="BI110" s="16"/>
      <c r="BJ110" s="16"/>
      <c r="BK110" s="16"/>
      <c r="BL110" s="16"/>
      <c r="BM110" s="16"/>
      <c r="BN110" s="16"/>
      <c r="BO110" s="16"/>
      <c r="BP110" s="16"/>
      <c r="BQ110" s="16"/>
      <c r="BR110" s="16"/>
      <c r="BS110" s="16"/>
      <c r="BT110" s="16"/>
      <c r="BU110" s="16"/>
      <c r="BV110" s="16"/>
      <c r="BW110" s="16"/>
      <c r="BX110" s="16"/>
      <c r="BY110" s="16"/>
      <c r="BZ110" s="16"/>
      <c r="CA110" s="16"/>
      <c r="CB110" s="16"/>
      <c r="CC110" s="16"/>
      <c r="CD110" s="16"/>
      <c r="CE110" s="16"/>
      <c r="CF110" s="16"/>
      <c r="CG110" s="16"/>
      <c r="CH110" s="16"/>
      <c r="CI110" s="16"/>
      <c r="CJ110" s="16"/>
      <c r="CK110" s="16"/>
      <c r="CL110" s="16"/>
      <c r="CM110" s="16"/>
      <c r="CN110" s="16"/>
      <c r="CO110" s="16"/>
      <c r="CP110" s="16"/>
      <c r="CQ110" s="16"/>
      <c r="CR110" s="16"/>
      <c r="CS110" s="16"/>
      <c r="CT110" s="16"/>
      <c r="CU110" s="16"/>
      <c r="CV110" s="16"/>
      <c r="CW110" s="16"/>
      <c r="CX110" s="16"/>
      <c r="CY110" s="16"/>
      <c r="CZ110" s="16"/>
      <c r="DA110" s="16"/>
      <c r="DB110" s="16"/>
      <c r="DC110" s="16"/>
      <c r="DD110" s="16"/>
      <c r="DE110" s="16"/>
      <c r="DF110" s="16"/>
      <c r="DG110" s="16"/>
      <c r="DH110" s="16"/>
      <c r="DI110" s="16"/>
      <c r="DJ110" s="16"/>
      <c r="DK110" s="16"/>
      <c r="DL110" s="16"/>
      <c r="DM110" s="16"/>
      <c r="DN110" s="16"/>
      <c r="DO110" s="16"/>
      <c r="DP110" s="16"/>
      <c r="DQ110" s="16"/>
      <c r="DR110" s="16"/>
      <c r="DS110" s="16"/>
      <c r="DT110" s="16"/>
      <c r="DU110" s="16"/>
      <c r="DV110" s="16"/>
      <c r="DW110" s="16"/>
      <c r="DX110" s="16"/>
      <c r="DY110" s="16"/>
      <c r="DZ110" s="16"/>
      <c r="EA110" s="16"/>
      <c r="EB110" s="16"/>
      <c r="EC110" s="16"/>
      <c r="ED110" s="16"/>
      <c r="EE110" s="16"/>
      <c r="EF110" s="16"/>
      <c r="EG110" s="16"/>
      <c r="EH110" s="16"/>
      <c r="EI110" s="16"/>
      <c r="EJ110" s="16"/>
      <c r="EK110" s="16"/>
      <c r="EL110" s="16"/>
      <c r="EM110" s="16"/>
      <c r="EN110" s="16"/>
      <c r="EO110" s="16"/>
      <c r="EP110" s="16"/>
      <c r="EQ110" s="16"/>
      <c r="ER110" s="16"/>
      <c r="ES110" s="16"/>
      <c r="ET110" s="16"/>
      <c r="EU110" s="16"/>
      <c r="EV110" s="16"/>
      <c r="EW110" s="16"/>
      <c r="EX110" s="16"/>
      <c r="EY110" s="16"/>
      <c r="EZ110" s="16"/>
      <c r="FA110" s="16"/>
      <c r="FB110" s="16"/>
      <c r="FC110" s="16"/>
      <c r="FD110" s="16"/>
      <c r="FE110" s="16"/>
      <c r="FF110" s="16"/>
      <c r="FG110" s="16"/>
      <c r="FH110" s="16"/>
      <c r="FI110" s="16"/>
      <c r="FJ110" s="16"/>
      <c r="FK110" s="16"/>
      <c r="FL110" s="16"/>
      <c r="FM110" s="16"/>
      <c r="FN110" s="16"/>
      <c r="FO110" s="16"/>
      <c r="FP110" s="16"/>
      <c r="FQ110" s="16"/>
      <c r="FR110" s="16"/>
      <c r="FS110" s="16"/>
      <c r="FT110" s="16"/>
      <c r="FU110" s="16"/>
      <c r="FV110" s="16"/>
      <c r="FW110" s="16"/>
      <c r="FX110" s="16"/>
      <c r="FY110" s="16"/>
      <c r="FZ110" s="16"/>
      <c r="GA110" s="16"/>
      <c r="GB110" s="16"/>
      <c r="GC110" s="16"/>
      <c r="GD110" s="16"/>
      <c r="GE110" s="16"/>
      <c r="GF110" s="16"/>
      <c r="GG110" s="16"/>
      <c r="GH110" s="16"/>
      <c r="GI110" s="16"/>
      <c r="GJ110" s="16"/>
      <c r="GK110" s="16"/>
      <c r="GL110" s="16"/>
      <c r="GM110" s="16"/>
      <c r="GN110" s="16"/>
      <c r="GO110" s="16"/>
      <c r="GP110" s="16"/>
      <c r="GQ110" s="16"/>
      <c r="GR110" s="16"/>
      <c r="GS110" s="16"/>
      <c r="GT110" s="16"/>
      <c r="GU110" s="16"/>
      <c r="GV110" s="16"/>
      <c r="GW110" s="16"/>
      <c r="GX110" s="16"/>
      <c r="GY110" s="16"/>
      <c r="GZ110" s="16"/>
      <c r="HA110" s="16"/>
      <c r="HB110" s="16"/>
      <c r="HC110" s="16"/>
      <c r="HD110" s="16"/>
      <c r="HE110" s="16"/>
      <c r="HF110" s="16"/>
      <c r="HG110" s="16"/>
      <c r="HH110" s="16"/>
      <c r="HI110" s="16"/>
      <c r="HJ110" s="16"/>
      <c r="HK110" s="16"/>
      <c r="HL110" s="16"/>
      <c r="HM110" s="16"/>
      <c r="HN110" s="16"/>
      <c r="HO110" s="16"/>
      <c r="HP110" s="16"/>
      <c r="HQ110" s="16"/>
      <c r="HR110" s="16"/>
      <c r="HS110" s="16"/>
      <c r="HT110" s="16"/>
      <c r="HU110" s="16"/>
      <c r="HV110" s="16"/>
      <c r="HW110" s="16"/>
      <c r="HX110" s="16"/>
      <c r="HY110" s="16"/>
      <c r="HZ110" s="16"/>
      <c r="IA110" s="16"/>
      <c r="IB110" s="16"/>
      <c r="IC110" s="16"/>
      <c r="ID110" s="16"/>
      <c r="IE110" s="16"/>
      <c r="IF110" s="16"/>
      <c r="IG110" s="16"/>
      <c r="IH110" s="16"/>
      <c r="II110" s="16"/>
      <c r="IJ110" s="16"/>
      <c r="IK110" s="16"/>
      <c r="IL110" s="16"/>
      <c r="IM110" s="16"/>
      <c r="IN110" s="16"/>
      <c r="IO110" s="16"/>
      <c r="IP110" s="16"/>
      <c r="IQ110" s="16"/>
      <c r="IR110" s="16"/>
      <c r="IS110" s="16"/>
      <c r="IT110" s="16"/>
    </row>
    <row r="111" spans="1:254">
      <c r="A111" s="26" t="s">
        <v>331</v>
      </c>
      <c r="B111" s="27" t="s">
        <v>332</v>
      </c>
      <c r="C111" s="28">
        <v>1229399.24</v>
      </c>
      <c r="D111" s="29">
        <v>1220025.49</v>
      </c>
      <c r="E111" s="29">
        <v>1220025.49</v>
      </c>
      <c r="F111" s="29">
        <v>1232763.656</v>
      </c>
      <c r="G111" s="29">
        <v>1237313.0009999999</v>
      </c>
      <c r="H111" s="30">
        <f t="shared" si="11"/>
        <v>0.64370960567698887</v>
      </c>
      <c r="I111" s="115" t="str">
        <f t="shared" si="12"/>
        <v>è</v>
      </c>
      <c r="J111" s="369" t="s">
        <v>515</v>
      </c>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c r="AS111" s="16"/>
      <c r="AT111" s="16"/>
      <c r="AU111" s="16"/>
      <c r="AV111" s="16"/>
      <c r="AW111" s="16"/>
      <c r="AX111" s="16"/>
      <c r="AY111" s="16"/>
      <c r="AZ111" s="16"/>
      <c r="BA111" s="16"/>
      <c r="BB111" s="16"/>
      <c r="BC111" s="16"/>
      <c r="BD111" s="16"/>
      <c r="BE111" s="16"/>
      <c r="BF111" s="16"/>
      <c r="BG111" s="16"/>
      <c r="BH111" s="16"/>
      <c r="BI111" s="16"/>
      <c r="BJ111" s="16"/>
      <c r="BK111" s="16"/>
      <c r="BL111" s="16"/>
      <c r="BM111" s="16"/>
      <c r="BN111" s="16"/>
      <c r="BO111" s="16"/>
      <c r="BP111" s="16"/>
      <c r="BQ111" s="16"/>
      <c r="BR111" s="16"/>
      <c r="BS111" s="16"/>
      <c r="BT111" s="16"/>
      <c r="BU111" s="16"/>
      <c r="BV111" s="16"/>
      <c r="BW111" s="16"/>
      <c r="BX111" s="16"/>
      <c r="BY111" s="16"/>
      <c r="BZ111" s="16"/>
      <c r="CA111" s="16"/>
      <c r="CB111" s="16"/>
      <c r="CC111" s="16"/>
      <c r="CD111" s="16"/>
      <c r="CE111" s="16"/>
      <c r="CF111" s="16"/>
      <c r="CG111" s="16"/>
      <c r="CH111" s="16"/>
      <c r="CI111" s="16"/>
      <c r="CJ111" s="16"/>
      <c r="CK111" s="16"/>
      <c r="CL111" s="16"/>
      <c r="CM111" s="16"/>
      <c r="CN111" s="16"/>
      <c r="CO111" s="16"/>
      <c r="CP111" s="16"/>
      <c r="CQ111" s="16"/>
      <c r="CR111" s="16"/>
      <c r="CS111" s="16"/>
      <c r="CT111" s="16"/>
      <c r="CU111" s="16"/>
      <c r="CV111" s="16"/>
      <c r="CW111" s="16"/>
      <c r="CX111" s="16"/>
      <c r="CY111" s="16"/>
      <c r="CZ111" s="16"/>
      <c r="DA111" s="16"/>
      <c r="DB111" s="16"/>
      <c r="DC111" s="16"/>
      <c r="DD111" s="16"/>
      <c r="DE111" s="16"/>
      <c r="DF111" s="16"/>
      <c r="DG111" s="16"/>
      <c r="DH111" s="16"/>
      <c r="DI111" s="16"/>
      <c r="DJ111" s="16"/>
      <c r="DK111" s="16"/>
      <c r="DL111" s="16"/>
      <c r="DM111" s="16"/>
      <c r="DN111" s="16"/>
      <c r="DO111" s="16"/>
      <c r="DP111" s="16"/>
      <c r="DQ111" s="16"/>
      <c r="DR111" s="16"/>
      <c r="DS111" s="16"/>
      <c r="DT111" s="16"/>
      <c r="DU111" s="16"/>
      <c r="DV111" s="16"/>
      <c r="DW111" s="16"/>
      <c r="DX111" s="16"/>
      <c r="DY111" s="16"/>
      <c r="DZ111" s="16"/>
      <c r="EA111" s="16"/>
      <c r="EB111" s="16"/>
      <c r="EC111" s="16"/>
      <c r="ED111" s="16"/>
      <c r="EE111" s="16"/>
      <c r="EF111" s="16"/>
      <c r="EG111" s="16"/>
      <c r="EH111" s="16"/>
      <c r="EI111" s="16"/>
      <c r="EJ111" s="16"/>
      <c r="EK111" s="16"/>
      <c r="EL111" s="16"/>
      <c r="EM111" s="16"/>
      <c r="EN111" s="16"/>
      <c r="EO111" s="16"/>
      <c r="EP111" s="16"/>
      <c r="EQ111" s="16"/>
      <c r="ER111" s="16"/>
      <c r="ES111" s="16"/>
      <c r="ET111" s="16"/>
      <c r="EU111" s="16"/>
      <c r="EV111" s="16"/>
      <c r="EW111" s="16"/>
      <c r="EX111" s="16"/>
      <c r="EY111" s="16"/>
      <c r="EZ111" s="16"/>
      <c r="FA111" s="16"/>
      <c r="FB111" s="16"/>
      <c r="FC111" s="16"/>
      <c r="FD111" s="16"/>
      <c r="FE111" s="16"/>
      <c r="FF111" s="16"/>
      <c r="FG111" s="16"/>
      <c r="FH111" s="16"/>
      <c r="FI111" s="16"/>
      <c r="FJ111" s="16"/>
      <c r="FK111" s="16"/>
      <c r="FL111" s="16"/>
      <c r="FM111" s="16"/>
      <c r="FN111" s="16"/>
      <c r="FO111" s="16"/>
      <c r="FP111" s="16"/>
      <c r="FQ111" s="16"/>
      <c r="FR111" s="16"/>
      <c r="FS111" s="16"/>
      <c r="FT111" s="16"/>
      <c r="FU111" s="16"/>
      <c r="FV111" s="16"/>
      <c r="FW111" s="16"/>
      <c r="FX111" s="16"/>
      <c r="FY111" s="16"/>
      <c r="FZ111" s="16"/>
      <c r="GA111" s="16"/>
      <c r="GB111" s="16"/>
      <c r="GC111" s="16"/>
      <c r="GD111" s="16"/>
      <c r="GE111" s="16"/>
      <c r="GF111" s="16"/>
      <c r="GG111" s="16"/>
      <c r="GH111" s="16"/>
      <c r="GI111" s="16"/>
      <c r="GJ111" s="16"/>
      <c r="GK111" s="16"/>
      <c r="GL111" s="16"/>
      <c r="GM111" s="16"/>
      <c r="GN111" s="16"/>
      <c r="GO111" s="16"/>
      <c r="GP111" s="16"/>
      <c r="GQ111" s="16"/>
      <c r="GR111" s="16"/>
      <c r="GS111" s="16"/>
      <c r="GT111" s="16"/>
      <c r="GU111" s="16"/>
      <c r="GV111" s="16"/>
      <c r="GW111" s="16"/>
      <c r="GX111" s="16"/>
      <c r="GY111" s="16"/>
      <c r="GZ111" s="16"/>
      <c r="HA111" s="16"/>
      <c r="HB111" s="16"/>
      <c r="HC111" s="16"/>
      <c r="HD111" s="16"/>
      <c r="HE111" s="16"/>
      <c r="HF111" s="16"/>
      <c r="HG111" s="16"/>
      <c r="HH111" s="16"/>
      <c r="HI111" s="16"/>
      <c r="HJ111" s="16"/>
      <c r="HK111" s="16"/>
      <c r="HL111" s="16"/>
      <c r="HM111" s="16"/>
      <c r="HN111" s="16"/>
      <c r="HO111" s="16"/>
      <c r="HP111" s="16"/>
      <c r="HQ111" s="16"/>
      <c r="HR111" s="16"/>
      <c r="HS111" s="16"/>
      <c r="HT111" s="16"/>
      <c r="HU111" s="16"/>
      <c r="HV111" s="16"/>
      <c r="HW111" s="16"/>
      <c r="HX111" s="16"/>
      <c r="HY111" s="16"/>
      <c r="HZ111" s="16"/>
      <c r="IA111" s="16"/>
      <c r="IB111" s="16"/>
      <c r="IC111" s="16"/>
      <c r="ID111" s="16"/>
      <c r="IE111" s="16"/>
      <c r="IF111" s="16"/>
      <c r="IG111" s="16"/>
      <c r="IH111" s="16"/>
      <c r="II111" s="16"/>
      <c r="IJ111" s="16"/>
      <c r="IK111" s="16"/>
      <c r="IL111" s="16"/>
      <c r="IM111" s="16"/>
      <c r="IN111" s="16"/>
      <c r="IO111" s="16"/>
      <c r="IP111" s="16"/>
      <c r="IQ111" s="16"/>
      <c r="IR111" s="16"/>
      <c r="IS111" s="16"/>
      <c r="IT111" s="16"/>
    </row>
    <row r="112" spans="1:254" ht="24">
      <c r="A112" s="18" t="s">
        <v>333</v>
      </c>
      <c r="B112" s="19" t="s">
        <v>334</v>
      </c>
      <c r="C112" s="20">
        <v>-415100000</v>
      </c>
      <c r="D112" s="21">
        <v>-418800000</v>
      </c>
      <c r="E112" s="21">
        <v>-427700000</v>
      </c>
      <c r="F112" s="21">
        <v>-435900000</v>
      </c>
      <c r="G112" s="21">
        <v>-445200000</v>
      </c>
      <c r="H112" s="22">
        <f t="shared" si="11"/>
        <v>7.2512647554806193</v>
      </c>
      <c r="I112" s="23" t="str">
        <f t="shared" si="12"/>
        <v>î</v>
      </c>
      <c r="J112" s="386" t="s">
        <v>517</v>
      </c>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16"/>
      <c r="AS112" s="16"/>
      <c r="AT112" s="16"/>
      <c r="AU112" s="16"/>
      <c r="AV112" s="16"/>
      <c r="AW112" s="16"/>
      <c r="AX112" s="16"/>
      <c r="AY112" s="16"/>
      <c r="AZ112" s="16"/>
      <c r="BA112" s="16"/>
      <c r="BB112" s="16"/>
      <c r="BC112" s="16"/>
      <c r="BD112" s="16"/>
      <c r="BE112" s="16"/>
      <c r="BF112" s="16"/>
      <c r="BG112" s="16"/>
      <c r="BH112" s="16"/>
      <c r="BI112" s="16"/>
      <c r="BJ112" s="16"/>
      <c r="BK112" s="16"/>
      <c r="BL112" s="16"/>
      <c r="BM112" s="16"/>
      <c r="BN112" s="16"/>
      <c r="BO112" s="16"/>
      <c r="BP112" s="16"/>
      <c r="BQ112" s="16"/>
      <c r="BR112" s="16"/>
      <c r="BS112" s="16"/>
      <c r="BT112" s="16"/>
      <c r="BU112" s="16"/>
      <c r="BV112" s="16"/>
      <c r="BW112" s="16"/>
      <c r="BX112" s="16"/>
      <c r="BY112" s="16"/>
      <c r="BZ112" s="16"/>
      <c r="CA112" s="16"/>
      <c r="CB112" s="16"/>
      <c r="CC112" s="16"/>
      <c r="CD112" s="16"/>
      <c r="CE112" s="16"/>
      <c r="CF112" s="16"/>
      <c r="CG112" s="16"/>
      <c r="CH112" s="16"/>
      <c r="CI112" s="16"/>
      <c r="CJ112" s="16"/>
      <c r="CK112" s="16"/>
      <c r="CL112" s="16"/>
      <c r="CM112" s="16"/>
      <c r="CN112" s="16"/>
      <c r="CO112" s="16"/>
      <c r="CP112" s="16"/>
      <c r="CQ112" s="16"/>
      <c r="CR112" s="16"/>
      <c r="CS112" s="16"/>
      <c r="CT112" s="16"/>
      <c r="CU112" s="16"/>
      <c r="CV112" s="16"/>
      <c r="CW112" s="16"/>
      <c r="CX112" s="16"/>
      <c r="CY112" s="16"/>
      <c r="CZ112" s="16"/>
      <c r="DA112" s="16"/>
      <c r="DB112" s="16"/>
      <c r="DC112" s="16"/>
      <c r="DD112" s="16"/>
      <c r="DE112" s="16"/>
      <c r="DF112" s="16"/>
      <c r="DG112" s="16"/>
      <c r="DH112" s="16"/>
      <c r="DI112" s="16"/>
      <c r="DJ112" s="16"/>
      <c r="DK112" s="16"/>
      <c r="DL112" s="16"/>
      <c r="DM112" s="16"/>
      <c r="DN112" s="16"/>
      <c r="DO112" s="16"/>
      <c r="DP112" s="16"/>
      <c r="DQ112" s="16"/>
      <c r="DR112" s="16"/>
      <c r="DS112" s="16"/>
      <c r="DT112" s="16"/>
      <c r="DU112" s="16"/>
      <c r="DV112" s="16"/>
      <c r="DW112" s="16"/>
      <c r="DX112" s="16"/>
      <c r="DY112" s="16"/>
      <c r="DZ112" s="16"/>
      <c r="EA112" s="16"/>
      <c r="EB112" s="16"/>
      <c r="EC112" s="16"/>
      <c r="ED112" s="16"/>
      <c r="EE112" s="16"/>
      <c r="EF112" s="16"/>
      <c r="EG112" s="16"/>
      <c r="EH112" s="16"/>
      <c r="EI112" s="16"/>
      <c r="EJ112" s="16"/>
      <c r="EK112" s="16"/>
      <c r="EL112" s="16"/>
      <c r="EM112" s="16"/>
      <c r="EN112" s="16"/>
      <c r="EO112" s="16"/>
      <c r="EP112" s="16"/>
      <c r="EQ112" s="16"/>
      <c r="ER112" s="16"/>
      <c r="ES112" s="16"/>
      <c r="ET112" s="16"/>
      <c r="EU112" s="16"/>
      <c r="EV112" s="16"/>
      <c r="EW112" s="16"/>
      <c r="EX112" s="16"/>
      <c r="EY112" s="16"/>
      <c r="EZ112" s="16"/>
      <c r="FA112" s="16"/>
      <c r="FB112" s="16"/>
      <c r="FC112" s="16"/>
      <c r="FD112" s="16"/>
      <c r="FE112" s="16"/>
      <c r="FF112" s="16"/>
      <c r="FG112" s="16"/>
      <c r="FH112" s="16"/>
      <c r="FI112" s="16"/>
      <c r="FJ112" s="16"/>
      <c r="FK112" s="16"/>
      <c r="FL112" s="16"/>
      <c r="FM112" s="16"/>
      <c r="FN112" s="16"/>
      <c r="FO112" s="16"/>
      <c r="FP112" s="16"/>
      <c r="FQ112" s="16"/>
      <c r="FR112" s="16"/>
      <c r="FS112" s="16"/>
      <c r="FT112" s="16"/>
      <c r="FU112" s="16"/>
      <c r="FV112" s="16"/>
      <c r="FW112" s="16"/>
      <c r="FX112" s="16"/>
      <c r="FY112" s="16"/>
      <c r="FZ112" s="16"/>
      <c r="GA112" s="16"/>
      <c r="GB112" s="16"/>
      <c r="GC112" s="16"/>
      <c r="GD112" s="16"/>
      <c r="GE112" s="16"/>
      <c r="GF112" s="16"/>
      <c r="GG112" s="16"/>
      <c r="GH112" s="16"/>
      <c r="GI112" s="16"/>
      <c r="GJ112" s="16"/>
      <c r="GK112" s="16"/>
      <c r="GL112" s="16"/>
      <c r="GM112" s="16"/>
      <c r="GN112" s="16"/>
      <c r="GO112" s="16"/>
      <c r="GP112" s="16"/>
      <c r="GQ112" s="16"/>
      <c r="GR112" s="16"/>
      <c r="GS112" s="16"/>
      <c r="GT112" s="16"/>
      <c r="GU112" s="16"/>
      <c r="GV112" s="16"/>
      <c r="GW112" s="16"/>
      <c r="GX112" s="16"/>
      <c r="GY112" s="16"/>
      <c r="GZ112" s="16"/>
      <c r="HA112" s="16"/>
      <c r="HB112" s="16"/>
      <c r="HC112" s="16"/>
      <c r="HD112" s="16"/>
      <c r="HE112" s="16"/>
      <c r="HF112" s="16"/>
      <c r="HG112" s="16"/>
      <c r="HH112" s="16"/>
      <c r="HI112" s="16"/>
      <c r="HJ112" s="16"/>
      <c r="HK112" s="16"/>
      <c r="HL112" s="16"/>
      <c r="HM112" s="16"/>
      <c r="HN112" s="16"/>
      <c r="HO112" s="16"/>
      <c r="HP112" s="16"/>
      <c r="HQ112" s="16"/>
      <c r="HR112" s="16"/>
      <c r="HS112" s="16"/>
      <c r="HT112" s="16"/>
      <c r="HU112" s="16"/>
      <c r="HV112" s="16"/>
      <c r="HW112" s="16"/>
      <c r="HX112" s="16"/>
      <c r="HY112" s="16"/>
      <c r="HZ112" s="16"/>
      <c r="IA112" s="16"/>
      <c r="IB112" s="16"/>
      <c r="IC112" s="16"/>
      <c r="ID112" s="16"/>
      <c r="IE112" s="16"/>
      <c r="IF112" s="16"/>
      <c r="IG112" s="16"/>
      <c r="IH112" s="16"/>
      <c r="II112" s="16"/>
      <c r="IJ112" s="16"/>
      <c r="IK112" s="16"/>
      <c r="IL112" s="16"/>
      <c r="IM112" s="16"/>
      <c r="IN112" s="16"/>
      <c r="IO112" s="16"/>
      <c r="IP112" s="16"/>
      <c r="IQ112" s="16"/>
      <c r="IR112" s="16"/>
      <c r="IS112" s="16"/>
      <c r="IT112" s="16"/>
    </row>
    <row r="113" spans="1:254" ht="48">
      <c r="A113" s="26" t="s">
        <v>335</v>
      </c>
      <c r="B113" s="27" t="s">
        <v>118</v>
      </c>
      <c r="C113" s="28">
        <v>4222440.8</v>
      </c>
      <c r="D113" s="29">
        <v>3637309.8687999994</v>
      </c>
      <c r="E113" s="29">
        <v>3536559.8687999998</v>
      </c>
      <c r="F113" s="29">
        <v>3575696.9651199998</v>
      </c>
      <c r="G113" s="29">
        <v>3589674.4995199996</v>
      </c>
      <c r="H113" s="30">
        <f t="shared" si="11"/>
        <v>-14.985794483607691</v>
      </c>
      <c r="I113" s="115" t="str">
        <f t="shared" si="12"/>
        <v>î</v>
      </c>
      <c r="J113" s="369" t="s">
        <v>560</v>
      </c>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c r="AS113" s="16"/>
      <c r="AT113" s="16"/>
      <c r="AU113" s="16"/>
      <c r="AV113" s="16"/>
      <c r="AW113" s="16"/>
      <c r="AX113" s="16"/>
      <c r="AY113" s="16"/>
      <c r="AZ113" s="16"/>
      <c r="BA113" s="16"/>
      <c r="BB113" s="16"/>
      <c r="BC113" s="16"/>
      <c r="BD113" s="16"/>
      <c r="BE113" s="16"/>
      <c r="BF113" s="16"/>
      <c r="BG113" s="16"/>
      <c r="BH113" s="16"/>
      <c r="BI113" s="16"/>
      <c r="BJ113" s="16"/>
      <c r="BK113" s="16"/>
      <c r="BL113" s="16"/>
      <c r="BM113" s="16"/>
      <c r="BN113" s="16"/>
      <c r="BO113" s="16"/>
      <c r="BP113" s="16"/>
      <c r="BQ113" s="16"/>
      <c r="BR113" s="16"/>
      <c r="BS113" s="16"/>
      <c r="BT113" s="16"/>
      <c r="BU113" s="16"/>
      <c r="BV113" s="16"/>
      <c r="BW113" s="16"/>
      <c r="BX113" s="16"/>
      <c r="BY113" s="16"/>
      <c r="BZ113" s="16"/>
      <c r="CA113" s="16"/>
      <c r="CB113" s="16"/>
      <c r="CC113" s="16"/>
      <c r="CD113" s="16"/>
      <c r="CE113" s="16"/>
      <c r="CF113" s="16"/>
      <c r="CG113" s="16"/>
      <c r="CH113" s="16"/>
      <c r="CI113" s="16"/>
      <c r="CJ113" s="16"/>
      <c r="CK113" s="16"/>
      <c r="CL113" s="16"/>
      <c r="CM113" s="16"/>
      <c r="CN113" s="16"/>
      <c r="CO113" s="16"/>
      <c r="CP113" s="16"/>
      <c r="CQ113" s="16"/>
      <c r="CR113" s="16"/>
      <c r="CS113" s="16"/>
      <c r="CT113" s="16"/>
      <c r="CU113" s="16"/>
      <c r="CV113" s="16"/>
      <c r="CW113" s="16"/>
      <c r="CX113" s="16"/>
      <c r="CY113" s="16"/>
      <c r="CZ113" s="16"/>
      <c r="DA113" s="16"/>
      <c r="DB113" s="16"/>
      <c r="DC113" s="16"/>
      <c r="DD113" s="16"/>
      <c r="DE113" s="16"/>
      <c r="DF113" s="16"/>
      <c r="DG113" s="16"/>
      <c r="DH113" s="16"/>
      <c r="DI113" s="16"/>
      <c r="DJ113" s="16"/>
      <c r="DK113" s="16"/>
      <c r="DL113" s="16"/>
      <c r="DM113" s="16"/>
      <c r="DN113" s="16"/>
      <c r="DO113" s="16"/>
      <c r="DP113" s="16"/>
      <c r="DQ113" s="16"/>
      <c r="DR113" s="16"/>
      <c r="DS113" s="16"/>
      <c r="DT113" s="16"/>
      <c r="DU113" s="16"/>
      <c r="DV113" s="16"/>
      <c r="DW113" s="16"/>
      <c r="DX113" s="16"/>
      <c r="DY113" s="16"/>
      <c r="DZ113" s="16"/>
      <c r="EA113" s="16"/>
      <c r="EB113" s="16"/>
      <c r="EC113" s="16"/>
      <c r="ED113" s="16"/>
      <c r="EE113" s="16"/>
      <c r="EF113" s="16"/>
      <c r="EG113" s="16"/>
      <c r="EH113" s="16"/>
      <c r="EI113" s="16"/>
      <c r="EJ113" s="16"/>
      <c r="EK113" s="16"/>
      <c r="EL113" s="16"/>
      <c r="EM113" s="16"/>
      <c r="EN113" s="16"/>
      <c r="EO113" s="16"/>
      <c r="EP113" s="16"/>
      <c r="EQ113" s="16"/>
      <c r="ER113" s="16"/>
      <c r="ES113" s="16"/>
      <c r="ET113" s="16"/>
      <c r="EU113" s="16"/>
      <c r="EV113" s="16"/>
      <c r="EW113" s="16"/>
      <c r="EX113" s="16"/>
      <c r="EY113" s="16"/>
      <c r="EZ113" s="16"/>
      <c r="FA113" s="16"/>
      <c r="FB113" s="16"/>
      <c r="FC113" s="16"/>
      <c r="FD113" s="16"/>
      <c r="FE113" s="16"/>
      <c r="FF113" s="16"/>
      <c r="FG113" s="16"/>
      <c r="FH113" s="16"/>
      <c r="FI113" s="16"/>
      <c r="FJ113" s="16"/>
      <c r="FK113" s="16"/>
      <c r="FL113" s="16"/>
      <c r="FM113" s="16"/>
      <c r="FN113" s="16"/>
      <c r="FO113" s="16"/>
      <c r="FP113" s="16"/>
      <c r="FQ113" s="16"/>
      <c r="FR113" s="16"/>
      <c r="FS113" s="16"/>
      <c r="FT113" s="16"/>
      <c r="FU113" s="16"/>
      <c r="FV113" s="16"/>
      <c r="FW113" s="16"/>
      <c r="FX113" s="16"/>
      <c r="FY113" s="16"/>
      <c r="FZ113" s="16"/>
      <c r="GA113" s="16"/>
      <c r="GB113" s="16"/>
      <c r="GC113" s="16"/>
      <c r="GD113" s="16"/>
      <c r="GE113" s="16"/>
      <c r="GF113" s="16"/>
      <c r="GG113" s="16"/>
      <c r="GH113" s="16"/>
      <c r="GI113" s="16"/>
      <c r="GJ113" s="16"/>
      <c r="GK113" s="16"/>
      <c r="GL113" s="16"/>
      <c r="GM113" s="16"/>
      <c r="GN113" s="16"/>
      <c r="GO113" s="16"/>
      <c r="GP113" s="16"/>
      <c r="GQ113" s="16"/>
      <c r="GR113" s="16"/>
      <c r="GS113" s="16"/>
      <c r="GT113" s="16"/>
      <c r="GU113" s="16"/>
      <c r="GV113" s="16"/>
      <c r="GW113" s="16"/>
      <c r="GX113" s="16"/>
      <c r="GY113" s="16"/>
      <c r="GZ113" s="16"/>
      <c r="HA113" s="16"/>
      <c r="HB113" s="16"/>
      <c r="HC113" s="16"/>
      <c r="HD113" s="16"/>
      <c r="HE113" s="16"/>
      <c r="HF113" s="16"/>
      <c r="HG113" s="16"/>
      <c r="HH113" s="16"/>
      <c r="HI113" s="16"/>
      <c r="HJ113" s="16"/>
      <c r="HK113" s="16"/>
      <c r="HL113" s="16"/>
      <c r="HM113" s="16"/>
      <c r="HN113" s="16"/>
      <c r="HO113" s="16"/>
      <c r="HP113" s="16"/>
      <c r="HQ113" s="16"/>
      <c r="HR113" s="16"/>
      <c r="HS113" s="16"/>
      <c r="HT113" s="16"/>
      <c r="HU113" s="16"/>
      <c r="HV113" s="16"/>
      <c r="HW113" s="16"/>
      <c r="HX113" s="16"/>
      <c r="HY113" s="16"/>
      <c r="HZ113" s="16"/>
      <c r="IA113" s="16"/>
      <c r="IB113" s="16"/>
      <c r="IC113" s="16"/>
      <c r="ID113" s="16"/>
      <c r="IE113" s="16"/>
      <c r="IF113" s="16"/>
      <c r="IG113" s="16"/>
      <c r="IH113" s="16"/>
      <c r="II113" s="16"/>
      <c r="IJ113" s="16"/>
      <c r="IK113" s="16"/>
      <c r="IL113" s="16"/>
      <c r="IM113" s="16"/>
      <c r="IN113" s="16"/>
      <c r="IO113" s="16"/>
      <c r="IP113" s="16"/>
      <c r="IQ113" s="16"/>
      <c r="IR113" s="16"/>
      <c r="IS113" s="16"/>
      <c r="IT113" s="16"/>
    </row>
    <row r="114" spans="1:254" ht="48" hidden="1" outlineLevel="1">
      <c r="A114" s="298" t="s">
        <v>336</v>
      </c>
      <c r="B114" s="299" t="s">
        <v>120</v>
      </c>
      <c r="C114" s="300">
        <v>0</v>
      </c>
      <c r="D114" s="300">
        <v>0</v>
      </c>
      <c r="E114" s="300">
        <v>0</v>
      </c>
      <c r="F114" s="300">
        <v>0</v>
      </c>
      <c r="G114" s="300">
        <v>0</v>
      </c>
      <c r="H114" s="301" t="e">
        <f t="shared" si="11"/>
        <v>#DIV/0!</v>
      </c>
      <c r="I114" s="302" t="str">
        <f t="shared" si="12"/>
        <v>è</v>
      </c>
      <c r="J114" s="305" t="s">
        <v>168</v>
      </c>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c r="AN114" s="16"/>
      <c r="AO114" s="16"/>
      <c r="AP114" s="16"/>
      <c r="AQ114" s="16"/>
      <c r="AR114" s="16"/>
      <c r="AS114" s="16"/>
      <c r="AT114" s="16"/>
      <c r="AU114" s="16"/>
      <c r="AV114" s="16"/>
      <c r="AW114" s="16"/>
      <c r="AX114" s="16"/>
      <c r="AY114" s="16"/>
      <c r="AZ114" s="16"/>
      <c r="BA114" s="16"/>
      <c r="BB114" s="16"/>
      <c r="BC114" s="16"/>
      <c r="BD114" s="16"/>
      <c r="BE114" s="16"/>
      <c r="BF114" s="16"/>
      <c r="BG114" s="16"/>
      <c r="BH114" s="16"/>
      <c r="BI114" s="16"/>
      <c r="BJ114" s="16"/>
      <c r="BK114" s="16"/>
      <c r="BL114" s="16"/>
      <c r="BM114" s="16"/>
      <c r="BN114" s="16"/>
      <c r="BO114" s="16"/>
      <c r="BP114" s="16"/>
      <c r="BQ114" s="16"/>
      <c r="BR114" s="16"/>
      <c r="BS114" s="16"/>
      <c r="BT114" s="16"/>
      <c r="BU114" s="16"/>
      <c r="BV114" s="16"/>
      <c r="BW114" s="16"/>
      <c r="BX114" s="16"/>
      <c r="BY114" s="16"/>
      <c r="BZ114" s="16"/>
      <c r="CA114" s="16"/>
      <c r="CB114" s="16"/>
      <c r="CC114" s="16"/>
      <c r="CD114" s="16"/>
      <c r="CE114" s="16"/>
      <c r="CF114" s="16"/>
      <c r="CG114" s="16"/>
      <c r="CH114" s="16"/>
      <c r="CI114" s="16"/>
      <c r="CJ114" s="16"/>
      <c r="CK114" s="16"/>
      <c r="CL114" s="16"/>
      <c r="CM114" s="16"/>
      <c r="CN114" s="16"/>
      <c r="CO114" s="16"/>
      <c r="CP114" s="16"/>
      <c r="CQ114" s="16"/>
      <c r="CR114" s="16"/>
      <c r="CS114" s="16"/>
      <c r="CT114" s="16"/>
      <c r="CU114" s="16"/>
      <c r="CV114" s="16"/>
      <c r="CW114" s="16"/>
      <c r="CX114" s="16"/>
      <c r="CY114" s="16"/>
      <c r="CZ114" s="16"/>
      <c r="DA114" s="16"/>
      <c r="DB114" s="16"/>
      <c r="DC114" s="16"/>
      <c r="DD114" s="16"/>
      <c r="DE114" s="16"/>
      <c r="DF114" s="16"/>
      <c r="DG114" s="16"/>
      <c r="DH114" s="16"/>
      <c r="DI114" s="16"/>
      <c r="DJ114" s="16"/>
      <c r="DK114" s="16"/>
      <c r="DL114" s="16"/>
      <c r="DM114" s="16"/>
      <c r="DN114" s="16"/>
      <c r="DO114" s="16"/>
      <c r="DP114" s="16"/>
      <c r="DQ114" s="16"/>
      <c r="DR114" s="16"/>
      <c r="DS114" s="16"/>
      <c r="DT114" s="16"/>
      <c r="DU114" s="16"/>
      <c r="DV114" s="16"/>
      <c r="DW114" s="16"/>
      <c r="DX114" s="16"/>
      <c r="DY114" s="16"/>
      <c r="DZ114" s="16"/>
      <c r="EA114" s="16"/>
      <c r="EB114" s="16"/>
      <c r="EC114" s="16"/>
      <c r="ED114" s="16"/>
      <c r="EE114" s="16"/>
      <c r="EF114" s="16"/>
      <c r="EG114" s="16"/>
      <c r="EH114" s="16"/>
      <c r="EI114" s="16"/>
      <c r="EJ114" s="16"/>
      <c r="EK114" s="16"/>
      <c r="EL114" s="16"/>
      <c r="EM114" s="16"/>
      <c r="EN114" s="16"/>
      <c r="EO114" s="16"/>
      <c r="EP114" s="16"/>
      <c r="EQ114" s="16"/>
      <c r="ER114" s="16"/>
      <c r="ES114" s="16"/>
      <c r="ET114" s="16"/>
      <c r="EU114" s="16"/>
      <c r="EV114" s="16"/>
      <c r="EW114" s="16"/>
      <c r="EX114" s="16"/>
      <c r="EY114" s="16"/>
      <c r="EZ114" s="16"/>
      <c r="FA114" s="16"/>
      <c r="FB114" s="16"/>
      <c r="FC114" s="16"/>
      <c r="FD114" s="16"/>
      <c r="FE114" s="16"/>
      <c r="FF114" s="16"/>
      <c r="FG114" s="16"/>
      <c r="FH114" s="16"/>
      <c r="FI114" s="16"/>
      <c r="FJ114" s="16"/>
      <c r="FK114" s="16"/>
      <c r="FL114" s="16"/>
      <c r="FM114" s="16"/>
      <c r="FN114" s="16"/>
      <c r="FO114" s="16"/>
      <c r="FP114" s="16"/>
      <c r="FQ114" s="16"/>
      <c r="FR114" s="16"/>
      <c r="FS114" s="16"/>
      <c r="FT114" s="16"/>
      <c r="FU114" s="16"/>
      <c r="FV114" s="16"/>
      <c r="FW114" s="16"/>
      <c r="FX114" s="16"/>
      <c r="FY114" s="16"/>
      <c r="FZ114" s="16"/>
      <c r="GA114" s="16"/>
      <c r="GB114" s="16"/>
      <c r="GC114" s="16"/>
      <c r="GD114" s="16"/>
      <c r="GE114" s="16"/>
      <c r="GF114" s="16"/>
      <c r="GG114" s="16"/>
      <c r="GH114" s="16"/>
      <c r="GI114" s="16"/>
      <c r="GJ114" s="16"/>
      <c r="GK114" s="16"/>
      <c r="GL114" s="16"/>
      <c r="GM114" s="16"/>
      <c r="GN114" s="16"/>
      <c r="GO114" s="16"/>
      <c r="GP114" s="16"/>
      <c r="GQ114" s="16"/>
      <c r="GR114" s="16"/>
      <c r="GS114" s="16"/>
      <c r="GT114" s="16"/>
      <c r="GU114" s="16"/>
      <c r="GV114" s="16"/>
      <c r="GW114" s="16"/>
      <c r="GX114" s="16"/>
      <c r="GY114" s="16"/>
      <c r="GZ114" s="16"/>
      <c r="HA114" s="16"/>
      <c r="HB114" s="16"/>
      <c r="HC114" s="16"/>
      <c r="HD114" s="16"/>
      <c r="HE114" s="16"/>
      <c r="HF114" s="16"/>
      <c r="HG114" s="16"/>
      <c r="HH114" s="16"/>
      <c r="HI114" s="16"/>
      <c r="HJ114" s="16"/>
      <c r="HK114" s="16"/>
      <c r="HL114" s="16"/>
      <c r="HM114" s="16"/>
      <c r="HN114" s="16"/>
      <c r="HO114" s="16"/>
      <c r="HP114" s="16"/>
      <c r="HQ114" s="16"/>
      <c r="HR114" s="16"/>
      <c r="HS114" s="16"/>
      <c r="HT114" s="16"/>
      <c r="HU114" s="16"/>
      <c r="HV114" s="16"/>
      <c r="HW114" s="16"/>
      <c r="HX114" s="16"/>
      <c r="HY114" s="16"/>
      <c r="HZ114" s="16"/>
      <c r="IA114" s="16"/>
      <c r="IB114" s="16"/>
      <c r="IC114" s="16"/>
      <c r="ID114" s="16"/>
      <c r="IE114" s="16"/>
      <c r="IF114" s="16"/>
      <c r="IG114" s="16"/>
      <c r="IH114" s="16"/>
      <c r="II114" s="16"/>
      <c r="IJ114" s="16"/>
      <c r="IK114" s="16"/>
      <c r="IL114" s="16"/>
      <c r="IM114" s="16"/>
      <c r="IN114" s="16"/>
      <c r="IO114" s="16"/>
      <c r="IP114" s="16"/>
      <c r="IQ114" s="16"/>
      <c r="IR114" s="16"/>
      <c r="IS114" s="16"/>
      <c r="IT114" s="16"/>
    </row>
    <row r="115" spans="1:254" ht="24" hidden="1" outlineLevel="1">
      <c r="A115" s="298" t="s">
        <v>337</v>
      </c>
      <c r="B115" s="299" t="s">
        <v>120</v>
      </c>
      <c r="C115" s="300">
        <v>0</v>
      </c>
      <c r="D115" s="297">
        <v>0</v>
      </c>
      <c r="E115" s="297">
        <v>0</v>
      </c>
      <c r="F115" s="297">
        <v>0</v>
      </c>
      <c r="G115" s="297">
        <v>0</v>
      </c>
      <c r="H115" s="301" t="e">
        <f t="shared" si="11"/>
        <v>#DIV/0!</v>
      </c>
      <c r="I115" s="303" t="str">
        <f t="shared" si="12"/>
        <v>è</v>
      </c>
      <c r="J115" s="304" t="s">
        <v>169</v>
      </c>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c r="AN115" s="16"/>
      <c r="AO115" s="16"/>
      <c r="AP115" s="16"/>
      <c r="AQ115" s="16"/>
      <c r="AR115" s="16"/>
      <c r="AS115" s="16"/>
      <c r="AT115" s="16"/>
      <c r="AU115" s="16"/>
      <c r="AV115" s="16"/>
      <c r="AW115" s="16"/>
      <c r="AX115" s="16"/>
      <c r="AY115" s="16"/>
      <c r="AZ115" s="16"/>
      <c r="BA115" s="16"/>
      <c r="BB115" s="16"/>
      <c r="BC115" s="16"/>
      <c r="BD115" s="16"/>
      <c r="BE115" s="16"/>
      <c r="BF115" s="16"/>
      <c r="BG115" s="16"/>
      <c r="BH115" s="16"/>
      <c r="BI115" s="16"/>
      <c r="BJ115" s="16"/>
      <c r="BK115" s="16"/>
      <c r="BL115" s="16"/>
      <c r="BM115" s="16"/>
      <c r="BN115" s="16"/>
      <c r="BO115" s="16"/>
      <c r="BP115" s="16"/>
      <c r="BQ115" s="16"/>
      <c r="BR115" s="16"/>
      <c r="BS115" s="16"/>
      <c r="BT115" s="16"/>
      <c r="BU115" s="16"/>
      <c r="BV115" s="16"/>
      <c r="BW115" s="16"/>
      <c r="BX115" s="16"/>
      <c r="BY115" s="16"/>
      <c r="BZ115" s="16"/>
      <c r="CA115" s="16"/>
      <c r="CB115" s="16"/>
      <c r="CC115" s="16"/>
      <c r="CD115" s="16"/>
      <c r="CE115" s="16"/>
      <c r="CF115" s="16"/>
      <c r="CG115" s="16"/>
      <c r="CH115" s="16"/>
      <c r="CI115" s="16"/>
      <c r="CJ115" s="16"/>
      <c r="CK115" s="16"/>
      <c r="CL115" s="16"/>
      <c r="CM115" s="16"/>
      <c r="CN115" s="16"/>
      <c r="CO115" s="16"/>
      <c r="CP115" s="16"/>
      <c r="CQ115" s="16"/>
      <c r="CR115" s="16"/>
      <c r="CS115" s="16"/>
      <c r="CT115" s="16"/>
      <c r="CU115" s="16"/>
      <c r="CV115" s="16"/>
      <c r="CW115" s="16"/>
      <c r="CX115" s="16"/>
      <c r="CY115" s="16"/>
      <c r="CZ115" s="16"/>
      <c r="DA115" s="16"/>
      <c r="DB115" s="16"/>
      <c r="DC115" s="16"/>
      <c r="DD115" s="16"/>
      <c r="DE115" s="16"/>
      <c r="DF115" s="16"/>
      <c r="DG115" s="16"/>
      <c r="DH115" s="16"/>
      <c r="DI115" s="16"/>
      <c r="DJ115" s="16"/>
      <c r="DK115" s="16"/>
      <c r="DL115" s="16"/>
      <c r="DM115" s="16"/>
      <c r="DN115" s="16"/>
      <c r="DO115" s="16"/>
      <c r="DP115" s="16"/>
      <c r="DQ115" s="16"/>
      <c r="DR115" s="16"/>
      <c r="DS115" s="16"/>
      <c r="DT115" s="16"/>
      <c r="DU115" s="16"/>
      <c r="DV115" s="16"/>
      <c r="DW115" s="16"/>
      <c r="DX115" s="16"/>
      <c r="DY115" s="16"/>
      <c r="DZ115" s="16"/>
      <c r="EA115" s="16"/>
      <c r="EB115" s="16"/>
      <c r="EC115" s="16"/>
      <c r="ED115" s="16"/>
      <c r="EE115" s="16"/>
      <c r="EF115" s="16"/>
      <c r="EG115" s="16"/>
      <c r="EH115" s="16"/>
      <c r="EI115" s="16"/>
      <c r="EJ115" s="16"/>
      <c r="EK115" s="16"/>
      <c r="EL115" s="16"/>
      <c r="EM115" s="16"/>
      <c r="EN115" s="16"/>
      <c r="EO115" s="16"/>
      <c r="EP115" s="16"/>
      <c r="EQ115" s="16"/>
      <c r="ER115" s="16"/>
      <c r="ES115" s="16"/>
      <c r="ET115" s="16"/>
      <c r="EU115" s="16"/>
      <c r="EV115" s="16"/>
      <c r="EW115" s="16"/>
      <c r="EX115" s="16"/>
      <c r="EY115" s="16"/>
      <c r="EZ115" s="16"/>
      <c r="FA115" s="16"/>
      <c r="FB115" s="16"/>
      <c r="FC115" s="16"/>
      <c r="FD115" s="16"/>
      <c r="FE115" s="16"/>
      <c r="FF115" s="16"/>
      <c r="FG115" s="16"/>
      <c r="FH115" s="16"/>
      <c r="FI115" s="16"/>
      <c r="FJ115" s="16"/>
      <c r="FK115" s="16"/>
      <c r="FL115" s="16"/>
      <c r="FM115" s="16"/>
      <c r="FN115" s="16"/>
      <c r="FO115" s="16"/>
      <c r="FP115" s="16"/>
      <c r="FQ115" s="16"/>
      <c r="FR115" s="16"/>
      <c r="FS115" s="16"/>
      <c r="FT115" s="16"/>
      <c r="FU115" s="16"/>
      <c r="FV115" s="16"/>
      <c r="FW115" s="16"/>
      <c r="FX115" s="16"/>
      <c r="FY115" s="16"/>
      <c r="FZ115" s="16"/>
      <c r="GA115" s="16"/>
      <c r="GB115" s="16"/>
      <c r="GC115" s="16"/>
      <c r="GD115" s="16"/>
      <c r="GE115" s="16"/>
      <c r="GF115" s="16"/>
      <c r="GG115" s="16"/>
      <c r="GH115" s="16"/>
      <c r="GI115" s="16"/>
      <c r="GJ115" s="16"/>
      <c r="GK115" s="16"/>
      <c r="GL115" s="16"/>
      <c r="GM115" s="16"/>
      <c r="GN115" s="16"/>
      <c r="GO115" s="16"/>
      <c r="GP115" s="16"/>
      <c r="GQ115" s="16"/>
      <c r="GR115" s="16"/>
      <c r="GS115" s="16"/>
      <c r="GT115" s="16"/>
      <c r="GU115" s="16"/>
      <c r="GV115" s="16"/>
      <c r="GW115" s="16"/>
      <c r="GX115" s="16"/>
      <c r="GY115" s="16"/>
      <c r="GZ115" s="16"/>
      <c r="HA115" s="16"/>
      <c r="HB115" s="16"/>
      <c r="HC115" s="16"/>
      <c r="HD115" s="16"/>
      <c r="HE115" s="16"/>
      <c r="HF115" s="16"/>
      <c r="HG115" s="16"/>
      <c r="HH115" s="16"/>
      <c r="HI115" s="16"/>
      <c r="HJ115" s="16"/>
      <c r="HK115" s="16"/>
      <c r="HL115" s="16"/>
      <c r="HM115" s="16"/>
      <c r="HN115" s="16"/>
      <c r="HO115" s="16"/>
      <c r="HP115" s="16"/>
      <c r="HQ115" s="16"/>
      <c r="HR115" s="16"/>
      <c r="HS115" s="16"/>
      <c r="HT115" s="16"/>
      <c r="HU115" s="16"/>
      <c r="HV115" s="16"/>
      <c r="HW115" s="16"/>
      <c r="HX115" s="16"/>
      <c r="HY115" s="16"/>
      <c r="HZ115" s="16"/>
      <c r="IA115" s="16"/>
      <c r="IB115" s="16"/>
      <c r="IC115" s="16"/>
      <c r="ID115" s="16"/>
      <c r="IE115" s="16"/>
      <c r="IF115" s="16"/>
      <c r="IG115" s="16"/>
      <c r="IH115" s="16"/>
      <c r="II115" s="16"/>
      <c r="IJ115" s="16"/>
      <c r="IK115" s="16"/>
      <c r="IL115" s="16"/>
      <c r="IM115" s="16"/>
      <c r="IN115" s="16"/>
      <c r="IO115" s="16"/>
      <c r="IP115" s="16"/>
      <c r="IQ115" s="16"/>
      <c r="IR115" s="16"/>
      <c r="IS115" s="16"/>
      <c r="IT115" s="16"/>
    </row>
    <row r="116" spans="1:254" collapsed="1">
      <c r="A116" s="18" t="s">
        <v>359</v>
      </c>
      <c r="B116" s="19" t="s">
        <v>119</v>
      </c>
      <c r="C116" s="20">
        <v>1075632.3599999999</v>
      </c>
      <c r="D116" s="21">
        <v>1070117.5792</v>
      </c>
      <c r="E116" s="21">
        <v>1070117.5792</v>
      </c>
      <c r="F116" s="21">
        <v>1084054.8860800001</v>
      </c>
      <c r="G116" s="21">
        <v>1089032.4956799999</v>
      </c>
      <c r="H116" s="22">
        <f t="shared" si="11"/>
        <v>1.2457914226381206</v>
      </c>
      <c r="I116" s="23" t="str">
        <f t="shared" si="12"/>
        <v>è</v>
      </c>
      <c r="J116" s="32"/>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c r="AN116" s="16"/>
      <c r="AO116" s="16"/>
      <c r="AP116" s="16"/>
      <c r="AQ116" s="16"/>
      <c r="AR116" s="16"/>
      <c r="AS116" s="16"/>
      <c r="AT116" s="16"/>
      <c r="AU116" s="16"/>
      <c r="AV116" s="16"/>
      <c r="AW116" s="16"/>
      <c r="AX116" s="16"/>
      <c r="AY116" s="16"/>
      <c r="AZ116" s="16"/>
      <c r="BA116" s="16"/>
      <c r="BB116" s="16"/>
      <c r="BC116" s="16"/>
      <c r="BD116" s="16"/>
      <c r="BE116" s="16"/>
      <c r="BF116" s="16"/>
      <c r="BG116" s="16"/>
      <c r="BH116" s="16"/>
      <c r="BI116" s="16"/>
      <c r="BJ116" s="16"/>
      <c r="BK116" s="16"/>
      <c r="BL116" s="16"/>
      <c r="BM116" s="16"/>
      <c r="BN116" s="16"/>
      <c r="BO116" s="16"/>
      <c r="BP116" s="16"/>
      <c r="BQ116" s="16"/>
      <c r="BR116" s="16"/>
      <c r="BS116" s="16"/>
      <c r="BT116" s="16"/>
      <c r="BU116" s="16"/>
      <c r="BV116" s="16"/>
      <c r="BW116" s="16"/>
      <c r="BX116" s="16"/>
      <c r="BY116" s="16"/>
      <c r="BZ116" s="16"/>
      <c r="CA116" s="16"/>
      <c r="CB116" s="16"/>
      <c r="CC116" s="16"/>
      <c r="CD116" s="16"/>
      <c r="CE116" s="16"/>
      <c r="CF116" s="16"/>
      <c r="CG116" s="16"/>
      <c r="CH116" s="16"/>
      <c r="CI116" s="16"/>
      <c r="CJ116" s="16"/>
      <c r="CK116" s="16"/>
      <c r="CL116" s="16"/>
      <c r="CM116" s="16"/>
      <c r="CN116" s="16"/>
      <c r="CO116" s="16"/>
      <c r="CP116" s="16"/>
      <c r="CQ116" s="16"/>
      <c r="CR116" s="16"/>
      <c r="CS116" s="16"/>
      <c r="CT116" s="16"/>
      <c r="CU116" s="16"/>
      <c r="CV116" s="16"/>
      <c r="CW116" s="16"/>
      <c r="CX116" s="16"/>
      <c r="CY116" s="16"/>
      <c r="CZ116" s="16"/>
      <c r="DA116" s="16"/>
      <c r="DB116" s="16"/>
      <c r="DC116" s="16"/>
      <c r="DD116" s="16"/>
      <c r="DE116" s="16"/>
      <c r="DF116" s="16"/>
      <c r="DG116" s="16"/>
      <c r="DH116" s="16"/>
      <c r="DI116" s="16"/>
      <c r="DJ116" s="16"/>
      <c r="DK116" s="16"/>
      <c r="DL116" s="16"/>
      <c r="DM116" s="16"/>
      <c r="DN116" s="16"/>
      <c r="DO116" s="16"/>
      <c r="DP116" s="16"/>
      <c r="DQ116" s="16"/>
      <c r="DR116" s="16"/>
      <c r="DS116" s="16"/>
      <c r="DT116" s="16"/>
      <c r="DU116" s="16"/>
      <c r="DV116" s="16"/>
      <c r="DW116" s="16"/>
      <c r="DX116" s="16"/>
      <c r="DY116" s="16"/>
      <c r="DZ116" s="16"/>
      <c r="EA116" s="16"/>
      <c r="EB116" s="16"/>
      <c r="EC116" s="16"/>
      <c r="ED116" s="16"/>
      <c r="EE116" s="16"/>
      <c r="EF116" s="16"/>
      <c r="EG116" s="16"/>
      <c r="EH116" s="16"/>
      <c r="EI116" s="16"/>
      <c r="EJ116" s="16"/>
      <c r="EK116" s="16"/>
      <c r="EL116" s="16"/>
      <c r="EM116" s="16"/>
      <c r="EN116" s="16"/>
      <c r="EO116" s="16"/>
      <c r="EP116" s="16"/>
      <c r="EQ116" s="16"/>
      <c r="ER116" s="16"/>
      <c r="ES116" s="16"/>
      <c r="ET116" s="16"/>
      <c r="EU116" s="16"/>
      <c r="EV116" s="16"/>
      <c r="EW116" s="16"/>
      <c r="EX116" s="16"/>
      <c r="EY116" s="16"/>
      <c r="EZ116" s="16"/>
      <c r="FA116" s="16"/>
      <c r="FB116" s="16"/>
      <c r="FC116" s="16"/>
      <c r="FD116" s="16"/>
      <c r="FE116" s="16"/>
      <c r="FF116" s="16"/>
      <c r="FG116" s="16"/>
      <c r="FH116" s="16"/>
      <c r="FI116" s="16"/>
      <c r="FJ116" s="16"/>
      <c r="FK116" s="16"/>
      <c r="FL116" s="16"/>
      <c r="FM116" s="16"/>
      <c r="FN116" s="16"/>
      <c r="FO116" s="16"/>
      <c r="FP116" s="16"/>
      <c r="FQ116" s="16"/>
      <c r="FR116" s="16"/>
      <c r="FS116" s="16"/>
      <c r="FT116" s="16"/>
      <c r="FU116" s="16"/>
      <c r="FV116" s="16"/>
      <c r="FW116" s="16"/>
      <c r="FX116" s="16"/>
      <c r="FY116" s="16"/>
      <c r="FZ116" s="16"/>
      <c r="GA116" s="16"/>
      <c r="GB116" s="16"/>
      <c r="GC116" s="16"/>
      <c r="GD116" s="16"/>
      <c r="GE116" s="16"/>
      <c r="GF116" s="16"/>
      <c r="GG116" s="16"/>
      <c r="GH116" s="16"/>
      <c r="GI116" s="16"/>
      <c r="GJ116" s="16"/>
      <c r="GK116" s="16"/>
      <c r="GL116" s="16"/>
      <c r="GM116" s="16"/>
      <c r="GN116" s="16"/>
      <c r="GO116" s="16"/>
      <c r="GP116" s="16"/>
      <c r="GQ116" s="16"/>
      <c r="GR116" s="16"/>
      <c r="GS116" s="16"/>
      <c r="GT116" s="16"/>
      <c r="GU116" s="16"/>
      <c r="GV116" s="16"/>
      <c r="GW116" s="16"/>
      <c r="GX116" s="16"/>
      <c r="GY116" s="16"/>
      <c r="GZ116" s="16"/>
      <c r="HA116" s="16"/>
      <c r="HB116" s="16"/>
      <c r="HC116" s="16"/>
      <c r="HD116" s="16"/>
      <c r="HE116" s="16"/>
      <c r="HF116" s="16"/>
      <c r="HG116" s="16"/>
      <c r="HH116" s="16"/>
      <c r="HI116" s="16"/>
      <c r="HJ116" s="16"/>
      <c r="HK116" s="16"/>
      <c r="HL116" s="16"/>
      <c r="HM116" s="16"/>
      <c r="HN116" s="16"/>
      <c r="HO116" s="16"/>
      <c r="HP116" s="16"/>
      <c r="HQ116" s="16"/>
      <c r="HR116" s="16"/>
      <c r="HS116" s="16"/>
      <c r="HT116" s="16"/>
      <c r="HU116" s="16"/>
      <c r="HV116" s="16"/>
      <c r="HW116" s="16"/>
      <c r="HX116" s="16"/>
      <c r="HY116" s="16"/>
      <c r="HZ116" s="16"/>
      <c r="IA116" s="16"/>
      <c r="IB116" s="16"/>
      <c r="IC116" s="16"/>
      <c r="ID116" s="16"/>
      <c r="IE116" s="16"/>
      <c r="IF116" s="16"/>
      <c r="IG116" s="16"/>
      <c r="IH116" s="16"/>
      <c r="II116" s="16"/>
      <c r="IJ116" s="16"/>
      <c r="IK116" s="16"/>
      <c r="IL116" s="16"/>
      <c r="IM116" s="16"/>
      <c r="IN116" s="16"/>
      <c r="IO116" s="16"/>
      <c r="IP116" s="16"/>
      <c r="IQ116" s="16"/>
      <c r="IR116" s="16"/>
      <c r="IS116" s="16"/>
      <c r="IT116" s="16"/>
    </row>
    <row r="117" spans="1:254" ht="24">
      <c r="A117" s="26" t="s">
        <v>338</v>
      </c>
      <c r="B117" s="27" t="s">
        <v>389</v>
      </c>
      <c r="C117" s="28">
        <v>187864.78000000119</v>
      </c>
      <c r="D117" s="29">
        <v>-131849.68600000069</v>
      </c>
      <c r="E117" s="29">
        <v>0.31399999931454659</v>
      </c>
      <c r="F117" s="29">
        <v>0.19359999895095825</v>
      </c>
      <c r="G117" s="29">
        <v>0.15060000121593475</v>
      </c>
      <c r="H117" s="30">
        <f t="shared" si="11"/>
        <v>-99.999919835957968</v>
      </c>
      <c r="I117" s="115" t="str">
        <f t="shared" si="12"/>
        <v>î</v>
      </c>
      <c r="J117" s="369" t="s">
        <v>519</v>
      </c>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c r="AN117" s="16"/>
      <c r="AO117" s="16"/>
      <c r="AP117" s="16"/>
      <c r="AQ117" s="16"/>
      <c r="AR117" s="16"/>
      <c r="AS117" s="16"/>
      <c r="AT117" s="16"/>
      <c r="AU117" s="16"/>
      <c r="AV117" s="16"/>
      <c r="AW117" s="16"/>
      <c r="AX117" s="16"/>
      <c r="AY117" s="16"/>
      <c r="AZ117" s="16"/>
      <c r="BA117" s="16"/>
      <c r="BB117" s="16"/>
      <c r="BC117" s="16"/>
      <c r="BD117" s="16"/>
      <c r="BE117" s="16"/>
      <c r="BF117" s="16"/>
      <c r="BG117" s="16"/>
      <c r="BH117" s="16"/>
      <c r="BI117" s="16"/>
      <c r="BJ117" s="16"/>
      <c r="BK117" s="16"/>
      <c r="BL117" s="16"/>
      <c r="BM117" s="16"/>
      <c r="BN117" s="16"/>
      <c r="BO117" s="16"/>
      <c r="BP117" s="16"/>
      <c r="BQ117" s="16"/>
      <c r="BR117" s="16"/>
      <c r="BS117" s="16"/>
      <c r="BT117" s="16"/>
      <c r="BU117" s="16"/>
      <c r="BV117" s="16"/>
      <c r="BW117" s="16"/>
      <c r="BX117" s="16"/>
      <c r="BY117" s="16"/>
      <c r="BZ117" s="16"/>
      <c r="CA117" s="16"/>
      <c r="CB117" s="16"/>
      <c r="CC117" s="16"/>
      <c r="CD117" s="16"/>
      <c r="CE117" s="16"/>
      <c r="CF117" s="16"/>
      <c r="CG117" s="16"/>
      <c r="CH117" s="16"/>
      <c r="CI117" s="16"/>
      <c r="CJ117" s="16"/>
      <c r="CK117" s="16"/>
      <c r="CL117" s="16"/>
      <c r="CM117" s="16"/>
      <c r="CN117" s="16"/>
      <c r="CO117" s="16"/>
      <c r="CP117" s="16"/>
      <c r="CQ117" s="16"/>
      <c r="CR117" s="16"/>
      <c r="CS117" s="16"/>
      <c r="CT117" s="16"/>
      <c r="CU117" s="16"/>
      <c r="CV117" s="16"/>
      <c r="CW117" s="16"/>
      <c r="CX117" s="16"/>
      <c r="CY117" s="16"/>
      <c r="CZ117" s="16"/>
      <c r="DA117" s="16"/>
      <c r="DB117" s="16"/>
      <c r="DC117" s="16"/>
      <c r="DD117" s="16"/>
      <c r="DE117" s="16"/>
      <c r="DF117" s="16"/>
      <c r="DG117" s="16"/>
      <c r="DH117" s="16"/>
      <c r="DI117" s="16"/>
      <c r="DJ117" s="16"/>
      <c r="DK117" s="16"/>
      <c r="DL117" s="16"/>
      <c r="DM117" s="16"/>
      <c r="DN117" s="16"/>
      <c r="DO117" s="16"/>
      <c r="DP117" s="16"/>
      <c r="DQ117" s="16"/>
      <c r="DR117" s="16"/>
      <c r="DS117" s="16"/>
      <c r="DT117" s="16"/>
      <c r="DU117" s="16"/>
      <c r="DV117" s="16"/>
      <c r="DW117" s="16"/>
      <c r="DX117" s="16"/>
      <c r="DY117" s="16"/>
      <c r="DZ117" s="16"/>
      <c r="EA117" s="16"/>
      <c r="EB117" s="16"/>
      <c r="EC117" s="16"/>
      <c r="ED117" s="16"/>
      <c r="EE117" s="16"/>
      <c r="EF117" s="16"/>
      <c r="EG117" s="16"/>
      <c r="EH117" s="16"/>
      <c r="EI117" s="16"/>
      <c r="EJ117" s="16"/>
      <c r="EK117" s="16"/>
      <c r="EL117" s="16"/>
      <c r="EM117" s="16"/>
      <c r="EN117" s="16"/>
      <c r="EO117" s="16"/>
      <c r="EP117" s="16"/>
      <c r="EQ117" s="16"/>
      <c r="ER117" s="16"/>
      <c r="ES117" s="16"/>
      <c r="ET117" s="16"/>
      <c r="EU117" s="16"/>
      <c r="EV117" s="16"/>
      <c r="EW117" s="16"/>
      <c r="EX117" s="16"/>
      <c r="EY117" s="16"/>
      <c r="EZ117" s="16"/>
      <c r="FA117" s="16"/>
      <c r="FB117" s="16"/>
      <c r="FC117" s="16"/>
      <c r="FD117" s="16"/>
      <c r="FE117" s="16"/>
      <c r="FF117" s="16"/>
      <c r="FG117" s="16"/>
      <c r="FH117" s="16"/>
      <c r="FI117" s="16"/>
      <c r="FJ117" s="16"/>
      <c r="FK117" s="16"/>
      <c r="FL117" s="16"/>
      <c r="FM117" s="16"/>
      <c r="FN117" s="16"/>
      <c r="FO117" s="16"/>
      <c r="FP117" s="16"/>
      <c r="FQ117" s="16"/>
      <c r="FR117" s="16"/>
      <c r="FS117" s="16"/>
      <c r="FT117" s="16"/>
      <c r="FU117" s="16"/>
      <c r="FV117" s="16"/>
      <c r="FW117" s="16"/>
      <c r="FX117" s="16"/>
      <c r="FY117" s="16"/>
      <c r="FZ117" s="16"/>
      <c r="GA117" s="16"/>
      <c r="GB117" s="16"/>
      <c r="GC117" s="16"/>
      <c r="GD117" s="16"/>
      <c r="GE117" s="16"/>
      <c r="GF117" s="16"/>
      <c r="GG117" s="16"/>
      <c r="GH117" s="16"/>
      <c r="GI117" s="16"/>
      <c r="GJ117" s="16"/>
      <c r="GK117" s="16"/>
      <c r="GL117" s="16"/>
      <c r="GM117" s="16"/>
      <c r="GN117" s="16"/>
      <c r="GO117" s="16"/>
      <c r="GP117" s="16"/>
      <c r="GQ117" s="16"/>
      <c r="GR117" s="16"/>
      <c r="GS117" s="16"/>
      <c r="GT117" s="16"/>
      <c r="GU117" s="16"/>
      <c r="GV117" s="16"/>
      <c r="GW117" s="16"/>
      <c r="GX117" s="16"/>
      <c r="GY117" s="16"/>
      <c r="GZ117" s="16"/>
      <c r="HA117" s="16"/>
      <c r="HB117" s="16"/>
      <c r="HC117" s="16"/>
      <c r="HD117" s="16"/>
      <c r="HE117" s="16"/>
      <c r="HF117" s="16"/>
      <c r="HG117" s="16"/>
      <c r="HH117" s="16"/>
      <c r="HI117" s="16"/>
      <c r="HJ117" s="16"/>
      <c r="HK117" s="16"/>
      <c r="HL117" s="16"/>
      <c r="HM117" s="16"/>
      <c r="HN117" s="16"/>
      <c r="HO117" s="16"/>
      <c r="HP117" s="16"/>
      <c r="HQ117" s="16"/>
      <c r="HR117" s="16"/>
      <c r="HS117" s="16"/>
      <c r="HT117" s="16"/>
      <c r="HU117" s="16"/>
      <c r="HV117" s="16"/>
      <c r="HW117" s="16"/>
      <c r="HX117" s="16"/>
      <c r="HY117" s="16"/>
      <c r="HZ117" s="16"/>
      <c r="IA117" s="16"/>
      <c r="IB117" s="16"/>
      <c r="IC117" s="16"/>
      <c r="ID117" s="16"/>
      <c r="IE117" s="16"/>
      <c r="IF117" s="16"/>
      <c r="IG117" s="16"/>
      <c r="IH117" s="16"/>
      <c r="II117" s="16"/>
      <c r="IJ117" s="16"/>
      <c r="IK117" s="16"/>
      <c r="IL117" s="16"/>
      <c r="IM117" s="16"/>
      <c r="IN117" s="16"/>
      <c r="IO117" s="16"/>
      <c r="IP117" s="16"/>
      <c r="IQ117" s="16"/>
      <c r="IR117" s="16"/>
      <c r="IS117" s="16"/>
      <c r="IT117" s="16"/>
    </row>
    <row r="118" spans="1:254" ht="12" hidden="1" customHeight="1" outlineLevel="1">
      <c r="A118" s="387" t="s">
        <v>339</v>
      </c>
      <c r="B118" s="393" t="s">
        <v>518</v>
      </c>
      <c r="C118" s="389">
        <v>0</v>
      </c>
      <c r="D118" s="389">
        <v>0</v>
      </c>
      <c r="E118" s="389">
        <v>0</v>
      </c>
      <c r="F118" s="389">
        <v>0</v>
      </c>
      <c r="G118" s="389">
        <v>0</v>
      </c>
      <c r="H118" s="390">
        <v>0</v>
      </c>
      <c r="I118" s="391" t="str">
        <f t="shared" si="12"/>
        <v>è</v>
      </c>
      <c r="J118" s="307"/>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c r="AN118" s="16"/>
      <c r="AO118" s="16"/>
      <c r="AP118" s="16"/>
      <c r="AQ118" s="16"/>
      <c r="AR118" s="16"/>
      <c r="AS118" s="16"/>
      <c r="AT118" s="16"/>
      <c r="AU118" s="16"/>
      <c r="AV118" s="16"/>
      <c r="AW118" s="16"/>
      <c r="AX118" s="16"/>
      <c r="AY118" s="16"/>
      <c r="AZ118" s="16"/>
      <c r="BA118" s="16"/>
      <c r="BB118" s="16"/>
      <c r="BC118" s="16"/>
      <c r="BD118" s="16"/>
      <c r="BE118" s="16"/>
      <c r="BF118" s="16"/>
      <c r="BG118" s="16"/>
      <c r="BH118" s="16"/>
      <c r="BI118" s="16"/>
      <c r="BJ118" s="16"/>
      <c r="BK118" s="16"/>
      <c r="BL118" s="16"/>
      <c r="BM118" s="16"/>
      <c r="BN118" s="16"/>
      <c r="BO118" s="16"/>
      <c r="BP118" s="16"/>
      <c r="BQ118" s="16"/>
      <c r="BR118" s="16"/>
      <c r="BS118" s="16"/>
      <c r="BT118" s="16"/>
      <c r="BU118" s="16"/>
      <c r="BV118" s="16"/>
      <c r="BW118" s="16"/>
      <c r="BX118" s="16"/>
      <c r="BY118" s="16"/>
      <c r="BZ118" s="16"/>
      <c r="CA118" s="16"/>
      <c r="CB118" s="16"/>
      <c r="CC118" s="16"/>
      <c r="CD118" s="16"/>
      <c r="CE118" s="16"/>
      <c r="CF118" s="16"/>
      <c r="CG118" s="16"/>
      <c r="CH118" s="16"/>
      <c r="CI118" s="16"/>
      <c r="CJ118" s="16"/>
      <c r="CK118" s="16"/>
      <c r="CL118" s="16"/>
      <c r="CM118" s="16"/>
      <c r="CN118" s="16"/>
      <c r="CO118" s="16"/>
      <c r="CP118" s="16"/>
      <c r="CQ118" s="16"/>
      <c r="CR118" s="16"/>
      <c r="CS118" s="16"/>
      <c r="CT118" s="16"/>
      <c r="CU118" s="16"/>
      <c r="CV118" s="16"/>
      <c r="CW118" s="16"/>
      <c r="CX118" s="16"/>
      <c r="CY118" s="16"/>
      <c r="CZ118" s="16"/>
      <c r="DA118" s="16"/>
      <c r="DB118" s="16"/>
      <c r="DC118" s="16"/>
      <c r="DD118" s="16"/>
      <c r="DE118" s="16"/>
      <c r="DF118" s="16"/>
      <c r="DG118" s="16"/>
      <c r="DH118" s="16"/>
      <c r="DI118" s="16"/>
      <c r="DJ118" s="16"/>
      <c r="DK118" s="16"/>
      <c r="DL118" s="16"/>
      <c r="DM118" s="16"/>
      <c r="DN118" s="16"/>
      <c r="DO118" s="16"/>
      <c r="DP118" s="16"/>
      <c r="DQ118" s="16"/>
      <c r="DR118" s="16"/>
      <c r="DS118" s="16"/>
      <c r="DT118" s="16"/>
      <c r="DU118" s="16"/>
      <c r="DV118" s="16"/>
      <c r="DW118" s="16"/>
      <c r="DX118" s="16"/>
      <c r="DY118" s="16"/>
      <c r="DZ118" s="16"/>
      <c r="EA118" s="16"/>
      <c r="EB118" s="16"/>
      <c r="EC118" s="16"/>
      <c r="ED118" s="16"/>
      <c r="EE118" s="16"/>
      <c r="EF118" s="16"/>
      <c r="EG118" s="16"/>
      <c r="EH118" s="16"/>
      <c r="EI118" s="16"/>
      <c r="EJ118" s="16"/>
      <c r="EK118" s="16"/>
      <c r="EL118" s="16"/>
      <c r="EM118" s="16"/>
      <c r="EN118" s="16"/>
      <c r="EO118" s="16"/>
      <c r="EP118" s="16"/>
      <c r="EQ118" s="16"/>
      <c r="ER118" s="16"/>
      <c r="ES118" s="16"/>
      <c r="ET118" s="16"/>
      <c r="EU118" s="16"/>
      <c r="EV118" s="16"/>
      <c r="EW118" s="16"/>
      <c r="EX118" s="16"/>
      <c r="EY118" s="16"/>
      <c r="EZ118" s="16"/>
      <c r="FA118" s="16"/>
      <c r="FB118" s="16"/>
      <c r="FC118" s="16"/>
      <c r="FD118" s="16"/>
      <c r="FE118" s="16"/>
      <c r="FF118" s="16"/>
      <c r="FG118" s="16"/>
      <c r="FH118" s="16"/>
      <c r="FI118" s="16"/>
      <c r="FJ118" s="16"/>
      <c r="FK118" s="16"/>
      <c r="FL118" s="16"/>
      <c r="FM118" s="16"/>
      <c r="FN118" s="16"/>
      <c r="FO118" s="16"/>
      <c r="FP118" s="16"/>
      <c r="FQ118" s="16"/>
      <c r="FR118" s="16"/>
      <c r="FS118" s="16"/>
      <c r="FT118" s="16"/>
      <c r="FU118" s="16"/>
      <c r="FV118" s="16"/>
      <c r="FW118" s="16"/>
      <c r="FX118" s="16"/>
      <c r="FY118" s="16"/>
      <c r="FZ118" s="16"/>
      <c r="GA118" s="16"/>
      <c r="GB118" s="16"/>
      <c r="GC118" s="16"/>
      <c r="GD118" s="16"/>
      <c r="GE118" s="16"/>
      <c r="GF118" s="16"/>
      <c r="GG118" s="16"/>
      <c r="GH118" s="16"/>
      <c r="GI118" s="16"/>
      <c r="GJ118" s="16"/>
      <c r="GK118" s="16"/>
      <c r="GL118" s="16"/>
      <c r="GM118" s="16"/>
      <c r="GN118" s="16"/>
      <c r="GO118" s="16"/>
      <c r="GP118" s="16"/>
      <c r="GQ118" s="16"/>
      <c r="GR118" s="16"/>
      <c r="GS118" s="16"/>
      <c r="GT118" s="16"/>
      <c r="GU118" s="16"/>
      <c r="GV118" s="16"/>
      <c r="GW118" s="16"/>
      <c r="GX118" s="16"/>
      <c r="GY118" s="16"/>
      <c r="GZ118" s="16"/>
      <c r="HA118" s="16"/>
      <c r="HB118" s="16"/>
      <c r="HC118" s="16"/>
      <c r="HD118" s="16"/>
      <c r="HE118" s="16"/>
      <c r="HF118" s="16"/>
      <c r="HG118" s="16"/>
      <c r="HH118" s="16"/>
      <c r="HI118" s="16"/>
      <c r="HJ118" s="16"/>
      <c r="HK118" s="16"/>
      <c r="HL118" s="16"/>
      <c r="HM118" s="16"/>
      <c r="HN118" s="16"/>
      <c r="HO118" s="16"/>
      <c r="HP118" s="16"/>
      <c r="HQ118" s="16"/>
      <c r="HR118" s="16"/>
      <c r="HS118" s="16"/>
      <c r="HT118" s="16"/>
      <c r="HU118" s="16"/>
      <c r="HV118" s="16"/>
      <c r="HW118" s="16"/>
      <c r="HX118" s="16"/>
      <c r="HY118" s="16"/>
      <c r="HZ118" s="16"/>
      <c r="IA118" s="16"/>
      <c r="IB118" s="16"/>
      <c r="IC118" s="16"/>
      <c r="ID118" s="16"/>
      <c r="IE118" s="16"/>
      <c r="IF118" s="16"/>
      <c r="IG118" s="16"/>
      <c r="IH118" s="16"/>
      <c r="II118" s="16"/>
      <c r="IJ118" s="16"/>
      <c r="IK118" s="16"/>
      <c r="IL118" s="16"/>
      <c r="IM118" s="16"/>
      <c r="IN118" s="16"/>
      <c r="IO118" s="16"/>
      <c r="IP118" s="16"/>
      <c r="IQ118" s="16"/>
      <c r="IR118" s="16"/>
      <c r="IS118" s="16"/>
      <c r="IT118" s="16"/>
    </row>
    <row r="119" spans="1:254" ht="12" hidden="1" customHeight="1" outlineLevel="1">
      <c r="A119" s="387" t="s">
        <v>350</v>
      </c>
      <c r="B119" s="388" t="s">
        <v>351</v>
      </c>
      <c r="C119" s="389">
        <v>0</v>
      </c>
      <c r="D119" s="389">
        <v>0</v>
      </c>
      <c r="E119" s="389">
        <v>0</v>
      </c>
      <c r="F119" s="389">
        <v>0</v>
      </c>
      <c r="G119" s="389">
        <v>0</v>
      </c>
      <c r="H119" s="390">
        <v>0</v>
      </c>
      <c r="I119" s="392" t="str">
        <f t="shared" si="12"/>
        <v>è</v>
      </c>
      <c r="J119" s="50"/>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c r="AR119" s="16"/>
      <c r="AS119" s="16"/>
      <c r="AT119" s="16"/>
      <c r="AU119" s="16"/>
      <c r="AV119" s="16"/>
      <c r="AW119" s="16"/>
      <c r="AX119" s="16"/>
      <c r="AY119" s="16"/>
      <c r="AZ119" s="16"/>
      <c r="BA119" s="16"/>
      <c r="BB119" s="16"/>
      <c r="BC119" s="16"/>
      <c r="BD119" s="16"/>
      <c r="BE119" s="16"/>
      <c r="BF119" s="16"/>
      <c r="BG119" s="16"/>
      <c r="BH119" s="16"/>
      <c r="BI119" s="16"/>
      <c r="BJ119" s="16"/>
      <c r="BK119" s="16"/>
      <c r="BL119" s="16"/>
      <c r="BM119" s="16"/>
      <c r="BN119" s="16"/>
      <c r="BO119" s="16"/>
      <c r="BP119" s="16"/>
      <c r="BQ119" s="16"/>
      <c r="BR119" s="16"/>
      <c r="BS119" s="16"/>
      <c r="BT119" s="16"/>
      <c r="BU119" s="16"/>
      <c r="BV119" s="16"/>
      <c r="BW119" s="16"/>
      <c r="BX119" s="16"/>
      <c r="BY119" s="16"/>
      <c r="BZ119" s="16"/>
      <c r="CA119" s="16"/>
      <c r="CB119" s="16"/>
      <c r="CC119" s="16"/>
      <c r="CD119" s="16"/>
      <c r="CE119" s="16"/>
      <c r="CF119" s="16"/>
      <c r="CG119" s="16"/>
      <c r="CH119" s="16"/>
      <c r="CI119" s="16"/>
      <c r="CJ119" s="16"/>
      <c r="CK119" s="16"/>
      <c r="CL119" s="16"/>
      <c r="CM119" s="16"/>
      <c r="CN119" s="16"/>
      <c r="CO119" s="16"/>
      <c r="CP119" s="16"/>
      <c r="CQ119" s="16"/>
      <c r="CR119" s="16"/>
      <c r="CS119" s="16"/>
      <c r="CT119" s="16"/>
      <c r="CU119" s="16"/>
      <c r="CV119" s="16"/>
      <c r="CW119" s="16"/>
      <c r="CX119" s="16"/>
      <c r="CY119" s="16"/>
      <c r="CZ119" s="16"/>
      <c r="DA119" s="16"/>
      <c r="DB119" s="16"/>
      <c r="DC119" s="16"/>
      <c r="DD119" s="16"/>
      <c r="DE119" s="16"/>
      <c r="DF119" s="16"/>
      <c r="DG119" s="16"/>
      <c r="DH119" s="16"/>
      <c r="DI119" s="16"/>
      <c r="DJ119" s="16"/>
      <c r="DK119" s="16"/>
      <c r="DL119" s="16"/>
      <c r="DM119" s="16"/>
      <c r="DN119" s="16"/>
      <c r="DO119" s="16"/>
      <c r="DP119" s="16"/>
      <c r="DQ119" s="16"/>
      <c r="DR119" s="16"/>
      <c r="DS119" s="16"/>
      <c r="DT119" s="16"/>
      <c r="DU119" s="16"/>
      <c r="DV119" s="16"/>
      <c r="DW119" s="16"/>
      <c r="DX119" s="16"/>
      <c r="DY119" s="16"/>
      <c r="DZ119" s="16"/>
      <c r="EA119" s="16"/>
      <c r="EB119" s="16"/>
      <c r="EC119" s="16"/>
      <c r="ED119" s="16"/>
      <c r="EE119" s="16"/>
      <c r="EF119" s="16"/>
      <c r="EG119" s="16"/>
      <c r="EH119" s="16"/>
      <c r="EI119" s="16"/>
      <c r="EJ119" s="16"/>
      <c r="EK119" s="16"/>
      <c r="EL119" s="16"/>
      <c r="EM119" s="16"/>
      <c r="EN119" s="16"/>
      <c r="EO119" s="16"/>
      <c r="EP119" s="16"/>
      <c r="EQ119" s="16"/>
      <c r="ER119" s="16"/>
      <c r="ES119" s="16"/>
      <c r="ET119" s="16"/>
      <c r="EU119" s="16"/>
      <c r="EV119" s="16"/>
      <c r="EW119" s="16"/>
      <c r="EX119" s="16"/>
      <c r="EY119" s="16"/>
      <c r="EZ119" s="16"/>
      <c r="FA119" s="16"/>
      <c r="FB119" s="16"/>
      <c r="FC119" s="16"/>
      <c r="FD119" s="16"/>
      <c r="FE119" s="16"/>
      <c r="FF119" s="16"/>
      <c r="FG119" s="16"/>
      <c r="FH119" s="16"/>
      <c r="FI119" s="16"/>
      <c r="FJ119" s="16"/>
      <c r="FK119" s="16"/>
      <c r="FL119" s="16"/>
      <c r="FM119" s="16"/>
      <c r="FN119" s="16"/>
      <c r="FO119" s="16"/>
      <c r="FP119" s="16"/>
      <c r="FQ119" s="16"/>
      <c r="FR119" s="16"/>
      <c r="FS119" s="16"/>
      <c r="FT119" s="16"/>
      <c r="FU119" s="16"/>
      <c r="FV119" s="16"/>
      <c r="FW119" s="16"/>
      <c r="FX119" s="16"/>
      <c r="FY119" s="16"/>
      <c r="FZ119" s="16"/>
      <c r="GA119" s="16"/>
      <c r="GB119" s="16"/>
      <c r="GC119" s="16"/>
      <c r="GD119" s="16"/>
      <c r="GE119" s="16"/>
      <c r="GF119" s="16"/>
      <c r="GG119" s="16"/>
      <c r="GH119" s="16"/>
      <c r="GI119" s="16"/>
      <c r="GJ119" s="16"/>
      <c r="GK119" s="16"/>
      <c r="GL119" s="16"/>
      <c r="GM119" s="16"/>
      <c r="GN119" s="16"/>
      <c r="GO119" s="16"/>
      <c r="GP119" s="16"/>
      <c r="GQ119" s="16"/>
      <c r="GR119" s="16"/>
      <c r="GS119" s="16"/>
      <c r="GT119" s="16"/>
      <c r="GU119" s="16"/>
      <c r="GV119" s="16"/>
      <c r="GW119" s="16"/>
      <c r="GX119" s="16"/>
      <c r="GY119" s="16"/>
      <c r="GZ119" s="16"/>
      <c r="HA119" s="16"/>
      <c r="HB119" s="16"/>
      <c r="HC119" s="16"/>
      <c r="HD119" s="16"/>
      <c r="HE119" s="16"/>
      <c r="HF119" s="16"/>
      <c r="HG119" s="16"/>
      <c r="HH119" s="16"/>
      <c r="HI119" s="16"/>
      <c r="HJ119" s="16"/>
      <c r="HK119" s="16"/>
      <c r="HL119" s="16"/>
      <c r="HM119" s="16"/>
      <c r="HN119" s="16"/>
      <c r="HO119" s="16"/>
      <c r="HP119" s="16"/>
      <c r="HQ119" s="16"/>
      <c r="HR119" s="16"/>
      <c r="HS119" s="16"/>
      <c r="HT119" s="16"/>
      <c r="HU119" s="16"/>
      <c r="HV119" s="16"/>
      <c r="HW119" s="16"/>
      <c r="HX119" s="16"/>
      <c r="HY119" s="16"/>
      <c r="HZ119" s="16"/>
      <c r="IA119" s="16"/>
      <c r="IB119" s="16"/>
      <c r="IC119" s="16"/>
      <c r="ID119" s="16"/>
      <c r="IE119" s="16"/>
      <c r="IF119" s="16"/>
      <c r="IG119" s="16"/>
      <c r="IH119" s="16"/>
      <c r="II119" s="16"/>
      <c r="IJ119" s="16"/>
      <c r="IK119" s="16"/>
      <c r="IL119" s="16"/>
      <c r="IM119" s="16"/>
      <c r="IN119" s="16"/>
      <c r="IO119" s="16"/>
      <c r="IP119" s="16"/>
      <c r="IQ119" s="16"/>
      <c r="IR119" s="16"/>
      <c r="IS119" s="16"/>
      <c r="IT119" s="16"/>
    </row>
    <row r="120" spans="1:254" hidden="1" outlineLevel="1">
      <c r="A120" s="387" t="s">
        <v>376</v>
      </c>
      <c r="B120" s="388" t="s">
        <v>377</v>
      </c>
      <c r="C120" s="389">
        <v>0</v>
      </c>
      <c r="D120" s="389">
        <v>0</v>
      </c>
      <c r="E120" s="389">
        <v>0</v>
      </c>
      <c r="F120" s="389">
        <v>0</v>
      </c>
      <c r="G120" s="389">
        <v>0</v>
      </c>
      <c r="H120" s="390" t="e">
        <f>SUM(G120/C120*100-100)</f>
        <v>#DIV/0!</v>
      </c>
      <c r="I120" s="391" t="str">
        <f t="shared" si="12"/>
        <v>è</v>
      </c>
      <c r="J120" s="5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c r="AK120" s="16"/>
      <c r="AL120" s="16"/>
      <c r="AM120" s="16"/>
      <c r="AN120" s="16"/>
      <c r="AO120" s="16"/>
      <c r="AP120" s="16"/>
      <c r="AQ120" s="16"/>
      <c r="AR120" s="16"/>
      <c r="AS120" s="16"/>
      <c r="AT120" s="16"/>
      <c r="AU120" s="16"/>
      <c r="AV120" s="16"/>
      <c r="AW120" s="16"/>
      <c r="AX120" s="16"/>
      <c r="AY120" s="16"/>
      <c r="AZ120" s="16"/>
      <c r="BA120" s="16"/>
      <c r="BB120" s="16"/>
      <c r="BC120" s="16"/>
      <c r="BD120" s="16"/>
      <c r="BE120" s="16"/>
      <c r="BF120" s="16"/>
      <c r="BG120" s="16"/>
      <c r="BH120" s="16"/>
      <c r="BI120" s="16"/>
      <c r="BJ120" s="16"/>
      <c r="BK120" s="16"/>
      <c r="BL120" s="16"/>
      <c r="BM120" s="16"/>
      <c r="BN120" s="16"/>
      <c r="BO120" s="16"/>
      <c r="BP120" s="16"/>
      <c r="BQ120" s="16"/>
      <c r="BR120" s="16"/>
      <c r="BS120" s="16"/>
      <c r="BT120" s="16"/>
      <c r="BU120" s="16"/>
      <c r="BV120" s="16"/>
      <c r="BW120" s="16"/>
      <c r="BX120" s="16"/>
      <c r="BY120" s="16"/>
      <c r="BZ120" s="16"/>
      <c r="CA120" s="16"/>
      <c r="CB120" s="16"/>
      <c r="CC120" s="16"/>
      <c r="CD120" s="16"/>
      <c r="CE120" s="16"/>
      <c r="CF120" s="16"/>
      <c r="CG120" s="16"/>
      <c r="CH120" s="16"/>
      <c r="CI120" s="16"/>
      <c r="CJ120" s="16"/>
      <c r="CK120" s="16"/>
      <c r="CL120" s="16"/>
      <c r="CM120" s="16"/>
      <c r="CN120" s="16"/>
      <c r="CO120" s="16"/>
      <c r="CP120" s="16"/>
      <c r="CQ120" s="16"/>
      <c r="CR120" s="16"/>
      <c r="CS120" s="16"/>
      <c r="CT120" s="16"/>
      <c r="CU120" s="16"/>
      <c r="CV120" s="16"/>
      <c r="CW120" s="16"/>
      <c r="CX120" s="16"/>
      <c r="CY120" s="16"/>
      <c r="CZ120" s="16"/>
      <c r="DA120" s="16"/>
      <c r="DB120" s="16"/>
      <c r="DC120" s="16"/>
      <c r="DD120" s="16"/>
      <c r="DE120" s="16"/>
      <c r="DF120" s="16"/>
      <c r="DG120" s="16"/>
      <c r="DH120" s="16"/>
      <c r="DI120" s="16"/>
      <c r="DJ120" s="16"/>
      <c r="DK120" s="16"/>
      <c r="DL120" s="16"/>
      <c r="DM120" s="16"/>
      <c r="DN120" s="16"/>
      <c r="DO120" s="16"/>
      <c r="DP120" s="16"/>
      <c r="DQ120" s="16"/>
      <c r="DR120" s="16"/>
      <c r="DS120" s="16"/>
      <c r="DT120" s="16"/>
      <c r="DU120" s="16"/>
      <c r="DV120" s="16"/>
      <c r="DW120" s="16"/>
      <c r="DX120" s="16"/>
      <c r="DY120" s="16"/>
      <c r="DZ120" s="16"/>
      <c r="EA120" s="16"/>
      <c r="EB120" s="16"/>
      <c r="EC120" s="16"/>
      <c r="ED120" s="16"/>
      <c r="EE120" s="16"/>
      <c r="EF120" s="16"/>
      <c r="EG120" s="16"/>
      <c r="EH120" s="16"/>
      <c r="EI120" s="16"/>
      <c r="EJ120" s="16"/>
      <c r="EK120" s="16"/>
      <c r="EL120" s="16"/>
      <c r="EM120" s="16"/>
      <c r="EN120" s="16"/>
      <c r="EO120" s="16"/>
      <c r="EP120" s="16"/>
      <c r="EQ120" s="16"/>
      <c r="ER120" s="16"/>
      <c r="ES120" s="16"/>
      <c r="ET120" s="16"/>
      <c r="EU120" s="16"/>
      <c r="EV120" s="16"/>
      <c r="EW120" s="16"/>
      <c r="EX120" s="16"/>
      <c r="EY120" s="16"/>
      <c r="EZ120" s="16"/>
      <c r="FA120" s="16"/>
      <c r="FB120" s="16"/>
      <c r="FC120" s="16"/>
      <c r="FD120" s="16"/>
      <c r="FE120" s="16"/>
      <c r="FF120" s="16"/>
      <c r="FG120" s="16"/>
      <c r="FH120" s="16"/>
      <c r="FI120" s="16"/>
      <c r="FJ120" s="16"/>
      <c r="FK120" s="16"/>
      <c r="FL120" s="16"/>
      <c r="FM120" s="16"/>
      <c r="FN120" s="16"/>
      <c r="FO120" s="16"/>
      <c r="FP120" s="16"/>
      <c r="FQ120" s="16"/>
      <c r="FR120" s="16"/>
      <c r="FS120" s="16"/>
      <c r="FT120" s="16"/>
      <c r="FU120" s="16"/>
      <c r="FV120" s="16"/>
      <c r="FW120" s="16"/>
      <c r="FX120" s="16"/>
      <c r="FY120" s="16"/>
      <c r="FZ120" s="16"/>
      <c r="GA120" s="16"/>
      <c r="GB120" s="16"/>
      <c r="GC120" s="16"/>
      <c r="GD120" s="16"/>
      <c r="GE120" s="16"/>
      <c r="GF120" s="16"/>
      <c r="GG120" s="16"/>
      <c r="GH120" s="16"/>
      <c r="GI120" s="16"/>
      <c r="GJ120" s="16"/>
      <c r="GK120" s="16"/>
      <c r="GL120" s="16"/>
      <c r="GM120" s="16"/>
      <c r="GN120" s="16"/>
      <c r="GO120" s="16"/>
      <c r="GP120" s="16"/>
      <c r="GQ120" s="16"/>
      <c r="GR120" s="16"/>
      <c r="GS120" s="16"/>
      <c r="GT120" s="16"/>
      <c r="GU120" s="16"/>
      <c r="GV120" s="16"/>
      <c r="GW120" s="16"/>
      <c r="GX120" s="16"/>
      <c r="GY120" s="16"/>
      <c r="GZ120" s="16"/>
      <c r="HA120" s="16"/>
      <c r="HB120" s="16"/>
      <c r="HC120" s="16"/>
      <c r="HD120" s="16"/>
      <c r="HE120" s="16"/>
      <c r="HF120" s="16"/>
      <c r="HG120" s="16"/>
      <c r="HH120" s="16"/>
      <c r="HI120" s="16"/>
      <c r="HJ120" s="16"/>
      <c r="HK120" s="16"/>
      <c r="HL120" s="16"/>
      <c r="HM120" s="16"/>
      <c r="HN120" s="16"/>
      <c r="HO120" s="16"/>
      <c r="HP120" s="16"/>
      <c r="HQ120" s="16"/>
      <c r="HR120" s="16"/>
      <c r="HS120" s="16"/>
      <c r="HT120" s="16"/>
      <c r="HU120" s="16"/>
      <c r="HV120" s="16"/>
      <c r="HW120" s="16"/>
      <c r="HX120" s="16"/>
      <c r="HY120" s="16"/>
      <c r="HZ120" s="16"/>
      <c r="IA120" s="16"/>
      <c r="IB120" s="16"/>
      <c r="IC120" s="16"/>
      <c r="ID120" s="16"/>
      <c r="IE120" s="16"/>
      <c r="IF120" s="16"/>
      <c r="IG120" s="16"/>
      <c r="IH120" s="16"/>
      <c r="II120" s="16"/>
      <c r="IJ120" s="16"/>
      <c r="IK120" s="16"/>
      <c r="IL120" s="16"/>
      <c r="IM120" s="16"/>
      <c r="IN120" s="16"/>
      <c r="IO120" s="16"/>
      <c r="IP120" s="16"/>
      <c r="IQ120" s="16"/>
      <c r="IR120" s="16"/>
      <c r="IS120" s="16"/>
      <c r="IT120" s="16"/>
    </row>
    <row r="121" spans="1:254" collapsed="1">
      <c r="A121" s="18" t="s">
        <v>352</v>
      </c>
      <c r="B121" s="19" t="s">
        <v>366</v>
      </c>
      <c r="C121" s="20">
        <v>-95547.400000000373</v>
      </c>
      <c r="D121" s="21">
        <v>-96165.849999999627</v>
      </c>
      <c r="E121" s="21">
        <v>-96776.990000000224</v>
      </c>
      <c r="F121" s="21">
        <v>-92994.336000000127</v>
      </c>
      <c r="G121" s="21">
        <v>-93827.547000000253</v>
      </c>
      <c r="H121" s="22">
        <f>SUM(G121/C121*100-100)</f>
        <v>-1.7999997906799337</v>
      </c>
      <c r="I121" s="23" t="str">
        <f t="shared" si="12"/>
        <v>è</v>
      </c>
      <c r="J121" s="32"/>
      <c r="K121" s="16"/>
      <c r="L121" s="16"/>
      <c r="M121" s="16"/>
      <c r="N121" s="16"/>
      <c r="O121" s="16"/>
      <c r="P121" s="16"/>
      <c r="Q121" s="16"/>
      <c r="R121" s="16"/>
      <c r="S121" s="16"/>
      <c r="T121" s="16"/>
      <c r="U121" s="16"/>
      <c r="V121" s="16"/>
      <c r="W121" s="16"/>
      <c r="X121" s="16"/>
      <c r="Y121" s="16"/>
      <c r="Z121" s="16"/>
      <c r="AA121" s="16"/>
      <c r="AB121" s="16"/>
      <c r="AC121" s="16"/>
      <c r="AD121" s="16"/>
      <c r="AE121" s="16"/>
      <c r="AF121" s="16"/>
      <c r="AG121" s="16"/>
      <c r="AH121" s="16"/>
      <c r="AI121" s="16"/>
      <c r="AJ121" s="16"/>
      <c r="AK121" s="16"/>
      <c r="AL121" s="16"/>
      <c r="AM121" s="16"/>
      <c r="AN121" s="16"/>
      <c r="AO121" s="16"/>
      <c r="AP121" s="16"/>
      <c r="AQ121" s="16"/>
      <c r="AR121" s="16"/>
      <c r="AS121" s="16"/>
      <c r="AT121" s="16"/>
      <c r="AU121" s="16"/>
      <c r="AV121" s="16"/>
      <c r="AW121" s="16"/>
      <c r="AX121" s="16"/>
      <c r="AY121" s="16"/>
      <c r="AZ121" s="16"/>
      <c r="BA121" s="16"/>
      <c r="BB121" s="16"/>
      <c r="BC121" s="16"/>
      <c r="BD121" s="16"/>
      <c r="BE121" s="16"/>
      <c r="BF121" s="16"/>
      <c r="BG121" s="16"/>
      <c r="BH121" s="16"/>
      <c r="BI121" s="16"/>
      <c r="BJ121" s="16"/>
      <c r="BK121" s="16"/>
      <c r="BL121" s="16"/>
      <c r="BM121" s="16"/>
      <c r="BN121" s="16"/>
      <c r="BO121" s="16"/>
      <c r="BP121" s="16"/>
      <c r="BQ121" s="16"/>
      <c r="BR121" s="16"/>
      <c r="BS121" s="16"/>
      <c r="BT121" s="16"/>
      <c r="BU121" s="16"/>
      <c r="BV121" s="16"/>
      <c r="BW121" s="16"/>
      <c r="BX121" s="16"/>
      <c r="BY121" s="16"/>
      <c r="BZ121" s="16"/>
      <c r="CA121" s="16"/>
      <c r="CB121" s="16"/>
      <c r="CC121" s="16"/>
      <c r="CD121" s="16"/>
      <c r="CE121" s="16"/>
      <c r="CF121" s="16"/>
      <c r="CG121" s="16"/>
      <c r="CH121" s="16"/>
      <c r="CI121" s="16"/>
      <c r="CJ121" s="16"/>
      <c r="CK121" s="16"/>
      <c r="CL121" s="16"/>
      <c r="CM121" s="16"/>
      <c r="CN121" s="16"/>
      <c r="CO121" s="16"/>
      <c r="CP121" s="16"/>
      <c r="CQ121" s="16"/>
      <c r="CR121" s="16"/>
      <c r="CS121" s="16"/>
      <c r="CT121" s="16"/>
      <c r="CU121" s="16"/>
      <c r="CV121" s="16"/>
      <c r="CW121" s="16"/>
      <c r="CX121" s="16"/>
      <c r="CY121" s="16"/>
      <c r="CZ121" s="16"/>
      <c r="DA121" s="16"/>
      <c r="DB121" s="16"/>
      <c r="DC121" s="16"/>
      <c r="DD121" s="16"/>
      <c r="DE121" s="16"/>
      <c r="DF121" s="16"/>
      <c r="DG121" s="16"/>
      <c r="DH121" s="16"/>
      <c r="DI121" s="16"/>
      <c r="DJ121" s="16"/>
      <c r="DK121" s="16"/>
      <c r="DL121" s="16"/>
      <c r="DM121" s="16"/>
      <c r="DN121" s="16"/>
      <c r="DO121" s="16"/>
      <c r="DP121" s="16"/>
      <c r="DQ121" s="16"/>
      <c r="DR121" s="16"/>
      <c r="DS121" s="16"/>
      <c r="DT121" s="16"/>
      <c r="DU121" s="16"/>
      <c r="DV121" s="16"/>
      <c r="DW121" s="16"/>
      <c r="DX121" s="16"/>
      <c r="DY121" s="16"/>
      <c r="DZ121" s="16"/>
      <c r="EA121" s="16"/>
      <c r="EB121" s="16"/>
      <c r="EC121" s="16"/>
      <c r="ED121" s="16"/>
      <c r="EE121" s="16"/>
      <c r="EF121" s="16"/>
      <c r="EG121" s="16"/>
      <c r="EH121" s="16"/>
      <c r="EI121" s="16"/>
      <c r="EJ121" s="16"/>
      <c r="EK121" s="16"/>
      <c r="EL121" s="16"/>
      <c r="EM121" s="16"/>
      <c r="EN121" s="16"/>
      <c r="EO121" s="16"/>
      <c r="EP121" s="16"/>
      <c r="EQ121" s="16"/>
      <c r="ER121" s="16"/>
      <c r="ES121" s="16"/>
      <c r="ET121" s="16"/>
      <c r="EU121" s="16"/>
      <c r="EV121" s="16"/>
      <c r="EW121" s="16"/>
      <c r="EX121" s="16"/>
      <c r="EY121" s="16"/>
      <c r="EZ121" s="16"/>
      <c r="FA121" s="16"/>
      <c r="FB121" s="16"/>
      <c r="FC121" s="16"/>
      <c r="FD121" s="16"/>
      <c r="FE121" s="16"/>
      <c r="FF121" s="16"/>
      <c r="FG121" s="16"/>
      <c r="FH121" s="16"/>
      <c r="FI121" s="16"/>
      <c r="FJ121" s="16"/>
      <c r="FK121" s="16"/>
      <c r="FL121" s="16"/>
      <c r="FM121" s="16"/>
      <c r="FN121" s="16"/>
      <c r="FO121" s="16"/>
      <c r="FP121" s="16"/>
      <c r="FQ121" s="16"/>
      <c r="FR121" s="16"/>
      <c r="FS121" s="16"/>
      <c r="FT121" s="16"/>
      <c r="FU121" s="16"/>
      <c r="FV121" s="16"/>
      <c r="FW121" s="16"/>
      <c r="FX121" s="16"/>
      <c r="FY121" s="16"/>
      <c r="FZ121" s="16"/>
      <c r="GA121" s="16"/>
      <c r="GB121" s="16"/>
      <c r="GC121" s="16"/>
      <c r="GD121" s="16"/>
      <c r="GE121" s="16"/>
      <c r="GF121" s="16"/>
      <c r="GG121" s="16"/>
      <c r="GH121" s="16"/>
      <c r="GI121" s="16"/>
      <c r="GJ121" s="16"/>
      <c r="GK121" s="16"/>
      <c r="GL121" s="16"/>
      <c r="GM121" s="16"/>
      <c r="GN121" s="16"/>
      <c r="GO121" s="16"/>
      <c r="GP121" s="16"/>
      <c r="GQ121" s="16"/>
      <c r="GR121" s="16"/>
      <c r="GS121" s="16"/>
      <c r="GT121" s="16"/>
      <c r="GU121" s="16"/>
      <c r="GV121" s="16"/>
      <c r="GW121" s="16"/>
      <c r="GX121" s="16"/>
      <c r="GY121" s="16"/>
      <c r="GZ121" s="16"/>
      <c r="HA121" s="16"/>
      <c r="HB121" s="16"/>
      <c r="HC121" s="16"/>
      <c r="HD121" s="16"/>
      <c r="HE121" s="16"/>
      <c r="HF121" s="16"/>
      <c r="HG121" s="16"/>
      <c r="HH121" s="16"/>
      <c r="HI121" s="16"/>
      <c r="HJ121" s="16"/>
      <c r="HK121" s="16"/>
      <c r="HL121" s="16"/>
      <c r="HM121" s="16"/>
      <c r="HN121" s="16"/>
      <c r="HO121" s="16"/>
      <c r="HP121" s="16"/>
      <c r="HQ121" s="16"/>
      <c r="HR121" s="16"/>
      <c r="HS121" s="16"/>
      <c r="HT121" s="16"/>
      <c r="HU121" s="16"/>
      <c r="HV121" s="16"/>
      <c r="HW121" s="16"/>
      <c r="HX121" s="16"/>
      <c r="HY121" s="16"/>
      <c r="HZ121" s="16"/>
      <c r="IA121" s="16"/>
      <c r="IB121" s="16"/>
      <c r="IC121" s="16"/>
      <c r="ID121" s="16"/>
      <c r="IE121" s="16"/>
      <c r="IF121" s="16"/>
      <c r="IG121" s="16"/>
      <c r="IH121" s="16"/>
      <c r="II121" s="16"/>
      <c r="IJ121" s="16"/>
      <c r="IK121" s="16"/>
      <c r="IL121" s="16"/>
      <c r="IM121" s="16"/>
      <c r="IN121" s="16"/>
      <c r="IO121" s="16"/>
      <c r="IP121" s="16"/>
      <c r="IQ121" s="16"/>
      <c r="IR121" s="16"/>
      <c r="IS121" s="16"/>
      <c r="IT121" s="16"/>
    </row>
    <row r="122" spans="1:254">
      <c r="A122" s="26" t="s">
        <v>353</v>
      </c>
      <c r="B122" s="27" t="s">
        <v>354</v>
      </c>
      <c r="C122" s="28">
        <v>-8637.3199999999488</v>
      </c>
      <c r="D122" s="29">
        <v>-1070.4099999999162</v>
      </c>
      <c r="E122" s="29">
        <v>-983.55000000004657</v>
      </c>
      <c r="F122" s="29">
        <v>-67.967999999993481</v>
      </c>
      <c r="G122" s="29">
        <v>-510.30200000002515</v>
      </c>
      <c r="H122" s="30">
        <f t="shared" ref="H122" si="13">SUM(G122/C122*100-100)</f>
        <v>-94.091894244973815</v>
      </c>
      <c r="I122" s="115" t="str">
        <f t="shared" si="12"/>
        <v>è</v>
      </c>
      <c r="J122" s="50"/>
      <c r="K122" s="16"/>
      <c r="L122" s="16"/>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c r="AJ122" s="16"/>
      <c r="AK122" s="16"/>
      <c r="AL122" s="16"/>
      <c r="AM122" s="16"/>
      <c r="AN122" s="16"/>
      <c r="AO122" s="16"/>
      <c r="AP122" s="16"/>
      <c r="AQ122" s="16"/>
      <c r="AR122" s="16"/>
      <c r="AS122" s="16"/>
      <c r="AT122" s="16"/>
      <c r="AU122" s="16"/>
      <c r="AV122" s="16"/>
      <c r="AW122" s="16"/>
      <c r="AX122" s="16"/>
      <c r="AY122" s="16"/>
      <c r="AZ122" s="16"/>
      <c r="BA122" s="16"/>
      <c r="BB122" s="16"/>
      <c r="BC122" s="16"/>
      <c r="BD122" s="16"/>
      <c r="BE122" s="16"/>
      <c r="BF122" s="16"/>
      <c r="BG122" s="16"/>
      <c r="BH122" s="16"/>
      <c r="BI122" s="16"/>
      <c r="BJ122" s="16"/>
      <c r="BK122" s="16"/>
      <c r="BL122" s="16"/>
      <c r="BM122" s="16"/>
      <c r="BN122" s="16"/>
      <c r="BO122" s="16"/>
      <c r="BP122" s="16"/>
      <c r="BQ122" s="16"/>
      <c r="BR122" s="16"/>
      <c r="BS122" s="16"/>
      <c r="BT122" s="16"/>
      <c r="BU122" s="16"/>
      <c r="BV122" s="16"/>
      <c r="BW122" s="16"/>
      <c r="BX122" s="16"/>
      <c r="BY122" s="16"/>
      <c r="BZ122" s="16"/>
      <c r="CA122" s="16"/>
      <c r="CB122" s="16"/>
      <c r="CC122" s="16"/>
      <c r="CD122" s="16"/>
      <c r="CE122" s="16"/>
      <c r="CF122" s="16"/>
      <c r="CG122" s="16"/>
      <c r="CH122" s="16"/>
      <c r="CI122" s="16"/>
      <c r="CJ122" s="16"/>
      <c r="CK122" s="16"/>
      <c r="CL122" s="16"/>
      <c r="CM122" s="16"/>
      <c r="CN122" s="16"/>
      <c r="CO122" s="16"/>
      <c r="CP122" s="16"/>
      <c r="CQ122" s="16"/>
      <c r="CR122" s="16"/>
      <c r="CS122" s="16"/>
      <c r="CT122" s="16"/>
      <c r="CU122" s="16"/>
      <c r="CV122" s="16"/>
      <c r="CW122" s="16"/>
      <c r="CX122" s="16"/>
      <c r="CY122" s="16"/>
      <c r="CZ122" s="16"/>
      <c r="DA122" s="16"/>
      <c r="DB122" s="16"/>
      <c r="DC122" s="16"/>
      <c r="DD122" s="16"/>
      <c r="DE122" s="16"/>
      <c r="DF122" s="16"/>
      <c r="DG122" s="16"/>
      <c r="DH122" s="16"/>
      <c r="DI122" s="16"/>
      <c r="DJ122" s="16"/>
      <c r="DK122" s="16"/>
      <c r="DL122" s="16"/>
      <c r="DM122" s="16"/>
      <c r="DN122" s="16"/>
      <c r="DO122" s="16"/>
      <c r="DP122" s="16"/>
      <c r="DQ122" s="16"/>
      <c r="DR122" s="16"/>
      <c r="DS122" s="16"/>
      <c r="DT122" s="16"/>
      <c r="DU122" s="16"/>
      <c r="DV122" s="16"/>
      <c r="DW122" s="16"/>
      <c r="DX122" s="16"/>
      <c r="DY122" s="16"/>
      <c r="DZ122" s="16"/>
      <c r="EA122" s="16"/>
      <c r="EB122" s="16"/>
      <c r="EC122" s="16"/>
      <c r="ED122" s="16"/>
      <c r="EE122" s="16"/>
      <c r="EF122" s="16"/>
      <c r="EG122" s="16"/>
      <c r="EH122" s="16"/>
      <c r="EI122" s="16"/>
      <c r="EJ122" s="16"/>
      <c r="EK122" s="16"/>
      <c r="EL122" s="16"/>
      <c r="EM122" s="16"/>
      <c r="EN122" s="16"/>
      <c r="EO122" s="16"/>
      <c r="EP122" s="16"/>
      <c r="EQ122" s="16"/>
      <c r="ER122" s="16"/>
      <c r="ES122" s="16"/>
      <c r="ET122" s="16"/>
      <c r="EU122" s="16"/>
      <c r="EV122" s="16"/>
      <c r="EW122" s="16"/>
      <c r="EX122" s="16"/>
      <c r="EY122" s="16"/>
      <c r="EZ122" s="16"/>
      <c r="FA122" s="16"/>
      <c r="FB122" s="16"/>
      <c r="FC122" s="16"/>
      <c r="FD122" s="16"/>
      <c r="FE122" s="16"/>
      <c r="FF122" s="16"/>
      <c r="FG122" s="16"/>
      <c r="FH122" s="16"/>
      <c r="FI122" s="16"/>
      <c r="FJ122" s="16"/>
      <c r="FK122" s="16"/>
      <c r="FL122" s="16"/>
      <c r="FM122" s="16"/>
      <c r="FN122" s="16"/>
      <c r="FO122" s="16"/>
      <c r="FP122" s="16"/>
      <c r="FQ122" s="16"/>
      <c r="FR122" s="16"/>
      <c r="FS122" s="16"/>
      <c r="FT122" s="16"/>
      <c r="FU122" s="16"/>
      <c r="FV122" s="16"/>
      <c r="FW122" s="16"/>
      <c r="FX122" s="16"/>
      <c r="FY122" s="16"/>
      <c r="FZ122" s="16"/>
      <c r="GA122" s="16"/>
      <c r="GB122" s="16"/>
      <c r="GC122" s="16"/>
      <c r="GD122" s="16"/>
      <c r="GE122" s="16"/>
      <c r="GF122" s="16"/>
      <c r="GG122" s="16"/>
      <c r="GH122" s="16"/>
      <c r="GI122" s="16"/>
      <c r="GJ122" s="16"/>
      <c r="GK122" s="16"/>
      <c r="GL122" s="16"/>
      <c r="GM122" s="16"/>
      <c r="GN122" s="16"/>
      <c r="GO122" s="16"/>
      <c r="GP122" s="16"/>
      <c r="GQ122" s="16"/>
      <c r="GR122" s="16"/>
      <c r="GS122" s="16"/>
      <c r="GT122" s="16"/>
      <c r="GU122" s="16"/>
      <c r="GV122" s="16"/>
      <c r="GW122" s="16"/>
      <c r="GX122" s="16"/>
      <c r="GY122" s="16"/>
      <c r="GZ122" s="16"/>
      <c r="HA122" s="16"/>
      <c r="HB122" s="16"/>
      <c r="HC122" s="16"/>
      <c r="HD122" s="16"/>
      <c r="HE122" s="16"/>
      <c r="HF122" s="16"/>
      <c r="HG122" s="16"/>
      <c r="HH122" s="16"/>
      <c r="HI122" s="16"/>
      <c r="HJ122" s="16"/>
      <c r="HK122" s="16"/>
      <c r="HL122" s="16"/>
      <c r="HM122" s="16"/>
      <c r="HN122" s="16"/>
      <c r="HO122" s="16"/>
      <c r="HP122" s="16"/>
      <c r="HQ122" s="16"/>
      <c r="HR122" s="16"/>
      <c r="HS122" s="16"/>
      <c r="HT122" s="16"/>
      <c r="HU122" s="16"/>
      <c r="HV122" s="16"/>
      <c r="HW122" s="16"/>
      <c r="HX122" s="16"/>
      <c r="HY122" s="16"/>
      <c r="HZ122" s="16"/>
      <c r="IA122" s="16"/>
      <c r="IB122" s="16"/>
      <c r="IC122" s="16"/>
      <c r="ID122" s="16"/>
      <c r="IE122" s="16"/>
      <c r="IF122" s="16"/>
      <c r="IG122" s="16"/>
      <c r="IH122" s="16"/>
      <c r="II122" s="16"/>
      <c r="IJ122" s="16"/>
      <c r="IK122" s="16"/>
      <c r="IL122" s="16"/>
      <c r="IM122" s="16"/>
      <c r="IN122" s="16"/>
      <c r="IO122" s="16"/>
      <c r="IP122" s="16"/>
      <c r="IQ122" s="16"/>
      <c r="IR122" s="16"/>
      <c r="IS122" s="16"/>
      <c r="IT122" s="16"/>
    </row>
    <row r="123" spans="1:254">
      <c r="A123" s="18" t="s">
        <v>355</v>
      </c>
      <c r="B123" s="19" t="s">
        <v>171</v>
      </c>
      <c r="C123" s="20">
        <v>104184.71999999997</v>
      </c>
      <c r="D123" s="21">
        <v>95736.459999999963</v>
      </c>
      <c r="E123" s="21">
        <v>95760.169999999925</v>
      </c>
      <c r="F123" s="21">
        <v>90061.967999999877</v>
      </c>
      <c r="G123" s="21">
        <v>91337.499000000069</v>
      </c>
      <c r="H123" s="22">
        <f>SUM(G123/C123*100-100)</f>
        <v>-12.33119501592931</v>
      </c>
      <c r="I123" s="23" t="str">
        <f t="shared" si="12"/>
        <v>è</v>
      </c>
      <c r="J123" s="32"/>
      <c r="K123" s="16"/>
      <c r="L123" s="16"/>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c r="AJ123" s="16"/>
      <c r="AK123" s="16"/>
      <c r="AL123" s="16"/>
      <c r="AM123" s="16"/>
      <c r="AN123" s="16"/>
      <c r="AO123" s="16"/>
      <c r="AP123" s="16"/>
      <c r="AQ123" s="16"/>
      <c r="AR123" s="16"/>
      <c r="AS123" s="16"/>
      <c r="AT123" s="16"/>
      <c r="AU123" s="16"/>
      <c r="AV123" s="16"/>
      <c r="AW123" s="16"/>
      <c r="AX123" s="16"/>
      <c r="AY123" s="16"/>
      <c r="AZ123" s="16"/>
      <c r="BA123" s="16"/>
      <c r="BB123" s="16"/>
      <c r="BC123" s="16"/>
      <c r="BD123" s="16"/>
      <c r="BE123" s="16"/>
      <c r="BF123" s="16"/>
      <c r="BG123" s="16"/>
      <c r="BH123" s="16"/>
      <c r="BI123" s="16"/>
      <c r="BJ123" s="16"/>
      <c r="BK123" s="16"/>
      <c r="BL123" s="16"/>
      <c r="BM123" s="16"/>
      <c r="BN123" s="16"/>
      <c r="BO123" s="16"/>
      <c r="BP123" s="16"/>
      <c r="BQ123" s="16"/>
      <c r="BR123" s="16"/>
      <c r="BS123" s="16"/>
      <c r="BT123" s="16"/>
      <c r="BU123" s="16"/>
      <c r="BV123" s="16"/>
      <c r="BW123" s="16"/>
      <c r="BX123" s="16"/>
      <c r="BY123" s="16"/>
      <c r="BZ123" s="16"/>
      <c r="CA123" s="16"/>
      <c r="CB123" s="16"/>
      <c r="CC123" s="16"/>
      <c r="CD123" s="16"/>
      <c r="CE123" s="16"/>
      <c r="CF123" s="16"/>
      <c r="CG123" s="16"/>
      <c r="CH123" s="16"/>
      <c r="CI123" s="16"/>
      <c r="CJ123" s="16"/>
      <c r="CK123" s="16"/>
      <c r="CL123" s="16"/>
      <c r="CM123" s="16"/>
      <c r="CN123" s="16"/>
      <c r="CO123" s="16"/>
      <c r="CP123" s="16"/>
      <c r="CQ123" s="16"/>
      <c r="CR123" s="16"/>
      <c r="CS123" s="16"/>
      <c r="CT123" s="16"/>
      <c r="CU123" s="16"/>
      <c r="CV123" s="16"/>
      <c r="CW123" s="16"/>
      <c r="CX123" s="16"/>
      <c r="CY123" s="16"/>
      <c r="CZ123" s="16"/>
      <c r="DA123" s="16"/>
      <c r="DB123" s="16"/>
      <c r="DC123" s="16"/>
      <c r="DD123" s="16"/>
      <c r="DE123" s="16"/>
      <c r="DF123" s="16"/>
      <c r="DG123" s="16"/>
      <c r="DH123" s="16"/>
      <c r="DI123" s="16"/>
      <c r="DJ123" s="16"/>
      <c r="DK123" s="16"/>
      <c r="DL123" s="16"/>
      <c r="DM123" s="16"/>
      <c r="DN123" s="16"/>
      <c r="DO123" s="16"/>
      <c r="DP123" s="16"/>
      <c r="DQ123" s="16"/>
      <c r="DR123" s="16"/>
      <c r="DS123" s="16"/>
      <c r="DT123" s="16"/>
      <c r="DU123" s="16"/>
      <c r="DV123" s="16"/>
      <c r="DW123" s="16"/>
      <c r="DX123" s="16"/>
      <c r="DY123" s="16"/>
      <c r="DZ123" s="16"/>
      <c r="EA123" s="16"/>
      <c r="EB123" s="16"/>
      <c r="EC123" s="16"/>
      <c r="ED123" s="16"/>
      <c r="EE123" s="16"/>
      <c r="EF123" s="16"/>
      <c r="EG123" s="16"/>
      <c r="EH123" s="16"/>
      <c r="EI123" s="16"/>
      <c r="EJ123" s="16"/>
      <c r="EK123" s="16"/>
      <c r="EL123" s="16"/>
      <c r="EM123" s="16"/>
      <c r="EN123" s="16"/>
      <c r="EO123" s="16"/>
      <c r="EP123" s="16"/>
      <c r="EQ123" s="16"/>
      <c r="ER123" s="16"/>
      <c r="ES123" s="16"/>
      <c r="ET123" s="16"/>
      <c r="EU123" s="16"/>
      <c r="EV123" s="16"/>
      <c r="EW123" s="16"/>
      <c r="EX123" s="16"/>
      <c r="EY123" s="16"/>
      <c r="EZ123" s="16"/>
      <c r="FA123" s="16"/>
      <c r="FB123" s="16"/>
      <c r="FC123" s="16"/>
      <c r="FD123" s="16"/>
      <c r="FE123" s="16"/>
      <c r="FF123" s="16"/>
      <c r="FG123" s="16"/>
      <c r="FH123" s="16"/>
      <c r="FI123" s="16"/>
      <c r="FJ123" s="16"/>
      <c r="FK123" s="16"/>
      <c r="FL123" s="16"/>
      <c r="FM123" s="16"/>
      <c r="FN123" s="16"/>
      <c r="FO123" s="16"/>
      <c r="FP123" s="16"/>
      <c r="FQ123" s="16"/>
      <c r="FR123" s="16"/>
      <c r="FS123" s="16"/>
      <c r="FT123" s="16"/>
      <c r="FU123" s="16"/>
      <c r="FV123" s="16"/>
      <c r="FW123" s="16"/>
      <c r="FX123" s="16"/>
      <c r="FY123" s="16"/>
      <c r="FZ123" s="16"/>
      <c r="GA123" s="16"/>
      <c r="GB123" s="16"/>
      <c r="GC123" s="16"/>
      <c r="GD123" s="16"/>
      <c r="GE123" s="16"/>
      <c r="GF123" s="16"/>
      <c r="GG123" s="16"/>
      <c r="GH123" s="16"/>
      <c r="GI123" s="16"/>
      <c r="GJ123" s="16"/>
      <c r="GK123" s="16"/>
      <c r="GL123" s="16"/>
      <c r="GM123" s="16"/>
      <c r="GN123" s="16"/>
      <c r="GO123" s="16"/>
      <c r="GP123" s="16"/>
      <c r="GQ123" s="16"/>
      <c r="GR123" s="16"/>
      <c r="GS123" s="16"/>
      <c r="GT123" s="16"/>
      <c r="GU123" s="16"/>
      <c r="GV123" s="16"/>
      <c r="GW123" s="16"/>
      <c r="GX123" s="16"/>
      <c r="GY123" s="16"/>
      <c r="GZ123" s="16"/>
      <c r="HA123" s="16"/>
      <c r="HB123" s="16"/>
      <c r="HC123" s="16"/>
      <c r="HD123" s="16"/>
      <c r="HE123" s="16"/>
      <c r="HF123" s="16"/>
      <c r="HG123" s="16"/>
      <c r="HH123" s="16"/>
      <c r="HI123" s="16"/>
      <c r="HJ123" s="16"/>
      <c r="HK123" s="16"/>
      <c r="HL123" s="16"/>
      <c r="HM123" s="16"/>
      <c r="HN123" s="16"/>
      <c r="HO123" s="16"/>
      <c r="HP123" s="16"/>
      <c r="HQ123" s="16"/>
      <c r="HR123" s="16"/>
      <c r="HS123" s="16"/>
      <c r="HT123" s="16"/>
      <c r="HU123" s="16"/>
      <c r="HV123" s="16"/>
      <c r="HW123" s="16"/>
      <c r="HX123" s="16"/>
      <c r="HY123" s="16"/>
      <c r="HZ123" s="16"/>
      <c r="IA123" s="16"/>
      <c r="IB123" s="16"/>
      <c r="IC123" s="16"/>
      <c r="ID123" s="16"/>
      <c r="IE123" s="16"/>
      <c r="IF123" s="16"/>
      <c r="IG123" s="16"/>
      <c r="IH123" s="16"/>
      <c r="II123" s="16"/>
      <c r="IJ123" s="16"/>
      <c r="IK123" s="16"/>
      <c r="IL123" s="16"/>
      <c r="IM123" s="16"/>
      <c r="IN123" s="16"/>
      <c r="IO123" s="16"/>
      <c r="IP123" s="16"/>
      <c r="IQ123" s="16"/>
      <c r="IR123" s="16"/>
      <c r="IS123" s="16"/>
      <c r="IT123" s="16"/>
    </row>
    <row r="124" spans="1:254">
      <c r="A124" s="394" t="s">
        <v>520</v>
      </c>
      <c r="B124" s="309" t="s">
        <v>173</v>
      </c>
      <c r="C124" s="46">
        <v>1158285.78</v>
      </c>
      <c r="D124" s="47">
        <v>1336074.7180000001</v>
      </c>
      <c r="E124" s="47">
        <v>1048275.2180000001</v>
      </c>
      <c r="F124" s="47">
        <v>1121254.6832000001</v>
      </c>
      <c r="G124" s="47">
        <v>1099754.4922</v>
      </c>
      <c r="H124" s="48">
        <f>SUM(G124/C124*100-100)</f>
        <v>-5.0532682702881857</v>
      </c>
      <c r="I124" s="115" t="str">
        <f t="shared" ref="I124" si="14">IF((SQRT((G124-C124)^2)&lt;20000),$I$158,IF((G124-C124)&gt;(SQRT(C124^2))*5%,$I$159,IF((G124-C124)&lt;-(SQRT(C124^2))*5%,$I$157,$I$158)))</f>
        <v>î</v>
      </c>
      <c r="J124" s="50"/>
      <c r="K124" s="16"/>
      <c r="L124" s="16"/>
      <c r="M124" s="16"/>
      <c r="N124" s="16"/>
      <c r="O124" s="16"/>
      <c r="P124" s="16"/>
      <c r="Q124" s="16"/>
      <c r="R124" s="16"/>
      <c r="S124" s="16"/>
      <c r="T124" s="16"/>
      <c r="U124" s="16"/>
      <c r="V124" s="16"/>
      <c r="W124" s="16"/>
      <c r="X124" s="16"/>
      <c r="Y124" s="16"/>
      <c r="Z124" s="16"/>
      <c r="AA124" s="16"/>
      <c r="AB124" s="16"/>
      <c r="AC124" s="16"/>
      <c r="AD124" s="16"/>
      <c r="AE124" s="16"/>
      <c r="AF124" s="16"/>
      <c r="AG124" s="16"/>
      <c r="AH124" s="16"/>
      <c r="AI124" s="16"/>
      <c r="AJ124" s="16"/>
      <c r="AK124" s="16"/>
      <c r="AL124" s="16"/>
      <c r="AM124" s="16"/>
      <c r="AN124" s="16"/>
      <c r="AO124" s="16"/>
      <c r="AP124" s="16"/>
      <c r="AQ124" s="16"/>
      <c r="AR124" s="16"/>
      <c r="AS124" s="16"/>
      <c r="AT124" s="16"/>
      <c r="AU124" s="16"/>
      <c r="AV124" s="16"/>
      <c r="AW124" s="16"/>
      <c r="AX124" s="16"/>
      <c r="AY124" s="16"/>
      <c r="AZ124" s="16"/>
      <c r="BA124" s="16"/>
      <c r="BB124" s="16"/>
      <c r="BC124" s="16"/>
      <c r="BD124" s="16"/>
      <c r="BE124" s="16"/>
      <c r="BF124" s="16"/>
      <c r="BG124" s="16"/>
      <c r="BH124" s="16"/>
      <c r="BI124" s="16"/>
      <c r="BJ124" s="16"/>
      <c r="BK124" s="16"/>
      <c r="BL124" s="16"/>
      <c r="BM124" s="16"/>
      <c r="BN124" s="16"/>
      <c r="BO124" s="16"/>
      <c r="BP124" s="16"/>
      <c r="BQ124" s="16"/>
      <c r="BR124" s="16"/>
      <c r="BS124" s="16"/>
      <c r="BT124" s="16"/>
      <c r="BU124" s="16"/>
      <c r="BV124" s="16"/>
      <c r="BW124" s="16"/>
      <c r="BX124" s="16"/>
      <c r="BY124" s="16"/>
      <c r="BZ124" s="16"/>
      <c r="CA124" s="16"/>
      <c r="CB124" s="16"/>
      <c r="CC124" s="16"/>
      <c r="CD124" s="16"/>
      <c r="CE124" s="16"/>
      <c r="CF124" s="16"/>
      <c r="CG124" s="16"/>
      <c r="CH124" s="16"/>
      <c r="CI124" s="16"/>
      <c r="CJ124" s="16"/>
      <c r="CK124" s="16"/>
      <c r="CL124" s="16"/>
      <c r="CM124" s="16"/>
      <c r="CN124" s="16"/>
      <c r="CO124" s="16"/>
      <c r="CP124" s="16"/>
      <c r="CQ124" s="16"/>
      <c r="CR124" s="16"/>
      <c r="CS124" s="16"/>
      <c r="CT124" s="16"/>
      <c r="CU124" s="16"/>
      <c r="CV124" s="16"/>
      <c r="CW124" s="16"/>
      <c r="CX124" s="16"/>
      <c r="CY124" s="16"/>
      <c r="CZ124" s="16"/>
      <c r="DA124" s="16"/>
      <c r="DB124" s="16"/>
      <c r="DC124" s="16"/>
      <c r="DD124" s="16"/>
      <c r="DE124" s="16"/>
      <c r="DF124" s="16"/>
      <c r="DG124" s="16"/>
      <c r="DH124" s="16"/>
      <c r="DI124" s="16"/>
      <c r="DJ124" s="16"/>
      <c r="DK124" s="16"/>
      <c r="DL124" s="16"/>
      <c r="DM124" s="16"/>
      <c r="DN124" s="16"/>
      <c r="DO124" s="16"/>
      <c r="DP124" s="16"/>
      <c r="DQ124" s="16"/>
      <c r="DR124" s="16"/>
      <c r="DS124" s="16"/>
      <c r="DT124" s="16"/>
      <c r="DU124" s="16"/>
      <c r="DV124" s="16"/>
      <c r="DW124" s="16"/>
      <c r="DX124" s="16"/>
      <c r="DY124" s="16"/>
      <c r="DZ124" s="16"/>
      <c r="EA124" s="16"/>
      <c r="EB124" s="16"/>
      <c r="EC124" s="16"/>
      <c r="ED124" s="16"/>
      <c r="EE124" s="16"/>
      <c r="EF124" s="16"/>
      <c r="EG124" s="16"/>
      <c r="EH124" s="16"/>
      <c r="EI124" s="16"/>
      <c r="EJ124" s="16"/>
      <c r="EK124" s="16"/>
      <c r="EL124" s="16"/>
      <c r="EM124" s="16"/>
      <c r="EN124" s="16"/>
      <c r="EO124" s="16"/>
      <c r="EP124" s="16"/>
      <c r="EQ124" s="16"/>
      <c r="ER124" s="16"/>
      <c r="ES124" s="16"/>
      <c r="ET124" s="16"/>
      <c r="EU124" s="16"/>
      <c r="EV124" s="16"/>
      <c r="EW124" s="16"/>
      <c r="EX124" s="16"/>
      <c r="EY124" s="16"/>
      <c r="EZ124" s="16"/>
      <c r="FA124" s="16"/>
      <c r="FB124" s="16"/>
      <c r="FC124" s="16"/>
      <c r="FD124" s="16"/>
      <c r="FE124" s="16"/>
      <c r="FF124" s="16"/>
      <c r="FG124" s="16"/>
      <c r="FH124" s="16"/>
      <c r="FI124" s="16"/>
      <c r="FJ124" s="16"/>
      <c r="FK124" s="16"/>
      <c r="FL124" s="16"/>
      <c r="FM124" s="16"/>
      <c r="FN124" s="16"/>
      <c r="FO124" s="16"/>
      <c r="FP124" s="16"/>
      <c r="FQ124" s="16"/>
      <c r="FR124" s="16"/>
      <c r="FS124" s="16"/>
      <c r="FT124" s="16"/>
      <c r="FU124" s="16"/>
      <c r="FV124" s="16"/>
      <c r="FW124" s="16"/>
      <c r="FX124" s="16"/>
      <c r="FY124" s="16"/>
      <c r="FZ124" s="16"/>
      <c r="GA124" s="16"/>
      <c r="GB124" s="16"/>
      <c r="GC124" s="16"/>
      <c r="GD124" s="16"/>
      <c r="GE124" s="16"/>
      <c r="GF124" s="16"/>
      <c r="GG124" s="16"/>
      <c r="GH124" s="16"/>
      <c r="GI124" s="16"/>
      <c r="GJ124" s="16"/>
      <c r="GK124" s="16"/>
      <c r="GL124" s="16"/>
      <c r="GM124" s="16"/>
      <c r="GN124" s="16"/>
      <c r="GO124" s="16"/>
      <c r="GP124" s="16"/>
      <c r="GQ124" s="16"/>
      <c r="GR124" s="16"/>
      <c r="GS124" s="16"/>
      <c r="GT124" s="16"/>
      <c r="GU124" s="16"/>
      <c r="GV124" s="16"/>
      <c r="GW124" s="16"/>
      <c r="GX124" s="16"/>
      <c r="GY124" s="16"/>
      <c r="GZ124" s="16"/>
      <c r="HA124" s="16"/>
      <c r="HB124" s="16"/>
      <c r="HC124" s="16"/>
      <c r="HD124" s="16"/>
      <c r="HE124" s="16"/>
      <c r="HF124" s="16"/>
      <c r="HG124" s="16"/>
      <c r="HH124" s="16"/>
      <c r="HI124" s="16"/>
      <c r="HJ124" s="16"/>
      <c r="HK124" s="16"/>
      <c r="HL124" s="16"/>
      <c r="HM124" s="16"/>
      <c r="HN124" s="16"/>
      <c r="HO124" s="16"/>
      <c r="HP124" s="16"/>
      <c r="HQ124" s="16"/>
      <c r="HR124" s="16"/>
      <c r="HS124" s="16"/>
      <c r="HT124" s="16"/>
      <c r="HU124" s="16"/>
      <c r="HV124" s="16"/>
      <c r="HW124" s="16"/>
      <c r="HX124" s="16"/>
      <c r="HY124" s="16"/>
      <c r="HZ124" s="16"/>
      <c r="IA124" s="16"/>
      <c r="IB124" s="16"/>
      <c r="IC124" s="16"/>
      <c r="ID124" s="16"/>
      <c r="IE124" s="16"/>
      <c r="IF124" s="16"/>
      <c r="IG124" s="16"/>
      <c r="IH124" s="16"/>
      <c r="II124" s="16"/>
      <c r="IJ124" s="16"/>
      <c r="IK124" s="16"/>
      <c r="IL124" s="16"/>
      <c r="IM124" s="16"/>
      <c r="IN124" s="16"/>
      <c r="IO124" s="16"/>
      <c r="IP124" s="16"/>
      <c r="IQ124" s="16"/>
      <c r="IR124" s="16"/>
      <c r="IS124" s="16"/>
      <c r="IT124" s="16"/>
    </row>
    <row r="125" spans="1:254" ht="72">
      <c r="A125" s="372" t="s">
        <v>356</v>
      </c>
      <c r="B125" s="373" t="s">
        <v>357</v>
      </c>
      <c r="C125" s="374">
        <v>-19455600</v>
      </c>
      <c r="D125" s="375">
        <v>-31355713</v>
      </c>
      <c r="E125" s="375">
        <v>-11955348.185000001</v>
      </c>
      <c r="F125" s="375">
        <v>-7954981.4550000001</v>
      </c>
      <c r="G125" s="375">
        <v>-7954610.6950000003</v>
      </c>
      <c r="H125" s="376">
        <f>SUM(G125/C125*100-100)</f>
        <v>-59.114030433397069</v>
      </c>
      <c r="I125" s="377" t="str">
        <f t="shared" si="12"/>
        <v>ì</v>
      </c>
      <c r="J125" s="384" t="s">
        <v>561</v>
      </c>
      <c r="K125" s="16"/>
      <c r="L125" s="16"/>
      <c r="M125" s="16"/>
      <c r="N125" s="16"/>
      <c r="O125" s="16"/>
      <c r="P125" s="16"/>
      <c r="Q125" s="16"/>
      <c r="R125" s="16"/>
      <c r="S125" s="16"/>
      <c r="T125" s="16"/>
      <c r="U125" s="16"/>
      <c r="V125" s="16"/>
      <c r="W125" s="16"/>
      <c r="X125" s="16"/>
      <c r="Y125" s="16"/>
      <c r="Z125" s="16"/>
      <c r="AA125" s="16"/>
      <c r="AB125" s="16"/>
      <c r="AC125" s="16"/>
      <c r="AD125" s="16"/>
      <c r="AE125" s="16"/>
      <c r="AF125" s="16"/>
      <c r="AG125" s="16"/>
      <c r="AH125" s="16"/>
      <c r="AI125" s="16"/>
      <c r="AJ125" s="16"/>
      <c r="AK125" s="16"/>
      <c r="AL125" s="16"/>
      <c r="AM125" s="16"/>
      <c r="AN125" s="16"/>
      <c r="AO125" s="16"/>
      <c r="AP125" s="16"/>
      <c r="AQ125" s="16"/>
      <c r="AR125" s="16"/>
      <c r="AS125" s="16"/>
      <c r="AT125" s="16"/>
      <c r="AU125" s="16"/>
      <c r="AV125" s="16"/>
      <c r="AW125" s="16"/>
      <c r="AX125" s="16"/>
      <c r="AY125" s="16"/>
      <c r="AZ125" s="16"/>
      <c r="BA125" s="16"/>
      <c r="BB125" s="16"/>
      <c r="BC125" s="16"/>
      <c r="BD125" s="16"/>
      <c r="BE125" s="16"/>
      <c r="BF125" s="16"/>
      <c r="BG125" s="16"/>
      <c r="BH125" s="16"/>
      <c r="BI125" s="16"/>
      <c r="BJ125" s="16"/>
      <c r="BK125" s="16"/>
      <c r="BL125" s="16"/>
      <c r="BM125" s="16"/>
      <c r="BN125" s="16"/>
      <c r="BO125" s="16"/>
      <c r="BP125" s="16"/>
      <c r="BQ125" s="16"/>
      <c r="BR125" s="16"/>
      <c r="BS125" s="16"/>
      <c r="BT125" s="16"/>
      <c r="BU125" s="16"/>
      <c r="BV125" s="16"/>
      <c r="BW125" s="16"/>
      <c r="BX125" s="16"/>
      <c r="BY125" s="16"/>
      <c r="BZ125" s="16"/>
      <c r="CA125" s="16"/>
      <c r="CB125" s="16"/>
      <c r="CC125" s="16"/>
      <c r="CD125" s="16"/>
      <c r="CE125" s="16"/>
      <c r="CF125" s="16"/>
      <c r="CG125" s="16"/>
      <c r="CH125" s="16"/>
      <c r="CI125" s="16"/>
      <c r="CJ125" s="16"/>
      <c r="CK125" s="16"/>
      <c r="CL125" s="16"/>
      <c r="CM125" s="16"/>
      <c r="CN125" s="16"/>
      <c r="CO125" s="16"/>
      <c r="CP125" s="16"/>
      <c r="CQ125" s="16"/>
      <c r="CR125" s="16"/>
      <c r="CS125" s="16"/>
      <c r="CT125" s="16"/>
      <c r="CU125" s="16"/>
      <c r="CV125" s="16"/>
      <c r="CW125" s="16"/>
      <c r="CX125" s="16"/>
      <c r="CY125" s="16"/>
      <c r="CZ125" s="16"/>
      <c r="DA125" s="16"/>
      <c r="DB125" s="16"/>
      <c r="DC125" s="16"/>
      <c r="DD125" s="16"/>
      <c r="DE125" s="16"/>
      <c r="DF125" s="16"/>
      <c r="DG125" s="16"/>
      <c r="DH125" s="16"/>
      <c r="DI125" s="16"/>
      <c r="DJ125" s="16"/>
      <c r="DK125" s="16"/>
      <c r="DL125" s="16"/>
      <c r="DM125" s="16"/>
      <c r="DN125" s="16"/>
      <c r="DO125" s="16"/>
      <c r="DP125" s="16"/>
      <c r="DQ125" s="16"/>
      <c r="DR125" s="16"/>
      <c r="DS125" s="16"/>
      <c r="DT125" s="16"/>
      <c r="DU125" s="16"/>
      <c r="DV125" s="16"/>
      <c r="DW125" s="16"/>
      <c r="DX125" s="16"/>
      <c r="DY125" s="16"/>
      <c r="DZ125" s="16"/>
      <c r="EA125" s="16"/>
      <c r="EB125" s="16"/>
      <c r="EC125" s="16"/>
      <c r="ED125" s="16"/>
      <c r="EE125" s="16"/>
      <c r="EF125" s="16"/>
      <c r="EG125" s="16"/>
      <c r="EH125" s="16"/>
      <c r="EI125" s="16"/>
      <c r="EJ125" s="16"/>
      <c r="EK125" s="16"/>
      <c r="EL125" s="16"/>
      <c r="EM125" s="16"/>
      <c r="EN125" s="16"/>
      <c r="EO125" s="16"/>
      <c r="EP125" s="16"/>
      <c r="EQ125" s="16"/>
      <c r="ER125" s="16"/>
      <c r="ES125" s="16"/>
      <c r="ET125" s="16"/>
      <c r="EU125" s="16"/>
      <c r="EV125" s="16"/>
      <c r="EW125" s="16"/>
      <c r="EX125" s="16"/>
      <c r="EY125" s="16"/>
      <c r="EZ125" s="16"/>
      <c r="FA125" s="16"/>
      <c r="FB125" s="16"/>
      <c r="FC125" s="16"/>
      <c r="FD125" s="16"/>
      <c r="FE125" s="16"/>
      <c r="FF125" s="16"/>
      <c r="FG125" s="16"/>
      <c r="FH125" s="16"/>
      <c r="FI125" s="16"/>
      <c r="FJ125" s="16"/>
      <c r="FK125" s="16"/>
      <c r="FL125" s="16"/>
      <c r="FM125" s="16"/>
      <c r="FN125" s="16"/>
      <c r="FO125" s="16"/>
      <c r="FP125" s="16"/>
      <c r="FQ125" s="16"/>
      <c r="FR125" s="16"/>
      <c r="FS125" s="16"/>
      <c r="FT125" s="16"/>
      <c r="FU125" s="16"/>
      <c r="FV125" s="16"/>
      <c r="FW125" s="16"/>
      <c r="FX125" s="16"/>
      <c r="FY125" s="16"/>
      <c r="FZ125" s="16"/>
      <c r="GA125" s="16"/>
      <c r="GB125" s="16"/>
      <c r="GC125" s="16"/>
      <c r="GD125" s="16"/>
      <c r="GE125" s="16"/>
      <c r="GF125" s="16"/>
      <c r="GG125" s="16"/>
      <c r="GH125" s="16"/>
      <c r="GI125" s="16"/>
      <c r="GJ125" s="16"/>
      <c r="GK125" s="16"/>
      <c r="GL125" s="16"/>
      <c r="GM125" s="16"/>
      <c r="GN125" s="16"/>
      <c r="GO125" s="16"/>
      <c r="GP125" s="16"/>
      <c r="GQ125" s="16"/>
      <c r="GR125" s="16"/>
      <c r="GS125" s="16"/>
      <c r="GT125" s="16"/>
      <c r="GU125" s="16"/>
      <c r="GV125" s="16"/>
      <c r="GW125" s="16"/>
      <c r="GX125" s="16"/>
      <c r="GY125" s="16"/>
      <c r="GZ125" s="16"/>
      <c r="HA125" s="16"/>
      <c r="HB125" s="16"/>
      <c r="HC125" s="16"/>
      <c r="HD125" s="16"/>
      <c r="HE125" s="16"/>
      <c r="HF125" s="16"/>
      <c r="HG125" s="16"/>
      <c r="HH125" s="16"/>
      <c r="HI125" s="16"/>
      <c r="HJ125" s="16"/>
      <c r="HK125" s="16"/>
      <c r="HL125" s="16"/>
      <c r="HM125" s="16"/>
      <c r="HN125" s="16"/>
      <c r="HO125" s="16"/>
      <c r="HP125" s="16"/>
      <c r="HQ125" s="16"/>
      <c r="HR125" s="16"/>
      <c r="HS125" s="16"/>
      <c r="HT125" s="16"/>
      <c r="HU125" s="16"/>
      <c r="HV125" s="16"/>
      <c r="HW125" s="16"/>
      <c r="HX125" s="16"/>
      <c r="HY125" s="16"/>
      <c r="HZ125" s="16"/>
      <c r="IA125" s="16"/>
      <c r="IB125" s="16"/>
      <c r="IC125" s="16"/>
      <c r="ID125" s="16"/>
      <c r="IE125" s="16"/>
      <c r="IF125" s="16"/>
      <c r="IG125" s="16"/>
      <c r="IH125" s="16"/>
      <c r="II125" s="16"/>
      <c r="IJ125" s="16"/>
      <c r="IK125" s="16"/>
      <c r="IL125" s="16"/>
      <c r="IM125" s="16"/>
      <c r="IN125" s="16"/>
      <c r="IO125" s="16"/>
      <c r="IP125" s="16"/>
      <c r="IQ125" s="16"/>
      <c r="IR125" s="16"/>
      <c r="IS125" s="16"/>
      <c r="IT125" s="16"/>
    </row>
    <row r="126" spans="1:254" ht="18" customHeight="1" thickBot="1">
      <c r="A126" s="93"/>
      <c r="B126" s="40" t="s">
        <v>358</v>
      </c>
      <c r="C126" s="41">
        <f>SUM(C102:C125)</f>
        <v>-447979164.13999993</v>
      </c>
      <c r="D126" s="41">
        <f>SUM(D102:D125)</f>
        <v>-458231982.75280005</v>
      </c>
      <c r="E126" s="41">
        <f>SUM(E102:E125)</f>
        <v>-457717535.09779996</v>
      </c>
      <c r="F126" s="41">
        <f>SUM(F102:F125)</f>
        <v>-464098003.15771997</v>
      </c>
      <c r="G126" s="41">
        <f>SUM(G102:G125)</f>
        <v>-475244131.27811998</v>
      </c>
      <c r="H126" s="42">
        <f>SUM(G126/C126*100-100)</f>
        <v>6.0862132261132018</v>
      </c>
      <c r="I126" s="43"/>
      <c r="J126" s="77"/>
      <c r="K126" s="16"/>
      <c r="L126" s="16"/>
      <c r="M126" s="16"/>
      <c r="N126" s="16"/>
      <c r="O126" s="16"/>
      <c r="P126" s="16"/>
      <c r="Q126" s="16"/>
      <c r="R126" s="16"/>
      <c r="S126" s="16"/>
      <c r="T126" s="16"/>
      <c r="U126" s="16"/>
      <c r="V126" s="16"/>
      <c r="W126" s="16"/>
      <c r="X126" s="16"/>
      <c r="Y126" s="16"/>
      <c r="Z126" s="16"/>
      <c r="AA126" s="16"/>
      <c r="AB126" s="16"/>
      <c r="AC126" s="16"/>
      <c r="AD126" s="16"/>
      <c r="AE126" s="16"/>
      <c r="AF126" s="16"/>
      <c r="AG126" s="16"/>
      <c r="AH126" s="16"/>
      <c r="AI126" s="16"/>
      <c r="AJ126" s="16"/>
      <c r="AK126" s="16"/>
      <c r="AL126" s="16"/>
      <c r="AM126" s="16"/>
      <c r="AN126" s="16"/>
      <c r="AO126" s="16"/>
      <c r="AP126" s="16"/>
      <c r="AQ126" s="16"/>
      <c r="AR126" s="16"/>
      <c r="AS126" s="16"/>
      <c r="AT126" s="16"/>
      <c r="AU126" s="16"/>
      <c r="AV126" s="16"/>
      <c r="AW126" s="16"/>
      <c r="AX126" s="16"/>
      <c r="AY126" s="16"/>
      <c r="AZ126" s="16"/>
      <c r="BA126" s="16"/>
      <c r="BB126" s="16"/>
      <c r="BC126" s="16"/>
      <c r="BD126" s="16"/>
      <c r="BE126" s="16"/>
      <c r="BF126" s="16"/>
      <c r="BG126" s="16"/>
      <c r="BH126" s="16"/>
      <c r="BI126" s="16"/>
      <c r="BJ126" s="16"/>
      <c r="BK126" s="16"/>
      <c r="BL126" s="16"/>
      <c r="BM126" s="16"/>
      <c r="BN126" s="16"/>
      <c r="BO126" s="16"/>
      <c r="BP126" s="16"/>
      <c r="BQ126" s="16"/>
      <c r="BR126" s="16"/>
      <c r="BS126" s="16"/>
      <c r="BT126" s="16"/>
      <c r="BU126" s="16"/>
      <c r="BV126" s="16"/>
      <c r="BW126" s="16"/>
      <c r="BX126" s="16"/>
      <c r="BY126" s="16"/>
      <c r="BZ126" s="16"/>
      <c r="CA126" s="16"/>
      <c r="CB126" s="16"/>
      <c r="CC126" s="16"/>
      <c r="CD126" s="16"/>
      <c r="CE126" s="16"/>
      <c r="CF126" s="16"/>
      <c r="CG126" s="16"/>
      <c r="CH126" s="16"/>
      <c r="CI126" s="16"/>
      <c r="CJ126" s="16"/>
      <c r="CK126" s="16"/>
      <c r="CL126" s="16"/>
      <c r="CM126" s="16"/>
      <c r="CN126" s="16"/>
      <c r="CO126" s="16"/>
      <c r="CP126" s="16"/>
      <c r="CQ126" s="16"/>
      <c r="CR126" s="16"/>
      <c r="CS126" s="16"/>
      <c r="CT126" s="16"/>
      <c r="CU126" s="16"/>
      <c r="CV126" s="16"/>
      <c r="CW126" s="16"/>
      <c r="CX126" s="16"/>
      <c r="CY126" s="16"/>
      <c r="CZ126" s="16"/>
      <c r="DA126" s="16"/>
      <c r="DB126" s="16"/>
      <c r="DC126" s="16"/>
      <c r="DD126" s="16"/>
      <c r="DE126" s="16"/>
      <c r="DF126" s="16"/>
      <c r="DG126" s="16"/>
      <c r="DH126" s="16"/>
      <c r="DI126" s="16"/>
      <c r="DJ126" s="16"/>
      <c r="DK126" s="16"/>
      <c r="DL126" s="16"/>
      <c r="DM126" s="16"/>
      <c r="DN126" s="16"/>
      <c r="DO126" s="16"/>
      <c r="DP126" s="16"/>
      <c r="DQ126" s="16"/>
      <c r="DR126" s="16"/>
      <c r="DS126" s="16"/>
      <c r="DT126" s="16"/>
      <c r="DU126" s="16"/>
      <c r="DV126" s="16"/>
      <c r="DW126" s="16"/>
      <c r="DX126" s="16"/>
      <c r="DY126" s="16"/>
      <c r="DZ126" s="16"/>
      <c r="EA126" s="16"/>
      <c r="EB126" s="16"/>
      <c r="EC126" s="16"/>
      <c r="ED126" s="16"/>
      <c r="EE126" s="16"/>
      <c r="EF126" s="16"/>
      <c r="EG126" s="16"/>
      <c r="EH126" s="16"/>
      <c r="EI126" s="16"/>
      <c r="EJ126" s="16"/>
      <c r="EK126" s="16"/>
      <c r="EL126" s="16"/>
      <c r="EM126" s="16"/>
      <c r="EN126" s="16"/>
      <c r="EO126" s="16"/>
      <c r="EP126" s="16"/>
      <c r="EQ126" s="16"/>
      <c r="ER126" s="16"/>
      <c r="ES126" s="16"/>
      <c r="ET126" s="16"/>
      <c r="EU126" s="16"/>
      <c r="EV126" s="16"/>
      <c r="EW126" s="16"/>
      <c r="EX126" s="16"/>
      <c r="EY126" s="16"/>
      <c r="EZ126" s="16"/>
      <c r="FA126" s="16"/>
      <c r="FB126" s="16"/>
      <c r="FC126" s="16"/>
      <c r="FD126" s="16"/>
      <c r="FE126" s="16"/>
      <c r="FF126" s="16"/>
      <c r="FG126" s="16"/>
      <c r="FH126" s="16"/>
      <c r="FI126" s="16"/>
      <c r="FJ126" s="16"/>
      <c r="FK126" s="16"/>
      <c r="FL126" s="16"/>
      <c r="FM126" s="16"/>
      <c r="FN126" s="16"/>
      <c r="FO126" s="16"/>
      <c r="FP126" s="16"/>
      <c r="FQ126" s="16"/>
      <c r="FR126" s="16"/>
      <c r="FS126" s="16"/>
      <c r="FT126" s="16"/>
      <c r="FU126" s="16"/>
      <c r="FV126" s="16"/>
      <c r="FW126" s="16"/>
      <c r="FX126" s="16"/>
      <c r="FY126" s="16"/>
      <c r="FZ126" s="16"/>
      <c r="GA126" s="16"/>
      <c r="GB126" s="16"/>
      <c r="GC126" s="16"/>
      <c r="GD126" s="16"/>
      <c r="GE126" s="16"/>
      <c r="GF126" s="16"/>
      <c r="GG126" s="16"/>
      <c r="GH126" s="16"/>
      <c r="GI126" s="16"/>
      <c r="GJ126" s="16"/>
      <c r="GK126" s="16"/>
      <c r="GL126" s="16"/>
      <c r="GM126" s="16"/>
      <c r="GN126" s="16"/>
      <c r="GO126" s="16"/>
      <c r="GP126" s="16"/>
      <c r="GQ126" s="16"/>
      <c r="GR126" s="16"/>
      <c r="GS126" s="16"/>
      <c r="GT126" s="16"/>
      <c r="GU126" s="16"/>
      <c r="GV126" s="16"/>
      <c r="GW126" s="16"/>
      <c r="GX126" s="16"/>
      <c r="GY126" s="16"/>
      <c r="GZ126" s="16"/>
      <c r="HA126" s="16"/>
      <c r="HB126" s="16"/>
      <c r="HC126" s="16"/>
      <c r="HD126" s="16"/>
      <c r="HE126" s="16"/>
      <c r="HF126" s="16"/>
      <c r="HG126" s="16"/>
      <c r="HH126" s="16"/>
      <c r="HI126" s="16"/>
      <c r="HJ126" s="16"/>
      <c r="HK126" s="16"/>
      <c r="HL126" s="16"/>
      <c r="HM126" s="16"/>
      <c r="HN126" s="16"/>
      <c r="HO126" s="16"/>
      <c r="HP126" s="16"/>
      <c r="HQ126" s="16"/>
      <c r="HR126" s="16"/>
      <c r="HS126" s="16"/>
      <c r="HT126" s="16"/>
      <c r="HU126" s="16"/>
      <c r="HV126" s="16"/>
      <c r="HW126" s="16"/>
      <c r="HX126" s="16"/>
      <c r="HY126" s="16"/>
      <c r="HZ126" s="16"/>
      <c r="IA126" s="16"/>
      <c r="IB126" s="16"/>
      <c r="IC126" s="16"/>
      <c r="ID126" s="16"/>
      <c r="IE126" s="16"/>
      <c r="IF126" s="16"/>
      <c r="IG126" s="16"/>
      <c r="IH126" s="16"/>
      <c r="II126" s="16"/>
      <c r="IJ126" s="16"/>
      <c r="IK126" s="16"/>
      <c r="IL126" s="16"/>
      <c r="IM126" s="16"/>
      <c r="IN126" s="16"/>
      <c r="IO126" s="16"/>
      <c r="IP126" s="16"/>
      <c r="IQ126" s="16"/>
      <c r="IR126" s="16"/>
      <c r="IS126" s="16"/>
      <c r="IT126" s="16"/>
    </row>
    <row r="127" spans="1:254" ht="22.5" hidden="1" customHeight="1" outlineLevel="1">
      <c r="A127" s="126"/>
      <c r="B127" s="408" t="s">
        <v>7</v>
      </c>
      <c r="C127" s="409">
        <v>0</v>
      </c>
      <c r="D127" s="409">
        <v>0</v>
      </c>
      <c r="E127" s="409">
        <v>0</v>
      </c>
      <c r="F127" s="409">
        <v>0</v>
      </c>
      <c r="G127" s="409">
        <v>0</v>
      </c>
      <c r="H127" s="127"/>
      <c r="I127" s="128"/>
      <c r="J127" s="78"/>
      <c r="K127" s="16"/>
      <c r="L127" s="16"/>
      <c r="M127" s="16"/>
      <c r="N127" s="16"/>
      <c r="O127" s="16"/>
      <c r="P127" s="16"/>
      <c r="Q127" s="16"/>
      <c r="R127" s="16"/>
      <c r="S127" s="16"/>
      <c r="T127" s="16"/>
      <c r="U127" s="16"/>
      <c r="V127" s="16"/>
      <c r="W127" s="16"/>
      <c r="X127" s="16"/>
      <c r="Y127" s="16"/>
      <c r="Z127" s="16"/>
      <c r="AA127" s="16"/>
      <c r="AB127" s="16"/>
      <c r="AC127" s="16"/>
      <c r="AD127" s="16"/>
      <c r="AE127" s="16"/>
      <c r="AF127" s="16"/>
      <c r="AG127" s="16"/>
      <c r="AH127" s="16"/>
      <c r="AI127" s="16"/>
      <c r="AJ127" s="16"/>
      <c r="AK127" s="16"/>
      <c r="AL127" s="16"/>
      <c r="AM127" s="16"/>
      <c r="AN127" s="16"/>
      <c r="AO127" s="16"/>
      <c r="AP127" s="16"/>
      <c r="AQ127" s="16"/>
      <c r="AR127" s="16"/>
      <c r="AS127" s="16"/>
      <c r="AT127" s="16"/>
      <c r="AU127" s="16"/>
      <c r="AV127" s="16"/>
      <c r="AW127" s="16"/>
      <c r="AX127" s="16"/>
      <c r="AY127" s="16"/>
      <c r="AZ127" s="16"/>
      <c r="BA127" s="16"/>
      <c r="BB127" s="16"/>
      <c r="BC127" s="16"/>
      <c r="BD127" s="16"/>
      <c r="BE127" s="16"/>
      <c r="BF127" s="16"/>
      <c r="BG127" s="16"/>
      <c r="BH127" s="16"/>
      <c r="BI127" s="16"/>
      <c r="BJ127" s="16"/>
      <c r="BK127" s="16"/>
      <c r="BL127" s="16"/>
      <c r="BM127" s="16"/>
      <c r="BN127" s="16"/>
      <c r="BO127" s="16"/>
      <c r="BP127" s="16"/>
      <c r="BQ127" s="16"/>
      <c r="BR127" s="16"/>
      <c r="BS127" s="16"/>
      <c r="BT127" s="16"/>
      <c r="BU127" s="16"/>
      <c r="BV127" s="16"/>
      <c r="BW127" s="16"/>
      <c r="BX127" s="16"/>
      <c r="BY127" s="16"/>
      <c r="BZ127" s="16"/>
      <c r="CA127" s="16"/>
      <c r="CB127" s="16"/>
      <c r="CC127" s="16"/>
      <c r="CD127" s="16"/>
      <c r="CE127" s="16"/>
      <c r="CF127" s="16"/>
      <c r="CG127" s="16"/>
      <c r="CH127" s="16"/>
      <c r="CI127" s="16"/>
      <c r="CJ127" s="16"/>
      <c r="CK127" s="16"/>
      <c r="CL127" s="16"/>
      <c r="CM127" s="16"/>
      <c r="CN127" s="16"/>
      <c r="CO127" s="16"/>
      <c r="CP127" s="16"/>
      <c r="CQ127" s="16"/>
      <c r="CR127" s="16"/>
      <c r="CS127" s="16"/>
      <c r="CT127" s="16"/>
      <c r="CU127" s="16"/>
      <c r="CV127" s="16"/>
      <c r="CW127" s="16"/>
      <c r="CX127" s="16"/>
      <c r="CY127" s="16"/>
      <c r="CZ127" s="16"/>
      <c r="DA127" s="16"/>
      <c r="DB127" s="16"/>
      <c r="DC127" s="16"/>
      <c r="DD127" s="16"/>
      <c r="DE127" s="16"/>
      <c r="DF127" s="16"/>
      <c r="DG127" s="16"/>
      <c r="DH127" s="16"/>
      <c r="DI127" s="16"/>
      <c r="DJ127" s="16"/>
      <c r="DK127" s="16"/>
      <c r="DL127" s="16"/>
      <c r="DM127" s="16"/>
      <c r="DN127" s="16"/>
      <c r="DO127" s="16"/>
      <c r="DP127" s="16"/>
      <c r="DQ127" s="16"/>
      <c r="DR127" s="16"/>
      <c r="DS127" s="16"/>
      <c r="DT127" s="16"/>
      <c r="DU127" s="16"/>
      <c r="DV127" s="16"/>
      <c r="DW127" s="16"/>
      <c r="DX127" s="16"/>
      <c r="DY127" s="16"/>
      <c r="DZ127" s="16"/>
      <c r="EA127" s="16"/>
      <c r="EB127" s="16"/>
      <c r="EC127" s="16"/>
      <c r="ED127" s="16"/>
      <c r="EE127" s="16"/>
      <c r="EF127" s="16"/>
      <c r="EG127" s="16"/>
      <c r="EH127" s="16"/>
      <c r="EI127" s="16"/>
      <c r="EJ127" s="16"/>
      <c r="EK127" s="16"/>
      <c r="EL127" s="16"/>
      <c r="EM127" s="16"/>
      <c r="EN127" s="16"/>
      <c r="EO127" s="16"/>
      <c r="EP127" s="16"/>
      <c r="EQ127" s="16"/>
      <c r="ER127" s="16"/>
      <c r="ES127" s="16"/>
      <c r="ET127" s="16"/>
      <c r="EU127" s="16"/>
      <c r="EV127" s="16"/>
      <c r="EW127" s="16"/>
      <c r="EX127" s="16"/>
      <c r="EY127" s="16"/>
      <c r="EZ127" s="16"/>
      <c r="FA127" s="16"/>
      <c r="FB127" s="16"/>
      <c r="FC127" s="16"/>
      <c r="FD127" s="16"/>
      <c r="FE127" s="16"/>
      <c r="FF127" s="16"/>
      <c r="FG127" s="16"/>
      <c r="FH127" s="16"/>
      <c r="FI127" s="16"/>
      <c r="FJ127" s="16"/>
      <c r="FK127" s="16"/>
      <c r="FL127" s="16"/>
      <c r="FM127" s="16"/>
      <c r="FN127" s="16"/>
      <c r="FO127" s="16"/>
      <c r="FP127" s="16"/>
      <c r="FQ127" s="16"/>
      <c r="FR127" s="16"/>
      <c r="FS127" s="16"/>
      <c r="FT127" s="16"/>
      <c r="FU127" s="16"/>
      <c r="FV127" s="16"/>
      <c r="FW127" s="16"/>
      <c r="FX127" s="16"/>
      <c r="FY127" s="16"/>
      <c r="FZ127" s="16"/>
      <c r="GA127" s="16"/>
      <c r="GB127" s="16"/>
      <c r="GC127" s="16"/>
      <c r="GD127" s="16"/>
      <c r="GE127" s="16"/>
      <c r="GF127" s="16"/>
      <c r="GG127" s="16"/>
      <c r="GH127" s="16"/>
      <c r="GI127" s="16"/>
      <c r="GJ127" s="16"/>
      <c r="GK127" s="16"/>
      <c r="GL127" s="16"/>
      <c r="GM127" s="16"/>
      <c r="GN127" s="16"/>
      <c r="GO127" s="16"/>
      <c r="GP127" s="16"/>
      <c r="GQ127" s="16"/>
      <c r="GR127" s="16"/>
      <c r="GS127" s="16"/>
      <c r="GT127" s="16"/>
      <c r="GU127" s="16"/>
      <c r="GV127" s="16"/>
      <c r="GW127" s="16"/>
      <c r="GX127" s="16"/>
      <c r="GY127" s="16"/>
      <c r="GZ127" s="16"/>
      <c r="HA127" s="16"/>
      <c r="HB127" s="16"/>
      <c r="HC127" s="16"/>
      <c r="HD127" s="16"/>
      <c r="HE127" s="16"/>
      <c r="HF127" s="16"/>
      <c r="HG127" s="16"/>
      <c r="HH127" s="16"/>
      <c r="HI127" s="16"/>
      <c r="HJ127" s="16"/>
      <c r="HK127" s="16"/>
      <c r="HL127" s="16"/>
      <c r="HM127" s="16"/>
      <c r="HN127" s="16"/>
      <c r="HO127" s="16"/>
      <c r="HP127" s="16"/>
      <c r="HQ127" s="16"/>
      <c r="HR127" s="16"/>
      <c r="HS127" s="16"/>
      <c r="HT127" s="16"/>
      <c r="HU127" s="16"/>
      <c r="HV127" s="16"/>
      <c r="HW127" s="16"/>
      <c r="HX127" s="16"/>
      <c r="HY127" s="16"/>
      <c r="HZ127" s="16"/>
      <c r="IA127" s="16"/>
      <c r="IB127" s="16"/>
      <c r="IC127" s="16"/>
      <c r="ID127" s="16"/>
      <c r="IE127" s="16"/>
      <c r="IF127" s="16"/>
      <c r="IG127" s="16"/>
      <c r="IH127" s="16"/>
      <c r="II127" s="16"/>
      <c r="IJ127" s="16"/>
      <c r="IK127" s="16"/>
      <c r="IL127" s="16"/>
      <c r="IM127" s="16"/>
      <c r="IN127" s="16"/>
      <c r="IO127" s="16"/>
      <c r="IP127" s="16"/>
      <c r="IQ127" s="16"/>
      <c r="IR127" s="16"/>
      <c r="IS127" s="16"/>
      <c r="IT127" s="16"/>
    </row>
    <row r="128" spans="1:254" ht="22.5" hidden="1" customHeight="1" outlineLevel="1">
      <c r="A128" s="402"/>
      <c r="B128" s="403"/>
      <c r="C128" s="404"/>
      <c r="D128" s="404"/>
      <c r="E128" s="404"/>
      <c r="F128" s="404"/>
      <c r="G128" s="404"/>
      <c r="H128" s="405"/>
      <c r="I128" s="406"/>
      <c r="J128" s="407"/>
      <c r="K128" s="16"/>
      <c r="L128" s="16"/>
      <c r="M128" s="16"/>
      <c r="N128" s="16"/>
      <c r="O128" s="16"/>
      <c r="P128" s="16"/>
      <c r="Q128" s="16"/>
      <c r="R128" s="16"/>
      <c r="S128" s="16"/>
      <c r="T128" s="16"/>
      <c r="U128" s="16"/>
      <c r="V128" s="16"/>
      <c r="W128" s="16"/>
      <c r="X128" s="16"/>
      <c r="Y128" s="16"/>
      <c r="Z128" s="16"/>
      <c r="AA128" s="16"/>
      <c r="AB128" s="16"/>
      <c r="AC128" s="16"/>
      <c r="AD128" s="16"/>
      <c r="AE128" s="16"/>
      <c r="AF128" s="16"/>
      <c r="AG128" s="16"/>
      <c r="AH128" s="16"/>
      <c r="AI128" s="16"/>
      <c r="AJ128" s="16"/>
      <c r="AK128" s="16"/>
      <c r="AL128" s="16"/>
      <c r="AM128" s="16"/>
      <c r="AN128" s="16"/>
      <c r="AO128" s="16"/>
      <c r="AP128" s="16"/>
      <c r="AQ128" s="16"/>
      <c r="AR128" s="16"/>
      <c r="AS128" s="16"/>
      <c r="AT128" s="16"/>
      <c r="AU128" s="16"/>
      <c r="AV128" s="16"/>
      <c r="AW128" s="16"/>
      <c r="AX128" s="16"/>
      <c r="AY128" s="16"/>
      <c r="AZ128" s="16"/>
      <c r="BA128" s="16"/>
      <c r="BB128" s="16"/>
      <c r="BC128" s="16"/>
      <c r="BD128" s="16"/>
      <c r="BE128" s="16"/>
      <c r="BF128" s="16"/>
      <c r="BG128" s="16"/>
      <c r="BH128" s="16"/>
      <c r="BI128" s="16"/>
      <c r="BJ128" s="16"/>
      <c r="BK128" s="16"/>
      <c r="BL128" s="16"/>
      <c r="BM128" s="16"/>
      <c r="BN128" s="16"/>
      <c r="BO128" s="16"/>
      <c r="BP128" s="16"/>
      <c r="BQ128" s="16"/>
      <c r="BR128" s="16"/>
      <c r="BS128" s="16"/>
      <c r="BT128" s="16"/>
      <c r="BU128" s="16"/>
      <c r="BV128" s="16"/>
      <c r="BW128" s="16"/>
      <c r="BX128" s="16"/>
      <c r="BY128" s="16"/>
      <c r="BZ128" s="16"/>
      <c r="CA128" s="16"/>
      <c r="CB128" s="16"/>
      <c r="CC128" s="16"/>
      <c r="CD128" s="16"/>
      <c r="CE128" s="16"/>
      <c r="CF128" s="16"/>
      <c r="CG128" s="16"/>
      <c r="CH128" s="16"/>
      <c r="CI128" s="16"/>
      <c r="CJ128" s="16"/>
      <c r="CK128" s="16"/>
      <c r="CL128" s="16"/>
      <c r="CM128" s="16"/>
      <c r="CN128" s="16"/>
      <c r="CO128" s="16"/>
      <c r="CP128" s="16"/>
      <c r="CQ128" s="16"/>
      <c r="CR128" s="16"/>
      <c r="CS128" s="16"/>
      <c r="CT128" s="16"/>
      <c r="CU128" s="16"/>
      <c r="CV128" s="16"/>
      <c r="CW128" s="16"/>
      <c r="CX128" s="16"/>
      <c r="CY128" s="16"/>
      <c r="CZ128" s="16"/>
      <c r="DA128" s="16"/>
      <c r="DB128" s="16"/>
      <c r="DC128" s="16"/>
      <c r="DD128" s="16"/>
      <c r="DE128" s="16"/>
      <c r="DF128" s="16"/>
      <c r="DG128" s="16"/>
      <c r="DH128" s="16"/>
      <c r="DI128" s="16"/>
      <c r="DJ128" s="16"/>
      <c r="DK128" s="16"/>
      <c r="DL128" s="16"/>
      <c r="DM128" s="16"/>
      <c r="DN128" s="16"/>
      <c r="DO128" s="16"/>
      <c r="DP128" s="16"/>
      <c r="DQ128" s="16"/>
      <c r="DR128" s="16"/>
      <c r="DS128" s="16"/>
      <c r="DT128" s="16"/>
      <c r="DU128" s="16"/>
      <c r="DV128" s="16"/>
      <c r="DW128" s="16"/>
      <c r="DX128" s="16"/>
      <c r="DY128" s="16"/>
      <c r="DZ128" s="16"/>
      <c r="EA128" s="16"/>
      <c r="EB128" s="16"/>
      <c r="EC128" s="16"/>
      <c r="ED128" s="16"/>
      <c r="EE128" s="16"/>
      <c r="EF128" s="16"/>
      <c r="EG128" s="16"/>
      <c r="EH128" s="16"/>
      <c r="EI128" s="16"/>
      <c r="EJ128" s="16"/>
      <c r="EK128" s="16"/>
      <c r="EL128" s="16"/>
      <c r="EM128" s="16"/>
      <c r="EN128" s="16"/>
      <c r="EO128" s="16"/>
      <c r="EP128" s="16"/>
      <c r="EQ128" s="16"/>
      <c r="ER128" s="16"/>
      <c r="ES128" s="16"/>
      <c r="ET128" s="16"/>
      <c r="EU128" s="16"/>
      <c r="EV128" s="16"/>
      <c r="EW128" s="16"/>
      <c r="EX128" s="16"/>
      <c r="EY128" s="16"/>
      <c r="EZ128" s="16"/>
      <c r="FA128" s="16"/>
      <c r="FB128" s="16"/>
      <c r="FC128" s="16"/>
      <c r="FD128" s="16"/>
      <c r="FE128" s="16"/>
      <c r="FF128" s="16"/>
      <c r="FG128" s="16"/>
      <c r="FH128" s="16"/>
      <c r="FI128" s="16"/>
      <c r="FJ128" s="16"/>
      <c r="FK128" s="16"/>
      <c r="FL128" s="16"/>
      <c r="FM128" s="16"/>
      <c r="FN128" s="16"/>
      <c r="FO128" s="16"/>
      <c r="FP128" s="16"/>
      <c r="FQ128" s="16"/>
      <c r="FR128" s="16"/>
      <c r="FS128" s="16"/>
      <c r="FT128" s="16"/>
      <c r="FU128" s="16"/>
      <c r="FV128" s="16"/>
      <c r="FW128" s="16"/>
      <c r="FX128" s="16"/>
      <c r="FY128" s="16"/>
      <c r="FZ128" s="16"/>
      <c r="GA128" s="16"/>
      <c r="GB128" s="16"/>
      <c r="GC128" s="16"/>
      <c r="GD128" s="16"/>
      <c r="GE128" s="16"/>
      <c r="GF128" s="16"/>
      <c r="GG128" s="16"/>
      <c r="GH128" s="16"/>
      <c r="GI128" s="16"/>
      <c r="GJ128" s="16"/>
      <c r="GK128" s="16"/>
      <c r="GL128" s="16"/>
      <c r="GM128" s="16"/>
      <c r="GN128" s="16"/>
      <c r="GO128" s="16"/>
      <c r="GP128" s="16"/>
      <c r="GQ128" s="16"/>
      <c r="GR128" s="16"/>
      <c r="GS128" s="16"/>
      <c r="GT128" s="16"/>
      <c r="GU128" s="16"/>
      <c r="GV128" s="16"/>
      <c r="GW128" s="16"/>
      <c r="GX128" s="16"/>
      <c r="GY128" s="16"/>
      <c r="GZ128" s="16"/>
      <c r="HA128" s="16"/>
      <c r="HB128" s="16"/>
      <c r="HC128" s="16"/>
      <c r="HD128" s="16"/>
      <c r="HE128" s="16"/>
      <c r="HF128" s="16"/>
      <c r="HG128" s="16"/>
      <c r="HH128" s="16"/>
      <c r="HI128" s="16"/>
      <c r="HJ128" s="16"/>
      <c r="HK128" s="16"/>
      <c r="HL128" s="16"/>
      <c r="HM128" s="16"/>
      <c r="HN128" s="16"/>
      <c r="HO128" s="16"/>
      <c r="HP128" s="16"/>
      <c r="HQ128" s="16"/>
      <c r="HR128" s="16"/>
      <c r="HS128" s="16"/>
      <c r="HT128" s="16"/>
      <c r="HU128" s="16"/>
      <c r="HV128" s="16"/>
      <c r="HW128" s="16"/>
      <c r="HX128" s="16"/>
      <c r="HY128" s="16"/>
      <c r="HZ128" s="16"/>
      <c r="IA128" s="16"/>
      <c r="IB128" s="16"/>
      <c r="IC128" s="16"/>
      <c r="ID128" s="16"/>
      <c r="IE128" s="16"/>
      <c r="IF128" s="16"/>
      <c r="IG128" s="16"/>
      <c r="IH128" s="16"/>
      <c r="II128" s="16"/>
      <c r="IJ128" s="16"/>
      <c r="IK128" s="16"/>
      <c r="IL128" s="16"/>
      <c r="IM128" s="16"/>
      <c r="IN128" s="16"/>
      <c r="IO128" s="16"/>
      <c r="IP128" s="16"/>
      <c r="IQ128" s="16"/>
      <c r="IR128" s="16"/>
      <c r="IS128" s="16"/>
      <c r="IT128" s="16"/>
    </row>
    <row r="129" spans="1:254" ht="22.5" hidden="1" customHeight="1" outlineLevel="1" thickBot="1">
      <c r="A129" s="93"/>
      <c r="B129" s="94" t="s">
        <v>508</v>
      </c>
      <c r="C129" s="95">
        <f>SUM(C14+C28+C55+C84+C100+C126+C127)</f>
        <v>-2375000.4799998999</v>
      </c>
      <c r="D129" s="95">
        <f>SUM(D14+D28+D55+D84+D100+D126+D127)</f>
        <v>13550000.447299898</v>
      </c>
      <c r="E129" s="95">
        <f>SUM(E14+E28+E55+E84+E100+E126+E127)</f>
        <v>20820149.422997057</v>
      </c>
      <c r="F129" s="95">
        <f>SUM(F14+F28+F55+F84+F100+F126+F127)</f>
        <v>26802189.186630011</v>
      </c>
      <c r="G129" s="95">
        <f>SUM(G14+G28+G55+G84+G100+G126+G127)</f>
        <v>29668063.228656709</v>
      </c>
      <c r="H129" s="96"/>
      <c r="I129" s="97"/>
      <c r="J129" s="98"/>
      <c r="K129" s="16"/>
      <c r="L129" s="16"/>
      <c r="M129" s="16"/>
      <c r="N129" s="16"/>
      <c r="O129" s="16"/>
      <c r="P129" s="16"/>
      <c r="Q129" s="16"/>
      <c r="R129" s="16"/>
      <c r="S129" s="16"/>
      <c r="T129" s="16"/>
      <c r="U129" s="16"/>
      <c r="V129" s="16"/>
      <c r="W129" s="16"/>
      <c r="X129" s="16"/>
      <c r="Y129" s="16"/>
      <c r="Z129" s="16"/>
      <c r="AA129" s="16"/>
      <c r="AB129" s="16"/>
      <c r="AC129" s="16"/>
      <c r="AD129" s="16"/>
      <c r="AE129" s="16"/>
      <c r="AF129" s="16"/>
      <c r="AG129" s="16"/>
      <c r="AH129" s="16"/>
      <c r="AI129" s="16"/>
      <c r="AJ129" s="16"/>
      <c r="AK129" s="16"/>
      <c r="AL129" s="16"/>
      <c r="AM129" s="16"/>
      <c r="AN129" s="16"/>
      <c r="AO129" s="16"/>
      <c r="AP129" s="16"/>
      <c r="AQ129" s="16"/>
      <c r="AR129" s="16"/>
      <c r="AS129" s="16"/>
      <c r="AT129" s="16"/>
      <c r="AU129" s="16"/>
      <c r="AV129" s="16"/>
      <c r="AW129" s="16"/>
      <c r="AX129" s="16"/>
      <c r="AY129" s="16"/>
      <c r="AZ129" s="16"/>
      <c r="BA129" s="16"/>
      <c r="BB129" s="16"/>
      <c r="BC129" s="16"/>
      <c r="BD129" s="16"/>
      <c r="BE129" s="16"/>
      <c r="BF129" s="16"/>
      <c r="BG129" s="16"/>
      <c r="BH129" s="16"/>
      <c r="BI129" s="16"/>
      <c r="BJ129" s="16"/>
      <c r="BK129" s="16"/>
      <c r="BL129" s="16"/>
      <c r="BM129" s="16"/>
      <c r="BN129" s="16"/>
      <c r="BO129" s="16"/>
      <c r="BP129" s="16"/>
      <c r="BQ129" s="16"/>
      <c r="BR129" s="16"/>
      <c r="BS129" s="16"/>
      <c r="BT129" s="16"/>
      <c r="BU129" s="16"/>
      <c r="BV129" s="16"/>
      <c r="BW129" s="16"/>
      <c r="BX129" s="16"/>
      <c r="BY129" s="16"/>
      <c r="BZ129" s="16"/>
      <c r="CA129" s="16"/>
      <c r="CB129" s="16"/>
      <c r="CC129" s="16"/>
      <c r="CD129" s="16"/>
      <c r="CE129" s="16"/>
      <c r="CF129" s="16"/>
      <c r="CG129" s="16"/>
      <c r="CH129" s="16"/>
      <c r="CI129" s="16"/>
      <c r="CJ129" s="16"/>
      <c r="CK129" s="16"/>
      <c r="CL129" s="16"/>
      <c r="CM129" s="16"/>
      <c r="CN129" s="16"/>
      <c r="CO129" s="16"/>
      <c r="CP129" s="16"/>
      <c r="CQ129" s="16"/>
      <c r="CR129" s="16"/>
      <c r="CS129" s="16"/>
      <c r="CT129" s="16"/>
      <c r="CU129" s="16"/>
      <c r="CV129" s="16"/>
      <c r="CW129" s="16"/>
      <c r="CX129" s="16"/>
      <c r="CY129" s="16"/>
      <c r="CZ129" s="16"/>
      <c r="DA129" s="16"/>
      <c r="DB129" s="16"/>
      <c r="DC129" s="16"/>
      <c r="DD129" s="16"/>
      <c r="DE129" s="16"/>
      <c r="DF129" s="16"/>
      <c r="DG129" s="16"/>
      <c r="DH129" s="16"/>
      <c r="DI129" s="16"/>
      <c r="DJ129" s="16"/>
      <c r="DK129" s="16"/>
      <c r="DL129" s="16"/>
      <c r="DM129" s="16"/>
      <c r="DN129" s="16"/>
      <c r="DO129" s="16"/>
      <c r="DP129" s="16"/>
      <c r="DQ129" s="16"/>
      <c r="DR129" s="16"/>
      <c r="DS129" s="16"/>
      <c r="DT129" s="16"/>
      <c r="DU129" s="16"/>
      <c r="DV129" s="16"/>
      <c r="DW129" s="16"/>
      <c r="DX129" s="16"/>
      <c r="DY129" s="16"/>
      <c r="DZ129" s="16"/>
      <c r="EA129" s="16"/>
      <c r="EB129" s="16"/>
      <c r="EC129" s="16"/>
      <c r="ED129" s="16"/>
      <c r="EE129" s="16"/>
      <c r="EF129" s="16"/>
      <c r="EG129" s="16"/>
      <c r="EH129" s="16"/>
      <c r="EI129" s="16"/>
      <c r="EJ129" s="16"/>
      <c r="EK129" s="16"/>
      <c r="EL129" s="16"/>
      <c r="EM129" s="16"/>
      <c r="EN129" s="16"/>
      <c r="EO129" s="16"/>
      <c r="EP129" s="16"/>
      <c r="EQ129" s="16"/>
      <c r="ER129" s="16"/>
      <c r="ES129" s="16"/>
      <c r="ET129" s="16"/>
      <c r="EU129" s="16"/>
      <c r="EV129" s="16"/>
      <c r="EW129" s="16"/>
      <c r="EX129" s="16"/>
      <c r="EY129" s="16"/>
      <c r="EZ129" s="16"/>
      <c r="FA129" s="16"/>
      <c r="FB129" s="16"/>
      <c r="FC129" s="16"/>
      <c r="FD129" s="16"/>
      <c r="FE129" s="16"/>
      <c r="FF129" s="16"/>
      <c r="FG129" s="16"/>
      <c r="FH129" s="16"/>
      <c r="FI129" s="16"/>
      <c r="FJ129" s="16"/>
      <c r="FK129" s="16"/>
      <c r="FL129" s="16"/>
      <c r="FM129" s="16"/>
      <c r="FN129" s="16"/>
      <c r="FO129" s="16"/>
      <c r="FP129" s="16"/>
      <c r="FQ129" s="16"/>
      <c r="FR129" s="16"/>
      <c r="FS129" s="16"/>
      <c r="FT129" s="16"/>
      <c r="FU129" s="16"/>
      <c r="FV129" s="16"/>
      <c r="FW129" s="16"/>
      <c r="FX129" s="16"/>
      <c r="FY129" s="16"/>
      <c r="FZ129" s="16"/>
      <c r="GA129" s="16"/>
      <c r="GB129" s="16"/>
      <c r="GC129" s="16"/>
      <c r="GD129" s="16"/>
      <c r="GE129" s="16"/>
      <c r="GF129" s="16"/>
      <c r="GG129" s="16"/>
      <c r="GH129" s="16"/>
      <c r="GI129" s="16"/>
      <c r="GJ129" s="16"/>
      <c r="GK129" s="16"/>
      <c r="GL129" s="16"/>
      <c r="GM129" s="16"/>
      <c r="GN129" s="16"/>
      <c r="GO129" s="16"/>
      <c r="GP129" s="16"/>
      <c r="GQ129" s="16"/>
      <c r="GR129" s="16"/>
      <c r="GS129" s="16"/>
      <c r="GT129" s="16"/>
      <c r="GU129" s="16"/>
      <c r="GV129" s="16"/>
      <c r="GW129" s="16"/>
      <c r="GX129" s="16"/>
      <c r="GY129" s="16"/>
      <c r="GZ129" s="16"/>
      <c r="HA129" s="16"/>
      <c r="HB129" s="16"/>
      <c r="HC129" s="16"/>
      <c r="HD129" s="16"/>
      <c r="HE129" s="16"/>
      <c r="HF129" s="16"/>
      <c r="HG129" s="16"/>
      <c r="HH129" s="16"/>
      <c r="HI129" s="16"/>
      <c r="HJ129" s="16"/>
      <c r="HK129" s="16"/>
      <c r="HL129" s="16"/>
      <c r="HM129" s="16"/>
      <c r="HN129" s="16"/>
      <c r="HO129" s="16"/>
      <c r="HP129" s="16"/>
      <c r="HQ129" s="16"/>
      <c r="HR129" s="16"/>
      <c r="HS129" s="16"/>
      <c r="HT129" s="16"/>
      <c r="HU129" s="16"/>
      <c r="HV129" s="16"/>
      <c r="HW129" s="16"/>
      <c r="HX129" s="16"/>
      <c r="HY129" s="16"/>
      <c r="HZ129" s="16"/>
      <c r="IA129" s="16"/>
      <c r="IB129" s="16"/>
      <c r="IC129" s="16"/>
      <c r="ID129" s="16"/>
      <c r="IE129" s="16"/>
      <c r="IF129" s="16"/>
      <c r="IG129" s="16"/>
      <c r="IH129" s="16"/>
      <c r="II129" s="16"/>
      <c r="IJ129" s="16"/>
      <c r="IK129" s="16"/>
      <c r="IL129" s="16"/>
      <c r="IM129" s="16"/>
      <c r="IN129" s="16"/>
      <c r="IO129" s="16"/>
      <c r="IP129" s="16"/>
      <c r="IQ129" s="16"/>
      <c r="IR129" s="16"/>
      <c r="IS129" s="16"/>
      <c r="IT129" s="16"/>
    </row>
    <row r="130" spans="1:254" ht="12.75" customHeight="1" collapsed="1">
      <c r="A130" s="79"/>
      <c r="B130" s="80"/>
      <c r="C130" s="81"/>
      <c r="D130" s="81"/>
      <c r="E130" s="81"/>
      <c r="F130" s="81"/>
      <c r="G130" s="81"/>
      <c r="H130" s="82"/>
      <c r="I130" s="83"/>
      <c r="J130" s="84"/>
      <c r="K130" s="16"/>
      <c r="L130" s="16"/>
      <c r="M130" s="16"/>
      <c r="N130" s="16"/>
      <c r="O130" s="16"/>
      <c r="P130" s="16"/>
      <c r="Q130" s="16"/>
      <c r="R130" s="16"/>
      <c r="S130" s="16"/>
      <c r="T130" s="16"/>
      <c r="U130" s="16"/>
      <c r="V130" s="16"/>
      <c r="W130" s="16"/>
      <c r="X130" s="16"/>
      <c r="Y130" s="16"/>
      <c r="Z130" s="16"/>
      <c r="AA130" s="16"/>
      <c r="AB130" s="16"/>
      <c r="AC130" s="16"/>
      <c r="AD130" s="16"/>
      <c r="AE130" s="16"/>
      <c r="AF130" s="16"/>
      <c r="AG130" s="16"/>
      <c r="AH130" s="16"/>
      <c r="AI130" s="16"/>
      <c r="AJ130" s="16"/>
      <c r="AK130" s="16"/>
      <c r="AL130" s="16"/>
      <c r="AM130" s="16"/>
      <c r="AN130" s="16"/>
      <c r="AO130" s="16"/>
      <c r="AP130" s="16"/>
      <c r="AQ130" s="16"/>
      <c r="AR130" s="16"/>
      <c r="AS130" s="16"/>
      <c r="AT130" s="16"/>
      <c r="AU130" s="16"/>
      <c r="AV130" s="16"/>
      <c r="AW130" s="16"/>
      <c r="AX130" s="16"/>
      <c r="AY130" s="16"/>
      <c r="AZ130" s="16"/>
      <c r="BA130" s="16"/>
      <c r="BB130" s="16"/>
      <c r="BC130" s="16"/>
      <c r="BD130" s="16"/>
      <c r="BE130" s="16"/>
      <c r="BF130" s="16"/>
      <c r="BG130" s="16"/>
      <c r="BH130" s="16"/>
      <c r="BI130" s="16"/>
      <c r="BJ130" s="16"/>
      <c r="BK130" s="16"/>
      <c r="BL130" s="16"/>
      <c r="BM130" s="16"/>
      <c r="BN130" s="16"/>
      <c r="BO130" s="16"/>
      <c r="BP130" s="16"/>
      <c r="BQ130" s="16"/>
      <c r="BR130" s="16"/>
      <c r="BS130" s="16"/>
      <c r="BT130" s="16"/>
      <c r="BU130" s="16"/>
      <c r="BV130" s="16"/>
      <c r="BW130" s="16"/>
      <c r="BX130" s="16"/>
      <c r="BY130" s="16"/>
      <c r="BZ130" s="16"/>
      <c r="CA130" s="16"/>
      <c r="CB130" s="16"/>
      <c r="CC130" s="16"/>
      <c r="CD130" s="16"/>
      <c r="CE130" s="16"/>
      <c r="CF130" s="16"/>
      <c r="CG130" s="16"/>
      <c r="CH130" s="16"/>
      <c r="CI130" s="16"/>
      <c r="CJ130" s="16"/>
      <c r="CK130" s="16"/>
      <c r="CL130" s="16"/>
      <c r="CM130" s="16"/>
      <c r="CN130" s="16"/>
      <c r="CO130" s="16"/>
      <c r="CP130" s="16"/>
      <c r="CQ130" s="16"/>
      <c r="CR130" s="16"/>
      <c r="CS130" s="16"/>
      <c r="CT130" s="16"/>
      <c r="CU130" s="16"/>
      <c r="CV130" s="16"/>
      <c r="CW130" s="16"/>
      <c r="CX130" s="16"/>
      <c r="CY130" s="16"/>
      <c r="CZ130" s="16"/>
      <c r="DA130" s="16"/>
      <c r="DB130" s="16"/>
      <c r="DC130" s="16"/>
      <c r="DD130" s="16"/>
      <c r="DE130" s="16"/>
      <c r="DF130" s="16"/>
      <c r="DG130" s="16"/>
      <c r="DH130" s="16"/>
      <c r="DI130" s="16"/>
      <c r="DJ130" s="16"/>
      <c r="DK130" s="16"/>
      <c r="DL130" s="16"/>
      <c r="DM130" s="16"/>
      <c r="DN130" s="16"/>
      <c r="DO130" s="16"/>
      <c r="DP130" s="16"/>
      <c r="DQ130" s="16"/>
      <c r="DR130" s="16"/>
      <c r="DS130" s="16"/>
      <c r="DT130" s="16"/>
      <c r="DU130" s="16"/>
      <c r="DV130" s="16"/>
      <c r="DW130" s="16"/>
      <c r="DX130" s="16"/>
      <c r="DY130" s="16"/>
      <c r="DZ130" s="16"/>
      <c r="EA130" s="16"/>
      <c r="EB130" s="16"/>
      <c r="EC130" s="16"/>
      <c r="ED130" s="16"/>
      <c r="EE130" s="16"/>
      <c r="EF130" s="16"/>
      <c r="EG130" s="16"/>
      <c r="EH130" s="16"/>
      <c r="EI130" s="16"/>
      <c r="EJ130" s="16"/>
      <c r="EK130" s="16"/>
      <c r="EL130" s="16"/>
      <c r="EM130" s="16"/>
      <c r="EN130" s="16"/>
      <c r="EO130" s="16"/>
      <c r="EP130" s="16"/>
      <c r="EQ130" s="16"/>
      <c r="ER130" s="16"/>
      <c r="ES130" s="16"/>
      <c r="ET130" s="16"/>
      <c r="EU130" s="16"/>
      <c r="EV130" s="16"/>
      <c r="EW130" s="16"/>
      <c r="EX130" s="16"/>
      <c r="EY130" s="16"/>
      <c r="EZ130" s="16"/>
      <c r="FA130" s="16"/>
      <c r="FB130" s="16"/>
      <c r="FC130" s="16"/>
      <c r="FD130" s="16"/>
      <c r="FE130" s="16"/>
      <c r="FF130" s="16"/>
      <c r="FG130" s="16"/>
      <c r="FH130" s="16"/>
      <c r="FI130" s="16"/>
      <c r="FJ130" s="16"/>
      <c r="FK130" s="16"/>
      <c r="FL130" s="16"/>
      <c r="FM130" s="16"/>
      <c r="FN130" s="16"/>
      <c r="FO130" s="16"/>
      <c r="FP130" s="16"/>
      <c r="FQ130" s="16"/>
      <c r="FR130" s="16"/>
      <c r="FS130" s="16"/>
      <c r="FT130" s="16"/>
      <c r="FU130" s="16"/>
      <c r="FV130" s="16"/>
      <c r="FW130" s="16"/>
      <c r="FX130" s="16"/>
      <c r="FY130" s="16"/>
      <c r="FZ130" s="16"/>
      <c r="GA130" s="16"/>
      <c r="GB130" s="16"/>
      <c r="GC130" s="16"/>
      <c r="GD130" s="16"/>
      <c r="GE130" s="16"/>
      <c r="GF130" s="16"/>
      <c r="GG130" s="16"/>
      <c r="GH130" s="16"/>
      <c r="GI130" s="16"/>
      <c r="GJ130" s="16"/>
      <c r="GK130" s="16"/>
      <c r="GL130" s="16"/>
      <c r="GM130" s="16"/>
      <c r="GN130" s="16"/>
      <c r="GO130" s="16"/>
      <c r="GP130" s="16"/>
      <c r="GQ130" s="16"/>
      <c r="GR130" s="16"/>
      <c r="GS130" s="16"/>
      <c r="GT130" s="16"/>
      <c r="GU130" s="16"/>
      <c r="GV130" s="16"/>
      <c r="GW130" s="16"/>
      <c r="GX130" s="16"/>
      <c r="GY130" s="16"/>
      <c r="GZ130" s="16"/>
      <c r="HA130" s="16"/>
      <c r="HB130" s="16"/>
      <c r="HC130" s="16"/>
      <c r="HD130" s="16"/>
      <c r="HE130" s="16"/>
      <c r="HF130" s="16"/>
      <c r="HG130" s="16"/>
      <c r="HH130" s="16"/>
      <c r="HI130" s="16"/>
      <c r="HJ130" s="16"/>
      <c r="HK130" s="16"/>
      <c r="HL130" s="16"/>
      <c r="HM130" s="16"/>
      <c r="HN130" s="16"/>
      <c r="HO130" s="16"/>
      <c r="HP130" s="16"/>
      <c r="HQ130" s="16"/>
      <c r="HR130" s="16"/>
      <c r="HS130" s="16"/>
      <c r="HT130" s="16"/>
      <c r="HU130" s="16"/>
      <c r="HV130" s="16"/>
      <c r="HW130" s="16"/>
      <c r="HX130" s="16"/>
      <c r="HY130" s="16"/>
      <c r="HZ130" s="16"/>
      <c r="IA130" s="16"/>
      <c r="IB130" s="16"/>
      <c r="IC130" s="16"/>
      <c r="ID130" s="16"/>
      <c r="IE130" s="16"/>
      <c r="IF130" s="16"/>
      <c r="IG130" s="16"/>
      <c r="IH130" s="16"/>
      <c r="II130" s="16"/>
      <c r="IJ130" s="16"/>
      <c r="IK130" s="16"/>
      <c r="IL130" s="16"/>
      <c r="IM130" s="16"/>
      <c r="IN130" s="16"/>
      <c r="IO130" s="16"/>
      <c r="IP130" s="16"/>
      <c r="IQ130" s="16"/>
      <c r="IR130" s="16"/>
      <c r="IS130" s="16"/>
      <c r="IT130" s="16"/>
    </row>
    <row r="131" spans="1:254" s="118" customFormat="1" ht="22.5" customHeight="1">
      <c r="A131" s="119"/>
      <c r="B131" s="120" t="s">
        <v>8</v>
      </c>
      <c r="C131" s="121">
        <f>C129</f>
        <v>-2375000.4799998999</v>
      </c>
      <c r="D131" s="121">
        <f>D129</f>
        <v>13550000.447299898</v>
      </c>
      <c r="E131" s="121">
        <f>E129</f>
        <v>20820149.422997057</v>
      </c>
      <c r="F131" s="121">
        <f>F129</f>
        <v>26802189.186630011</v>
      </c>
      <c r="G131" s="121">
        <f>G129</f>
        <v>29668063.228656709</v>
      </c>
      <c r="H131" s="122"/>
      <c r="I131" s="123"/>
      <c r="J131" s="124"/>
      <c r="K131" s="117"/>
      <c r="L131" s="117"/>
      <c r="M131" s="117"/>
      <c r="N131" s="117"/>
      <c r="O131" s="117"/>
      <c r="P131" s="117"/>
      <c r="Q131" s="117"/>
      <c r="R131" s="117"/>
      <c r="S131" s="117"/>
      <c r="T131" s="117"/>
      <c r="U131" s="117"/>
      <c r="V131" s="117"/>
      <c r="W131" s="117"/>
      <c r="X131" s="117"/>
      <c r="Y131" s="117"/>
      <c r="Z131" s="117"/>
      <c r="AA131" s="117"/>
      <c r="AB131" s="117"/>
      <c r="AC131" s="117"/>
      <c r="AD131" s="117"/>
      <c r="AE131" s="117"/>
      <c r="AF131" s="117"/>
      <c r="AG131" s="117"/>
      <c r="AH131" s="117"/>
      <c r="AI131" s="117"/>
      <c r="AJ131" s="117"/>
      <c r="AK131" s="117"/>
      <c r="AL131" s="117"/>
      <c r="AM131" s="117"/>
      <c r="AN131" s="117"/>
      <c r="AO131" s="117"/>
      <c r="AP131" s="117"/>
      <c r="AQ131" s="117"/>
      <c r="AR131" s="117"/>
      <c r="AS131" s="117"/>
      <c r="AT131" s="117"/>
      <c r="AU131" s="117"/>
      <c r="AV131" s="117"/>
      <c r="AW131" s="117"/>
      <c r="AX131" s="117"/>
      <c r="AY131" s="117"/>
      <c r="AZ131" s="117"/>
      <c r="BA131" s="117"/>
      <c r="BB131" s="117"/>
      <c r="BC131" s="117"/>
      <c r="BD131" s="117"/>
      <c r="BE131" s="117"/>
      <c r="BF131" s="117"/>
      <c r="BG131" s="117"/>
      <c r="BH131" s="117"/>
      <c r="BI131" s="117"/>
      <c r="BJ131" s="117"/>
      <c r="BK131" s="117"/>
      <c r="BL131" s="117"/>
      <c r="BM131" s="117"/>
      <c r="BN131" s="117"/>
      <c r="BO131" s="117"/>
      <c r="BP131" s="117"/>
      <c r="BQ131" s="117"/>
      <c r="BR131" s="117"/>
      <c r="BS131" s="117"/>
      <c r="BT131" s="117"/>
      <c r="BU131" s="117"/>
      <c r="BV131" s="117"/>
      <c r="BW131" s="117"/>
      <c r="BX131" s="117"/>
      <c r="BY131" s="117"/>
      <c r="BZ131" s="117"/>
      <c r="CA131" s="117"/>
      <c r="CB131" s="117"/>
      <c r="CC131" s="117"/>
      <c r="CD131" s="117"/>
      <c r="CE131" s="117"/>
      <c r="CF131" s="117"/>
      <c r="CG131" s="117"/>
      <c r="CH131" s="117"/>
      <c r="CI131" s="117"/>
      <c r="CJ131" s="117"/>
      <c r="CK131" s="117"/>
      <c r="CL131" s="117"/>
      <c r="CM131" s="117"/>
      <c r="CN131" s="117"/>
      <c r="CO131" s="117"/>
      <c r="CP131" s="117"/>
      <c r="CQ131" s="117"/>
      <c r="CR131" s="117"/>
      <c r="CS131" s="117"/>
      <c r="CT131" s="117"/>
      <c r="CU131" s="117"/>
      <c r="CV131" s="117"/>
      <c r="CW131" s="117"/>
      <c r="CX131" s="117"/>
      <c r="CY131" s="117"/>
      <c r="CZ131" s="117"/>
      <c r="DA131" s="117"/>
      <c r="DB131" s="117"/>
      <c r="DC131" s="117"/>
      <c r="DD131" s="117"/>
      <c r="DE131" s="117"/>
      <c r="DF131" s="117"/>
      <c r="DG131" s="117"/>
      <c r="DH131" s="117"/>
      <c r="DI131" s="117"/>
      <c r="DJ131" s="117"/>
      <c r="DK131" s="117"/>
      <c r="DL131" s="117"/>
      <c r="DM131" s="117"/>
      <c r="DN131" s="117"/>
      <c r="DO131" s="117"/>
      <c r="DP131" s="117"/>
      <c r="DQ131" s="117"/>
      <c r="DR131" s="117"/>
      <c r="DS131" s="117"/>
      <c r="DT131" s="117"/>
      <c r="DU131" s="117"/>
      <c r="DV131" s="117"/>
      <c r="DW131" s="117"/>
      <c r="DX131" s="117"/>
      <c r="DY131" s="117"/>
      <c r="DZ131" s="117"/>
      <c r="EA131" s="117"/>
      <c r="EB131" s="117"/>
      <c r="EC131" s="117"/>
      <c r="ED131" s="117"/>
      <c r="EE131" s="117"/>
      <c r="EF131" s="117"/>
      <c r="EG131" s="117"/>
      <c r="EH131" s="117"/>
      <c r="EI131" s="117"/>
      <c r="EJ131" s="117"/>
      <c r="EK131" s="117"/>
      <c r="EL131" s="117"/>
      <c r="EM131" s="117"/>
      <c r="EN131" s="117"/>
      <c r="EO131" s="117"/>
      <c r="EP131" s="117"/>
      <c r="EQ131" s="117"/>
      <c r="ER131" s="117"/>
      <c r="ES131" s="117"/>
      <c r="ET131" s="117"/>
      <c r="EU131" s="117"/>
      <c r="EV131" s="117"/>
      <c r="EW131" s="117"/>
      <c r="EX131" s="117"/>
      <c r="EY131" s="117"/>
      <c r="EZ131" s="117"/>
      <c r="FA131" s="117"/>
      <c r="FB131" s="117"/>
      <c r="FC131" s="117"/>
      <c r="FD131" s="117"/>
      <c r="FE131" s="117"/>
      <c r="FF131" s="117"/>
      <c r="FG131" s="117"/>
      <c r="FH131" s="117"/>
      <c r="FI131" s="117"/>
      <c r="FJ131" s="117"/>
      <c r="FK131" s="117"/>
      <c r="FL131" s="117"/>
      <c r="FM131" s="117"/>
      <c r="FN131" s="117"/>
      <c r="FO131" s="117"/>
      <c r="FP131" s="117"/>
      <c r="FQ131" s="117"/>
      <c r="FR131" s="117"/>
      <c r="FS131" s="117"/>
      <c r="FT131" s="117"/>
      <c r="FU131" s="117"/>
      <c r="FV131" s="117"/>
      <c r="FW131" s="117"/>
      <c r="FX131" s="117"/>
      <c r="FY131" s="117"/>
      <c r="FZ131" s="117"/>
      <c r="GA131" s="117"/>
      <c r="GB131" s="117"/>
      <c r="GC131" s="117"/>
      <c r="GD131" s="117"/>
      <c r="GE131" s="117"/>
      <c r="GF131" s="117"/>
      <c r="GG131" s="117"/>
      <c r="GH131" s="117"/>
      <c r="GI131" s="117"/>
      <c r="GJ131" s="117"/>
      <c r="GK131" s="117"/>
      <c r="GL131" s="117"/>
      <c r="GM131" s="117"/>
      <c r="GN131" s="117"/>
      <c r="GO131" s="117"/>
      <c r="GP131" s="117"/>
      <c r="GQ131" s="117"/>
      <c r="GR131" s="117"/>
      <c r="GS131" s="117"/>
      <c r="GT131" s="117"/>
      <c r="GU131" s="117"/>
      <c r="GV131" s="117"/>
      <c r="GW131" s="117"/>
      <c r="GX131" s="117"/>
      <c r="GY131" s="117"/>
      <c r="GZ131" s="117"/>
      <c r="HA131" s="117"/>
      <c r="HB131" s="117"/>
      <c r="HC131" s="117"/>
      <c r="HD131" s="117"/>
      <c r="HE131" s="117"/>
      <c r="HF131" s="117"/>
      <c r="HG131" s="117"/>
      <c r="HH131" s="117"/>
      <c r="HI131" s="117"/>
      <c r="HJ131" s="117"/>
      <c r="HK131" s="117"/>
      <c r="HL131" s="117"/>
      <c r="HM131" s="117"/>
      <c r="HN131" s="117"/>
      <c r="HO131" s="117"/>
      <c r="HP131" s="117"/>
      <c r="HQ131" s="117"/>
      <c r="HR131" s="117"/>
      <c r="HS131" s="117"/>
      <c r="HT131" s="117"/>
      <c r="HU131" s="117"/>
      <c r="HV131" s="117"/>
      <c r="HW131" s="117"/>
      <c r="HX131" s="117"/>
      <c r="HY131" s="117"/>
      <c r="HZ131" s="117"/>
      <c r="IA131" s="117"/>
      <c r="IB131" s="117"/>
      <c r="IC131" s="117"/>
      <c r="ID131" s="117"/>
      <c r="IE131" s="117"/>
      <c r="IF131" s="117"/>
      <c r="IG131" s="117"/>
      <c r="IH131" s="117"/>
      <c r="II131" s="117"/>
      <c r="IJ131" s="117"/>
      <c r="IK131" s="117"/>
      <c r="IL131" s="117"/>
      <c r="IM131" s="117"/>
      <c r="IN131" s="117"/>
      <c r="IO131" s="117"/>
      <c r="IP131" s="117"/>
      <c r="IQ131" s="117"/>
      <c r="IR131" s="117"/>
      <c r="IS131" s="117"/>
      <c r="IT131" s="117"/>
    </row>
    <row r="132" spans="1:254" ht="12.75" customHeight="1">
      <c r="A132" s="99"/>
      <c r="B132" s="100"/>
      <c r="C132" s="101"/>
      <c r="D132" s="54"/>
      <c r="E132" s="54"/>
      <c r="F132" s="54"/>
      <c r="G132" s="54"/>
      <c r="H132" s="102"/>
      <c r="I132" s="103"/>
      <c r="J132" s="86"/>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c r="AJ132" s="16"/>
      <c r="AK132" s="16"/>
      <c r="AL132" s="16"/>
      <c r="AM132" s="16"/>
      <c r="AN132" s="16"/>
      <c r="AO132" s="16"/>
      <c r="AP132" s="16"/>
      <c r="AQ132" s="16"/>
      <c r="AR132" s="16"/>
      <c r="AS132" s="16"/>
      <c r="AT132" s="16"/>
      <c r="AU132" s="16"/>
      <c r="AV132" s="16"/>
      <c r="AW132" s="16"/>
      <c r="AX132" s="16"/>
      <c r="AY132" s="16"/>
      <c r="AZ132" s="16"/>
      <c r="BA132" s="16"/>
      <c r="BB132" s="16"/>
      <c r="BC132" s="16"/>
      <c r="BD132" s="16"/>
      <c r="BE132" s="16"/>
      <c r="BF132" s="16"/>
      <c r="BG132" s="16"/>
      <c r="BH132" s="16"/>
      <c r="BI132" s="16"/>
      <c r="BJ132" s="16"/>
      <c r="BK132" s="16"/>
      <c r="BL132" s="16"/>
      <c r="BM132" s="16"/>
      <c r="BN132" s="16"/>
      <c r="BO132" s="16"/>
      <c r="BP132" s="16"/>
      <c r="BQ132" s="16"/>
      <c r="BR132" s="16"/>
      <c r="BS132" s="16"/>
      <c r="BT132" s="16"/>
      <c r="BU132" s="16"/>
      <c r="BV132" s="16"/>
      <c r="BW132" s="16"/>
      <c r="BX132" s="16"/>
      <c r="BY132" s="16"/>
      <c r="BZ132" s="16"/>
      <c r="CA132" s="16"/>
      <c r="CB132" s="16"/>
      <c r="CC132" s="16"/>
      <c r="CD132" s="16"/>
      <c r="CE132" s="16"/>
      <c r="CF132" s="16"/>
      <c r="CG132" s="16"/>
      <c r="CH132" s="16"/>
      <c r="CI132" s="16"/>
      <c r="CJ132" s="16"/>
      <c r="CK132" s="16"/>
      <c r="CL132" s="16"/>
      <c r="CM132" s="16"/>
      <c r="CN132" s="16"/>
      <c r="CO132" s="16"/>
      <c r="CP132" s="16"/>
      <c r="CQ132" s="16"/>
      <c r="CR132" s="16"/>
      <c r="CS132" s="16"/>
      <c r="CT132" s="16"/>
      <c r="CU132" s="16"/>
      <c r="CV132" s="16"/>
      <c r="CW132" s="16"/>
      <c r="CX132" s="16"/>
      <c r="CY132" s="16"/>
      <c r="CZ132" s="16"/>
      <c r="DA132" s="16"/>
      <c r="DB132" s="16"/>
      <c r="DC132" s="16"/>
      <c r="DD132" s="16"/>
      <c r="DE132" s="16"/>
      <c r="DF132" s="16"/>
      <c r="DG132" s="16"/>
      <c r="DH132" s="16"/>
      <c r="DI132" s="16"/>
      <c r="DJ132" s="16"/>
      <c r="DK132" s="16"/>
      <c r="DL132" s="16"/>
      <c r="DM132" s="16"/>
      <c r="DN132" s="16"/>
      <c r="DO132" s="16"/>
      <c r="DP132" s="16"/>
      <c r="DQ132" s="16"/>
      <c r="DR132" s="16"/>
      <c r="DS132" s="16"/>
      <c r="DT132" s="16"/>
      <c r="DU132" s="16"/>
      <c r="DV132" s="16"/>
      <c r="DW132" s="16"/>
      <c r="DX132" s="16"/>
      <c r="DY132" s="16"/>
      <c r="DZ132" s="16"/>
      <c r="EA132" s="16"/>
      <c r="EB132" s="16"/>
      <c r="EC132" s="16"/>
      <c r="ED132" s="16"/>
      <c r="EE132" s="16"/>
      <c r="EF132" s="16"/>
      <c r="EG132" s="16"/>
      <c r="EH132" s="16"/>
      <c r="EI132" s="16"/>
      <c r="EJ132" s="16"/>
      <c r="EK132" s="16"/>
      <c r="EL132" s="16"/>
      <c r="EM132" s="16"/>
      <c r="EN132" s="16"/>
      <c r="EO132" s="16"/>
      <c r="EP132" s="16"/>
      <c r="EQ132" s="16"/>
      <c r="ER132" s="16"/>
      <c r="ES132" s="16"/>
      <c r="ET132" s="16"/>
      <c r="EU132" s="16"/>
      <c r="EV132" s="16"/>
      <c r="EW132" s="16"/>
      <c r="EX132" s="16"/>
      <c r="EY132" s="16"/>
      <c r="EZ132" s="16"/>
      <c r="FA132" s="16"/>
      <c r="FB132" s="16"/>
      <c r="FC132" s="16"/>
      <c r="FD132" s="16"/>
      <c r="FE132" s="16"/>
      <c r="FF132" s="16"/>
      <c r="FG132" s="16"/>
      <c r="FH132" s="16"/>
      <c r="FI132" s="16"/>
      <c r="FJ132" s="16"/>
      <c r="FK132" s="16"/>
      <c r="FL132" s="16"/>
      <c r="FM132" s="16"/>
      <c r="FN132" s="16"/>
      <c r="FO132" s="16"/>
      <c r="FP132" s="16"/>
      <c r="FQ132" s="16"/>
      <c r="FR132" s="16"/>
      <c r="FS132" s="16"/>
      <c r="FT132" s="16"/>
      <c r="FU132" s="16"/>
      <c r="FV132" s="16"/>
      <c r="FW132" s="16"/>
      <c r="FX132" s="16"/>
      <c r="FY132" s="16"/>
      <c r="FZ132" s="16"/>
      <c r="GA132" s="16"/>
      <c r="GB132" s="16"/>
      <c r="GC132" s="16"/>
      <c r="GD132" s="16"/>
      <c r="GE132" s="16"/>
      <c r="GF132" s="16"/>
      <c r="GG132" s="16"/>
      <c r="GH132" s="16"/>
      <c r="GI132" s="16"/>
      <c r="GJ132" s="16"/>
      <c r="GK132" s="16"/>
      <c r="GL132" s="16"/>
      <c r="GM132" s="16"/>
      <c r="GN132" s="16"/>
      <c r="GO132" s="16"/>
      <c r="GP132" s="16"/>
      <c r="GQ132" s="16"/>
      <c r="GR132" s="16"/>
      <c r="GS132" s="16"/>
      <c r="GT132" s="16"/>
      <c r="GU132" s="16"/>
      <c r="GV132" s="16"/>
      <c r="GW132" s="16"/>
      <c r="GX132" s="16"/>
      <c r="GY132" s="16"/>
      <c r="GZ132" s="16"/>
      <c r="HA132" s="16"/>
      <c r="HB132" s="16"/>
      <c r="HC132" s="16"/>
      <c r="HD132" s="16"/>
      <c r="HE132" s="16"/>
      <c r="HF132" s="16"/>
      <c r="HG132" s="16"/>
      <c r="HH132" s="16"/>
      <c r="HI132" s="16"/>
      <c r="HJ132" s="16"/>
      <c r="HK132" s="16"/>
      <c r="HL132" s="16"/>
      <c r="HM132" s="16"/>
      <c r="HN132" s="16"/>
      <c r="HO132" s="16"/>
      <c r="HP132" s="16"/>
      <c r="HQ132" s="16"/>
      <c r="HR132" s="16"/>
      <c r="HS132" s="16"/>
      <c r="HT132" s="16"/>
      <c r="HU132" s="16"/>
      <c r="HV132" s="16"/>
      <c r="HW132" s="16"/>
      <c r="HX132" s="16"/>
      <c r="HY132" s="16"/>
      <c r="HZ132" s="16"/>
      <c r="IA132" s="16"/>
      <c r="IB132" s="16"/>
      <c r="IC132" s="16"/>
      <c r="ID132" s="16"/>
      <c r="IE132" s="16"/>
      <c r="IF132" s="16"/>
      <c r="IG132" s="16"/>
      <c r="IH132" s="16"/>
      <c r="II132" s="16"/>
      <c r="IJ132" s="16"/>
      <c r="IK132" s="16"/>
      <c r="IL132" s="16"/>
      <c r="IM132" s="16"/>
      <c r="IN132" s="16"/>
      <c r="IO132" s="16"/>
      <c r="IP132" s="16"/>
      <c r="IQ132" s="16"/>
      <c r="IR132" s="16"/>
      <c r="IS132" s="16"/>
      <c r="IT132" s="16"/>
    </row>
    <row r="133" spans="1:254" ht="12.75" customHeight="1">
      <c r="A133" s="88"/>
      <c r="B133" s="89" t="s">
        <v>10</v>
      </c>
      <c r="C133" s="90"/>
      <c r="D133" s="47"/>
      <c r="E133" s="47"/>
      <c r="F133" s="47"/>
      <c r="G133" s="47"/>
      <c r="H133" s="91"/>
      <c r="I133" s="92"/>
      <c r="J133" s="85"/>
      <c r="K133" s="16"/>
      <c r="L133" s="16"/>
      <c r="M133" s="16"/>
      <c r="N133" s="16"/>
      <c r="O133" s="16"/>
      <c r="P133" s="16"/>
      <c r="Q133" s="16"/>
      <c r="R133" s="16"/>
      <c r="S133" s="16"/>
      <c r="T133" s="16"/>
      <c r="U133" s="16"/>
      <c r="V133" s="16"/>
      <c r="W133" s="16"/>
      <c r="X133" s="16"/>
      <c r="Y133" s="16"/>
      <c r="Z133" s="16"/>
      <c r="AA133" s="16"/>
      <c r="AB133" s="16"/>
      <c r="AC133" s="16"/>
      <c r="AD133" s="16"/>
      <c r="AE133" s="16"/>
      <c r="AF133" s="16"/>
      <c r="AG133" s="16"/>
      <c r="AH133" s="16"/>
      <c r="AI133" s="16"/>
      <c r="AJ133" s="16"/>
      <c r="AK133" s="16"/>
      <c r="AL133" s="16"/>
      <c r="AM133" s="16"/>
      <c r="AN133" s="16"/>
      <c r="AO133" s="16"/>
      <c r="AP133" s="16"/>
      <c r="AQ133" s="16"/>
      <c r="AR133" s="16"/>
      <c r="AS133" s="16"/>
      <c r="AT133" s="16"/>
      <c r="AU133" s="16"/>
      <c r="AV133" s="16"/>
      <c r="AW133" s="16"/>
      <c r="AX133" s="16"/>
      <c r="AY133" s="16"/>
      <c r="AZ133" s="16"/>
      <c r="BA133" s="16"/>
      <c r="BB133" s="16"/>
      <c r="BC133" s="16"/>
      <c r="BD133" s="16"/>
      <c r="BE133" s="16"/>
      <c r="BF133" s="16"/>
      <c r="BG133" s="16"/>
      <c r="BH133" s="16"/>
      <c r="BI133" s="16"/>
      <c r="BJ133" s="16"/>
      <c r="BK133" s="16"/>
      <c r="BL133" s="16"/>
      <c r="BM133" s="16"/>
      <c r="BN133" s="16"/>
      <c r="BO133" s="16"/>
      <c r="BP133" s="16"/>
      <c r="BQ133" s="16"/>
      <c r="BR133" s="16"/>
      <c r="BS133" s="16"/>
      <c r="BT133" s="16"/>
      <c r="BU133" s="16"/>
      <c r="BV133" s="16"/>
      <c r="BW133" s="16"/>
      <c r="BX133" s="16"/>
      <c r="BY133" s="16"/>
      <c r="BZ133" s="16"/>
      <c r="CA133" s="16"/>
      <c r="CB133" s="16"/>
      <c r="CC133" s="16"/>
      <c r="CD133" s="16"/>
      <c r="CE133" s="16"/>
      <c r="CF133" s="16"/>
      <c r="CG133" s="16"/>
      <c r="CH133" s="16"/>
      <c r="CI133" s="16"/>
      <c r="CJ133" s="16"/>
      <c r="CK133" s="16"/>
      <c r="CL133" s="16"/>
      <c r="CM133" s="16"/>
      <c r="CN133" s="16"/>
      <c r="CO133" s="16"/>
      <c r="CP133" s="16"/>
      <c r="CQ133" s="16"/>
      <c r="CR133" s="16"/>
      <c r="CS133" s="16"/>
      <c r="CT133" s="16"/>
      <c r="CU133" s="16"/>
      <c r="CV133" s="16"/>
      <c r="CW133" s="16"/>
      <c r="CX133" s="16"/>
      <c r="CY133" s="16"/>
      <c r="CZ133" s="16"/>
      <c r="DA133" s="16"/>
      <c r="DB133" s="16"/>
      <c r="DC133" s="16"/>
      <c r="DD133" s="16"/>
      <c r="DE133" s="16"/>
      <c r="DF133" s="16"/>
      <c r="DG133" s="16"/>
      <c r="DH133" s="16"/>
      <c r="DI133" s="16"/>
      <c r="DJ133" s="16"/>
      <c r="DK133" s="16"/>
      <c r="DL133" s="16"/>
      <c r="DM133" s="16"/>
      <c r="DN133" s="16"/>
      <c r="DO133" s="16"/>
      <c r="DP133" s="16"/>
      <c r="DQ133" s="16"/>
      <c r="DR133" s="16"/>
      <c r="DS133" s="16"/>
      <c r="DT133" s="16"/>
      <c r="DU133" s="16"/>
      <c r="DV133" s="16"/>
      <c r="DW133" s="16"/>
      <c r="DX133" s="16"/>
      <c r="DY133" s="16"/>
      <c r="DZ133" s="16"/>
      <c r="EA133" s="16"/>
      <c r="EB133" s="16"/>
      <c r="EC133" s="16"/>
      <c r="ED133" s="16"/>
      <c r="EE133" s="16"/>
      <c r="EF133" s="16"/>
      <c r="EG133" s="16"/>
      <c r="EH133" s="16"/>
      <c r="EI133" s="16"/>
      <c r="EJ133" s="16"/>
      <c r="EK133" s="16"/>
      <c r="EL133" s="16"/>
      <c r="EM133" s="16"/>
      <c r="EN133" s="16"/>
      <c r="EO133" s="16"/>
      <c r="EP133" s="16"/>
      <c r="EQ133" s="16"/>
      <c r="ER133" s="16"/>
      <c r="ES133" s="16"/>
      <c r="ET133" s="16"/>
      <c r="EU133" s="16"/>
      <c r="EV133" s="16"/>
      <c r="EW133" s="16"/>
      <c r="EX133" s="16"/>
      <c r="EY133" s="16"/>
      <c r="EZ133" s="16"/>
      <c r="FA133" s="16"/>
      <c r="FB133" s="16"/>
      <c r="FC133" s="16"/>
      <c r="FD133" s="16"/>
      <c r="FE133" s="16"/>
      <c r="FF133" s="16"/>
      <c r="FG133" s="16"/>
      <c r="FH133" s="16"/>
      <c r="FI133" s="16"/>
      <c r="FJ133" s="16"/>
      <c r="FK133" s="16"/>
      <c r="FL133" s="16"/>
      <c r="FM133" s="16"/>
      <c r="FN133" s="16"/>
      <c r="FO133" s="16"/>
      <c r="FP133" s="16"/>
      <c r="FQ133" s="16"/>
      <c r="FR133" s="16"/>
      <c r="FS133" s="16"/>
      <c r="FT133" s="16"/>
      <c r="FU133" s="16"/>
      <c r="FV133" s="16"/>
      <c r="FW133" s="16"/>
      <c r="FX133" s="16"/>
      <c r="FY133" s="16"/>
      <c r="FZ133" s="16"/>
      <c r="GA133" s="16"/>
      <c r="GB133" s="16"/>
      <c r="GC133" s="16"/>
      <c r="GD133" s="16"/>
      <c r="GE133" s="16"/>
      <c r="GF133" s="16"/>
      <c r="GG133" s="16"/>
      <c r="GH133" s="16"/>
      <c r="GI133" s="16"/>
      <c r="GJ133" s="16"/>
      <c r="GK133" s="16"/>
      <c r="GL133" s="16"/>
      <c r="GM133" s="16"/>
      <c r="GN133" s="16"/>
      <c r="GO133" s="16"/>
      <c r="GP133" s="16"/>
      <c r="GQ133" s="16"/>
      <c r="GR133" s="16"/>
      <c r="GS133" s="16"/>
      <c r="GT133" s="16"/>
      <c r="GU133" s="16"/>
      <c r="GV133" s="16"/>
      <c r="GW133" s="16"/>
      <c r="GX133" s="16"/>
      <c r="GY133" s="16"/>
      <c r="GZ133" s="16"/>
      <c r="HA133" s="16"/>
      <c r="HB133" s="16"/>
      <c r="HC133" s="16"/>
      <c r="HD133" s="16"/>
      <c r="HE133" s="16"/>
      <c r="HF133" s="16"/>
      <c r="HG133" s="16"/>
      <c r="HH133" s="16"/>
      <c r="HI133" s="16"/>
      <c r="HJ133" s="16"/>
      <c r="HK133" s="16"/>
      <c r="HL133" s="16"/>
      <c r="HM133" s="16"/>
      <c r="HN133" s="16"/>
      <c r="HO133" s="16"/>
      <c r="HP133" s="16"/>
      <c r="HQ133" s="16"/>
      <c r="HR133" s="16"/>
      <c r="HS133" s="16"/>
      <c r="HT133" s="16"/>
      <c r="HU133" s="16"/>
      <c r="HV133" s="16"/>
      <c r="HW133" s="16"/>
      <c r="HX133" s="16"/>
      <c r="HY133" s="16"/>
      <c r="HZ133" s="16"/>
      <c r="IA133" s="16"/>
      <c r="IB133" s="16"/>
      <c r="IC133" s="16"/>
      <c r="ID133" s="16"/>
      <c r="IE133" s="16"/>
      <c r="IF133" s="16"/>
      <c r="IG133" s="16"/>
      <c r="IH133" s="16"/>
      <c r="II133" s="16"/>
      <c r="IJ133" s="16"/>
      <c r="IK133" s="16"/>
      <c r="IL133" s="16"/>
      <c r="IM133" s="16"/>
      <c r="IN133" s="16"/>
      <c r="IO133" s="16"/>
      <c r="IP133" s="16"/>
      <c r="IQ133" s="16"/>
      <c r="IR133" s="16"/>
      <c r="IS133" s="16"/>
      <c r="IT133" s="16"/>
    </row>
    <row r="134" spans="1:254" ht="24">
      <c r="A134" s="99"/>
      <c r="B134" s="136" t="s">
        <v>563</v>
      </c>
      <c r="C134" s="101">
        <v>0</v>
      </c>
      <c r="D134" s="54">
        <v>-2000000</v>
      </c>
      <c r="E134" s="54">
        <v>-2000000</v>
      </c>
      <c r="F134" s="54">
        <v>-2000000</v>
      </c>
      <c r="G134" s="54">
        <v>-2000000</v>
      </c>
      <c r="H134" s="102"/>
      <c r="I134" s="103"/>
      <c r="J134" s="87"/>
      <c r="K134" s="16"/>
      <c r="L134" s="16"/>
      <c r="M134" s="16"/>
      <c r="N134" s="16"/>
      <c r="O134" s="16"/>
      <c r="P134" s="16"/>
      <c r="Q134" s="16"/>
      <c r="R134" s="16"/>
      <c r="S134" s="16"/>
      <c r="T134" s="16"/>
      <c r="U134" s="16"/>
      <c r="V134" s="16"/>
      <c r="W134" s="16"/>
      <c r="X134" s="16"/>
      <c r="Y134" s="16"/>
      <c r="Z134" s="16"/>
      <c r="AA134" s="16"/>
      <c r="AB134" s="16"/>
      <c r="AC134" s="16"/>
      <c r="AD134" s="16"/>
      <c r="AE134" s="16"/>
      <c r="AF134" s="16"/>
      <c r="AG134" s="16"/>
      <c r="AH134" s="16"/>
      <c r="AI134" s="16"/>
      <c r="AJ134" s="16"/>
      <c r="AK134" s="16"/>
      <c r="AL134" s="16"/>
      <c r="AM134" s="16"/>
      <c r="AN134" s="16"/>
      <c r="AO134" s="16"/>
      <c r="AP134" s="16"/>
      <c r="AQ134" s="16"/>
      <c r="AR134" s="16"/>
      <c r="AS134" s="16"/>
      <c r="AT134" s="16"/>
      <c r="AU134" s="16"/>
      <c r="AV134" s="16"/>
      <c r="AW134" s="16"/>
      <c r="AX134" s="16"/>
      <c r="AY134" s="16"/>
      <c r="AZ134" s="16"/>
      <c r="BA134" s="16"/>
      <c r="BB134" s="16"/>
      <c r="BC134" s="16"/>
      <c r="BD134" s="16"/>
      <c r="BE134" s="16"/>
      <c r="BF134" s="16"/>
      <c r="BG134" s="16"/>
      <c r="BH134" s="16"/>
      <c r="BI134" s="16"/>
      <c r="BJ134" s="16"/>
      <c r="BK134" s="16"/>
      <c r="BL134" s="16"/>
      <c r="BM134" s="16"/>
      <c r="BN134" s="16"/>
      <c r="BO134" s="16"/>
      <c r="BP134" s="16"/>
      <c r="BQ134" s="16"/>
      <c r="BR134" s="16"/>
      <c r="BS134" s="16"/>
      <c r="BT134" s="16"/>
      <c r="BU134" s="16"/>
      <c r="BV134" s="16"/>
      <c r="BW134" s="16"/>
      <c r="BX134" s="16"/>
      <c r="BY134" s="16"/>
      <c r="BZ134" s="16"/>
      <c r="CA134" s="16"/>
      <c r="CB134" s="16"/>
      <c r="CC134" s="16"/>
      <c r="CD134" s="16"/>
      <c r="CE134" s="16"/>
      <c r="CF134" s="16"/>
      <c r="CG134" s="16"/>
      <c r="CH134" s="16"/>
      <c r="CI134" s="16"/>
      <c r="CJ134" s="16"/>
      <c r="CK134" s="16"/>
      <c r="CL134" s="16"/>
      <c r="CM134" s="16"/>
      <c r="CN134" s="16"/>
      <c r="CO134" s="16"/>
      <c r="CP134" s="16"/>
      <c r="CQ134" s="16"/>
      <c r="CR134" s="16"/>
      <c r="CS134" s="16"/>
      <c r="CT134" s="16"/>
      <c r="CU134" s="16"/>
      <c r="CV134" s="16"/>
      <c r="CW134" s="16"/>
      <c r="CX134" s="16"/>
      <c r="CY134" s="16"/>
      <c r="CZ134" s="16"/>
      <c r="DA134" s="16"/>
      <c r="DB134" s="16"/>
      <c r="DC134" s="16"/>
      <c r="DD134" s="16"/>
      <c r="DE134" s="16"/>
      <c r="DF134" s="16"/>
      <c r="DG134" s="16"/>
      <c r="DH134" s="16"/>
      <c r="DI134" s="16"/>
      <c r="DJ134" s="16"/>
      <c r="DK134" s="16"/>
      <c r="DL134" s="16"/>
      <c r="DM134" s="16"/>
      <c r="DN134" s="16"/>
      <c r="DO134" s="16"/>
      <c r="DP134" s="16"/>
      <c r="DQ134" s="16"/>
      <c r="DR134" s="16"/>
      <c r="DS134" s="16"/>
      <c r="DT134" s="16"/>
      <c r="DU134" s="16"/>
      <c r="DV134" s="16"/>
      <c r="DW134" s="16"/>
      <c r="DX134" s="16"/>
      <c r="DY134" s="16"/>
      <c r="DZ134" s="16"/>
      <c r="EA134" s="16"/>
      <c r="EB134" s="16"/>
      <c r="EC134" s="16"/>
      <c r="ED134" s="16"/>
      <c r="EE134" s="16"/>
      <c r="EF134" s="16"/>
      <c r="EG134" s="16"/>
      <c r="EH134" s="16"/>
      <c r="EI134" s="16"/>
      <c r="EJ134" s="16"/>
      <c r="EK134" s="16"/>
      <c r="EL134" s="16"/>
      <c r="EM134" s="16"/>
      <c r="EN134" s="16"/>
      <c r="EO134" s="16"/>
      <c r="EP134" s="16"/>
      <c r="EQ134" s="16"/>
      <c r="ER134" s="16"/>
      <c r="ES134" s="16"/>
      <c r="ET134" s="16"/>
      <c r="EU134" s="16"/>
      <c r="EV134" s="16"/>
      <c r="EW134" s="16"/>
      <c r="EX134" s="16"/>
      <c r="EY134" s="16"/>
      <c r="EZ134" s="16"/>
      <c r="FA134" s="16"/>
      <c r="FB134" s="16"/>
      <c r="FC134" s="16"/>
      <c r="FD134" s="16"/>
      <c r="FE134" s="16"/>
      <c r="FF134" s="16"/>
      <c r="FG134" s="16"/>
      <c r="FH134" s="16"/>
      <c r="FI134" s="16"/>
      <c r="FJ134" s="16"/>
      <c r="FK134" s="16"/>
      <c r="FL134" s="16"/>
      <c r="FM134" s="16"/>
      <c r="FN134" s="16"/>
      <c r="FO134" s="16"/>
      <c r="FP134" s="16"/>
      <c r="FQ134" s="16"/>
      <c r="FR134" s="16"/>
      <c r="FS134" s="16"/>
      <c r="FT134" s="16"/>
      <c r="FU134" s="16"/>
      <c r="FV134" s="16"/>
      <c r="FW134" s="16"/>
      <c r="FX134" s="16"/>
      <c r="FY134" s="16"/>
      <c r="FZ134" s="16"/>
      <c r="GA134" s="16"/>
      <c r="GB134" s="16"/>
      <c r="GC134" s="16"/>
      <c r="GD134" s="16"/>
      <c r="GE134" s="16"/>
      <c r="GF134" s="16"/>
      <c r="GG134" s="16"/>
      <c r="GH134" s="16"/>
      <c r="GI134" s="16"/>
      <c r="GJ134" s="16"/>
      <c r="GK134" s="16"/>
      <c r="GL134" s="16"/>
      <c r="GM134" s="16"/>
      <c r="GN134" s="16"/>
      <c r="GO134" s="16"/>
      <c r="GP134" s="16"/>
      <c r="GQ134" s="16"/>
      <c r="GR134" s="16"/>
      <c r="GS134" s="16"/>
      <c r="GT134" s="16"/>
      <c r="GU134" s="16"/>
      <c r="GV134" s="16"/>
      <c r="GW134" s="16"/>
      <c r="GX134" s="16"/>
      <c r="GY134" s="16"/>
      <c r="GZ134" s="16"/>
      <c r="HA134" s="16"/>
      <c r="HB134" s="16"/>
      <c r="HC134" s="16"/>
      <c r="HD134" s="16"/>
      <c r="HE134" s="16"/>
      <c r="HF134" s="16"/>
      <c r="HG134" s="16"/>
      <c r="HH134" s="16"/>
      <c r="HI134" s="16"/>
      <c r="HJ134" s="16"/>
      <c r="HK134" s="16"/>
      <c r="HL134" s="16"/>
      <c r="HM134" s="16"/>
      <c r="HN134" s="16"/>
      <c r="HO134" s="16"/>
      <c r="HP134" s="16"/>
      <c r="HQ134" s="16"/>
      <c r="HR134" s="16"/>
      <c r="HS134" s="16"/>
      <c r="HT134" s="16"/>
      <c r="HU134" s="16"/>
      <c r="HV134" s="16"/>
      <c r="HW134" s="16"/>
      <c r="HX134" s="16"/>
      <c r="HY134" s="16"/>
      <c r="HZ134" s="16"/>
      <c r="IA134" s="16"/>
      <c r="IB134" s="16"/>
      <c r="IC134" s="16"/>
      <c r="ID134" s="16"/>
      <c r="IE134" s="16"/>
      <c r="IF134" s="16"/>
      <c r="IG134" s="16"/>
      <c r="IH134" s="16"/>
      <c r="II134" s="16"/>
      <c r="IJ134" s="16"/>
      <c r="IK134" s="16"/>
      <c r="IL134" s="16"/>
      <c r="IM134" s="16"/>
      <c r="IN134" s="16"/>
      <c r="IO134" s="16"/>
      <c r="IP134" s="16"/>
      <c r="IQ134" s="16"/>
      <c r="IR134" s="16"/>
      <c r="IS134" s="16"/>
      <c r="IT134" s="16"/>
    </row>
    <row r="135" spans="1:254" ht="12.75" customHeight="1">
      <c r="A135" s="88"/>
      <c r="B135" s="89"/>
      <c r="C135" s="90"/>
      <c r="D135" s="90"/>
      <c r="E135" s="90"/>
      <c r="F135" s="90"/>
      <c r="G135" s="90"/>
      <c r="H135" s="91"/>
      <c r="I135" s="92"/>
      <c r="J135" s="85"/>
      <c r="K135" s="16"/>
      <c r="L135" s="16"/>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c r="AJ135" s="16"/>
      <c r="AK135" s="16"/>
      <c r="AL135" s="16"/>
      <c r="AM135" s="16"/>
      <c r="AN135" s="16"/>
      <c r="AO135" s="16"/>
      <c r="AP135" s="16"/>
      <c r="AQ135" s="16"/>
      <c r="AR135" s="16"/>
      <c r="AS135" s="16"/>
      <c r="AT135" s="16"/>
      <c r="AU135" s="16"/>
      <c r="AV135" s="16"/>
      <c r="AW135" s="16"/>
      <c r="AX135" s="16"/>
      <c r="AY135" s="16"/>
      <c r="AZ135" s="16"/>
      <c r="BA135" s="16"/>
      <c r="BB135" s="16"/>
      <c r="BC135" s="16"/>
      <c r="BD135" s="16"/>
      <c r="BE135" s="16"/>
      <c r="BF135" s="16"/>
      <c r="BG135" s="16"/>
      <c r="BH135" s="16"/>
      <c r="BI135" s="16"/>
      <c r="BJ135" s="16"/>
      <c r="BK135" s="16"/>
      <c r="BL135" s="16"/>
      <c r="BM135" s="16"/>
      <c r="BN135" s="16"/>
      <c r="BO135" s="16"/>
      <c r="BP135" s="16"/>
      <c r="BQ135" s="16"/>
      <c r="BR135" s="16"/>
      <c r="BS135" s="16"/>
      <c r="BT135" s="16"/>
      <c r="BU135" s="16"/>
      <c r="BV135" s="16"/>
      <c r="BW135" s="16"/>
      <c r="BX135" s="16"/>
      <c r="BY135" s="16"/>
      <c r="BZ135" s="16"/>
      <c r="CA135" s="16"/>
      <c r="CB135" s="16"/>
      <c r="CC135" s="16"/>
      <c r="CD135" s="16"/>
      <c r="CE135" s="16"/>
      <c r="CF135" s="16"/>
      <c r="CG135" s="16"/>
      <c r="CH135" s="16"/>
      <c r="CI135" s="16"/>
      <c r="CJ135" s="16"/>
      <c r="CK135" s="16"/>
      <c r="CL135" s="16"/>
      <c r="CM135" s="16"/>
      <c r="CN135" s="16"/>
      <c r="CO135" s="16"/>
      <c r="CP135" s="16"/>
      <c r="CQ135" s="16"/>
      <c r="CR135" s="16"/>
      <c r="CS135" s="16"/>
      <c r="CT135" s="16"/>
      <c r="CU135" s="16"/>
      <c r="CV135" s="16"/>
      <c r="CW135" s="16"/>
      <c r="CX135" s="16"/>
      <c r="CY135" s="16"/>
      <c r="CZ135" s="16"/>
      <c r="DA135" s="16"/>
      <c r="DB135" s="16"/>
      <c r="DC135" s="16"/>
      <c r="DD135" s="16"/>
      <c r="DE135" s="16"/>
      <c r="DF135" s="16"/>
      <c r="DG135" s="16"/>
      <c r="DH135" s="16"/>
      <c r="DI135" s="16"/>
      <c r="DJ135" s="16"/>
      <c r="DK135" s="16"/>
      <c r="DL135" s="16"/>
      <c r="DM135" s="16"/>
      <c r="DN135" s="16"/>
      <c r="DO135" s="16"/>
      <c r="DP135" s="16"/>
      <c r="DQ135" s="16"/>
      <c r="DR135" s="16"/>
      <c r="DS135" s="16"/>
      <c r="DT135" s="16"/>
      <c r="DU135" s="16"/>
      <c r="DV135" s="16"/>
      <c r="DW135" s="16"/>
      <c r="DX135" s="16"/>
      <c r="DY135" s="16"/>
      <c r="DZ135" s="16"/>
      <c r="EA135" s="16"/>
      <c r="EB135" s="16"/>
      <c r="EC135" s="16"/>
      <c r="ED135" s="16"/>
      <c r="EE135" s="16"/>
      <c r="EF135" s="16"/>
      <c r="EG135" s="16"/>
      <c r="EH135" s="16"/>
      <c r="EI135" s="16"/>
      <c r="EJ135" s="16"/>
      <c r="EK135" s="16"/>
      <c r="EL135" s="16"/>
      <c r="EM135" s="16"/>
      <c r="EN135" s="16"/>
      <c r="EO135" s="16"/>
      <c r="EP135" s="16"/>
      <c r="EQ135" s="16"/>
      <c r="ER135" s="16"/>
      <c r="ES135" s="16"/>
      <c r="ET135" s="16"/>
      <c r="EU135" s="16"/>
      <c r="EV135" s="16"/>
      <c r="EW135" s="16"/>
      <c r="EX135" s="16"/>
      <c r="EY135" s="16"/>
      <c r="EZ135" s="16"/>
      <c r="FA135" s="16"/>
      <c r="FB135" s="16"/>
      <c r="FC135" s="16"/>
      <c r="FD135" s="16"/>
      <c r="FE135" s="16"/>
      <c r="FF135" s="16"/>
      <c r="FG135" s="16"/>
      <c r="FH135" s="16"/>
      <c r="FI135" s="16"/>
      <c r="FJ135" s="16"/>
      <c r="FK135" s="16"/>
      <c r="FL135" s="16"/>
      <c r="FM135" s="16"/>
      <c r="FN135" s="16"/>
      <c r="FO135" s="16"/>
      <c r="FP135" s="16"/>
      <c r="FQ135" s="16"/>
      <c r="FR135" s="16"/>
      <c r="FS135" s="16"/>
      <c r="FT135" s="16"/>
      <c r="FU135" s="16"/>
      <c r="FV135" s="16"/>
      <c r="FW135" s="16"/>
      <c r="FX135" s="16"/>
      <c r="FY135" s="16"/>
      <c r="FZ135" s="16"/>
      <c r="GA135" s="16"/>
      <c r="GB135" s="16"/>
      <c r="GC135" s="16"/>
      <c r="GD135" s="16"/>
      <c r="GE135" s="16"/>
      <c r="GF135" s="16"/>
      <c r="GG135" s="16"/>
      <c r="GH135" s="16"/>
      <c r="GI135" s="16"/>
      <c r="GJ135" s="16"/>
      <c r="GK135" s="16"/>
      <c r="GL135" s="16"/>
      <c r="GM135" s="16"/>
      <c r="GN135" s="16"/>
      <c r="GO135" s="16"/>
      <c r="GP135" s="16"/>
      <c r="GQ135" s="16"/>
      <c r="GR135" s="16"/>
      <c r="GS135" s="16"/>
      <c r="GT135" s="16"/>
      <c r="GU135" s="16"/>
      <c r="GV135" s="16"/>
      <c r="GW135" s="16"/>
      <c r="GX135" s="16"/>
      <c r="GY135" s="16"/>
      <c r="GZ135" s="16"/>
      <c r="HA135" s="16"/>
      <c r="HB135" s="16"/>
      <c r="HC135" s="16"/>
      <c r="HD135" s="16"/>
      <c r="HE135" s="16"/>
      <c r="HF135" s="16"/>
      <c r="HG135" s="16"/>
      <c r="HH135" s="16"/>
      <c r="HI135" s="16"/>
      <c r="HJ135" s="16"/>
      <c r="HK135" s="16"/>
      <c r="HL135" s="16"/>
      <c r="HM135" s="16"/>
      <c r="HN135" s="16"/>
      <c r="HO135" s="16"/>
      <c r="HP135" s="16"/>
      <c r="HQ135" s="16"/>
      <c r="HR135" s="16"/>
      <c r="HS135" s="16"/>
      <c r="HT135" s="16"/>
      <c r="HU135" s="16"/>
      <c r="HV135" s="16"/>
      <c r="HW135" s="16"/>
      <c r="HX135" s="16"/>
      <c r="HY135" s="16"/>
      <c r="HZ135" s="16"/>
      <c r="IA135" s="16"/>
      <c r="IB135" s="16"/>
      <c r="IC135" s="16"/>
      <c r="ID135" s="16"/>
      <c r="IE135" s="16"/>
      <c r="IF135" s="16"/>
      <c r="IG135" s="16"/>
      <c r="IH135" s="16"/>
      <c r="II135" s="16"/>
      <c r="IJ135" s="16"/>
      <c r="IK135" s="16"/>
      <c r="IL135" s="16"/>
      <c r="IM135" s="16"/>
      <c r="IN135" s="16"/>
      <c r="IO135" s="16"/>
      <c r="IP135" s="16"/>
      <c r="IQ135" s="16"/>
      <c r="IR135" s="16"/>
      <c r="IS135" s="16"/>
      <c r="IT135" s="16"/>
    </row>
    <row r="136" spans="1:254" ht="22.5" customHeight="1" thickBot="1">
      <c r="A136" s="93"/>
      <c r="B136" s="410" t="s">
        <v>564</v>
      </c>
      <c r="C136" s="95">
        <f>SUM(C130:C135)</f>
        <v>-2375000.4799998999</v>
      </c>
      <c r="D136" s="95">
        <f>SUM(D130:D135)</f>
        <v>11550000.447299898</v>
      </c>
      <c r="E136" s="95">
        <f>SUM(E130:E135)</f>
        <v>18820149.422997057</v>
      </c>
      <c r="F136" s="95">
        <f>SUM(F130:F135)</f>
        <v>24802189.186630011</v>
      </c>
      <c r="G136" s="95">
        <f>SUM(G130:G135)</f>
        <v>27668063.228656709</v>
      </c>
      <c r="H136" s="96"/>
      <c r="I136" s="97"/>
      <c r="J136" s="98"/>
      <c r="K136" s="16"/>
      <c r="L136" s="16"/>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c r="AJ136" s="16"/>
      <c r="AK136" s="16"/>
      <c r="AL136" s="16"/>
      <c r="AM136" s="16"/>
      <c r="AN136" s="16"/>
      <c r="AO136" s="16"/>
      <c r="AP136" s="16"/>
      <c r="AQ136" s="16"/>
      <c r="AR136" s="16"/>
      <c r="AS136" s="16"/>
      <c r="AT136" s="16"/>
      <c r="AU136" s="16"/>
      <c r="AV136" s="16"/>
      <c r="AW136" s="16"/>
      <c r="AX136" s="16"/>
      <c r="AY136" s="16"/>
      <c r="AZ136" s="16"/>
      <c r="BA136" s="16"/>
      <c r="BB136" s="16"/>
      <c r="BC136" s="16"/>
      <c r="BD136" s="16"/>
      <c r="BE136" s="16"/>
      <c r="BF136" s="16"/>
      <c r="BG136" s="16"/>
      <c r="BH136" s="16"/>
      <c r="BI136" s="16"/>
      <c r="BJ136" s="16"/>
      <c r="BK136" s="16"/>
      <c r="BL136" s="16"/>
      <c r="BM136" s="16"/>
      <c r="BN136" s="16"/>
      <c r="BO136" s="16"/>
      <c r="BP136" s="16"/>
      <c r="BQ136" s="16"/>
      <c r="BR136" s="16"/>
      <c r="BS136" s="16"/>
      <c r="BT136" s="16"/>
      <c r="BU136" s="16"/>
      <c r="BV136" s="16"/>
      <c r="BW136" s="16"/>
      <c r="BX136" s="16"/>
      <c r="BY136" s="16"/>
      <c r="BZ136" s="16"/>
      <c r="CA136" s="16"/>
      <c r="CB136" s="16"/>
      <c r="CC136" s="16"/>
      <c r="CD136" s="16"/>
      <c r="CE136" s="16"/>
      <c r="CF136" s="16"/>
      <c r="CG136" s="16"/>
      <c r="CH136" s="16"/>
      <c r="CI136" s="16"/>
      <c r="CJ136" s="16"/>
      <c r="CK136" s="16"/>
      <c r="CL136" s="16"/>
      <c r="CM136" s="16"/>
      <c r="CN136" s="16"/>
      <c r="CO136" s="16"/>
      <c r="CP136" s="16"/>
      <c r="CQ136" s="16"/>
      <c r="CR136" s="16"/>
      <c r="CS136" s="16"/>
      <c r="CT136" s="16"/>
      <c r="CU136" s="16"/>
      <c r="CV136" s="16"/>
      <c r="CW136" s="16"/>
      <c r="CX136" s="16"/>
      <c r="CY136" s="16"/>
      <c r="CZ136" s="16"/>
      <c r="DA136" s="16"/>
      <c r="DB136" s="16"/>
      <c r="DC136" s="16"/>
      <c r="DD136" s="16"/>
      <c r="DE136" s="16"/>
      <c r="DF136" s="16"/>
      <c r="DG136" s="16"/>
      <c r="DH136" s="16"/>
      <c r="DI136" s="16"/>
      <c r="DJ136" s="16"/>
      <c r="DK136" s="16"/>
      <c r="DL136" s="16"/>
      <c r="DM136" s="16"/>
      <c r="DN136" s="16"/>
      <c r="DO136" s="16"/>
      <c r="DP136" s="16"/>
      <c r="DQ136" s="16"/>
      <c r="DR136" s="16"/>
      <c r="DS136" s="16"/>
      <c r="DT136" s="16"/>
      <c r="DU136" s="16"/>
      <c r="DV136" s="16"/>
      <c r="DW136" s="16"/>
      <c r="DX136" s="16"/>
      <c r="DY136" s="16"/>
      <c r="DZ136" s="16"/>
      <c r="EA136" s="16"/>
      <c r="EB136" s="16"/>
      <c r="EC136" s="16"/>
      <c r="ED136" s="16"/>
      <c r="EE136" s="16"/>
      <c r="EF136" s="16"/>
      <c r="EG136" s="16"/>
      <c r="EH136" s="16"/>
      <c r="EI136" s="16"/>
      <c r="EJ136" s="16"/>
      <c r="EK136" s="16"/>
      <c r="EL136" s="16"/>
      <c r="EM136" s="16"/>
      <c r="EN136" s="16"/>
      <c r="EO136" s="16"/>
      <c r="EP136" s="16"/>
      <c r="EQ136" s="16"/>
      <c r="ER136" s="16"/>
      <c r="ES136" s="16"/>
      <c r="ET136" s="16"/>
      <c r="EU136" s="16"/>
      <c r="EV136" s="16"/>
      <c r="EW136" s="16"/>
      <c r="EX136" s="16"/>
      <c r="EY136" s="16"/>
      <c r="EZ136" s="16"/>
      <c r="FA136" s="16"/>
      <c r="FB136" s="16"/>
      <c r="FC136" s="16"/>
      <c r="FD136" s="16"/>
      <c r="FE136" s="16"/>
      <c r="FF136" s="16"/>
      <c r="FG136" s="16"/>
      <c r="FH136" s="16"/>
      <c r="FI136" s="16"/>
      <c r="FJ136" s="16"/>
      <c r="FK136" s="16"/>
      <c r="FL136" s="16"/>
      <c r="FM136" s="16"/>
      <c r="FN136" s="16"/>
      <c r="FO136" s="16"/>
      <c r="FP136" s="16"/>
      <c r="FQ136" s="16"/>
      <c r="FR136" s="16"/>
      <c r="FS136" s="16"/>
      <c r="FT136" s="16"/>
      <c r="FU136" s="16"/>
      <c r="FV136" s="16"/>
      <c r="FW136" s="16"/>
      <c r="FX136" s="16"/>
      <c r="FY136" s="16"/>
      <c r="FZ136" s="16"/>
      <c r="GA136" s="16"/>
      <c r="GB136" s="16"/>
      <c r="GC136" s="16"/>
      <c r="GD136" s="16"/>
      <c r="GE136" s="16"/>
      <c r="GF136" s="16"/>
      <c r="GG136" s="16"/>
      <c r="GH136" s="16"/>
      <c r="GI136" s="16"/>
      <c r="GJ136" s="16"/>
      <c r="GK136" s="16"/>
      <c r="GL136" s="16"/>
      <c r="GM136" s="16"/>
      <c r="GN136" s="16"/>
      <c r="GO136" s="16"/>
      <c r="GP136" s="16"/>
      <c r="GQ136" s="16"/>
      <c r="GR136" s="16"/>
      <c r="GS136" s="16"/>
      <c r="GT136" s="16"/>
      <c r="GU136" s="16"/>
      <c r="GV136" s="16"/>
      <c r="GW136" s="16"/>
      <c r="GX136" s="16"/>
      <c r="GY136" s="16"/>
      <c r="GZ136" s="16"/>
      <c r="HA136" s="16"/>
      <c r="HB136" s="16"/>
      <c r="HC136" s="16"/>
      <c r="HD136" s="16"/>
      <c r="HE136" s="16"/>
      <c r="HF136" s="16"/>
      <c r="HG136" s="16"/>
      <c r="HH136" s="16"/>
      <c r="HI136" s="16"/>
      <c r="HJ136" s="16"/>
      <c r="HK136" s="16"/>
      <c r="HL136" s="16"/>
      <c r="HM136" s="16"/>
      <c r="HN136" s="16"/>
      <c r="HO136" s="16"/>
      <c r="HP136" s="16"/>
      <c r="HQ136" s="16"/>
      <c r="HR136" s="16"/>
      <c r="HS136" s="16"/>
      <c r="HT136" s="16"/>
      <c r="HU136" s="16"/>
      <c r="HV136" s="16"/>
      <c r="HW136" s="16"/>
      <c r="HX136" s="16"/>
      <c r="HY136" s="16"/>
      <c r="HZ136" s="16"/>
      <c r="IA136" s="16"/>
      <c r="IB136" s="16"/>
      <c r="IC136" s="16"/>
      <c r="ID136" s="16"/>
      <c r="IE136" s="16"/>
      <c r="IF136" s="16"/>
      <c r="IG136" s="16"/>
      <c r="IH136" s="16"/>
      <c r="II136" s="16"/>
      <c r="IJ136" s="16"/>
      <c r="IK136" s="16"/>
      <c r="IL136" s="16"/>
      <c r="IM136" s="16"/>
      <c r="IN136" s="16"/>
      <c r="IO136" s="16"/>
      <c r="IP136" s="16"/>
      <c r="IQ136" s="16"/>
      <c r="IR136" s="16"/>
      <c r="IS136" s="16"/>
      <c r="IT136" s="16"/>
    </row>
    <row r="137" spans="1:254">
      <c r="A137" s="88"/>
      <c r="B137" s="125"/>
      <c r="C137" s="90"/>
      <c r="D137" s="47"/>
      <c r="E137" s="47"/>
      <c r="F137" s="47"/>
      <c r="G137" s="47"/>
      <c r="H137" s="91"/>
      <c r="I137" s="92"/>
      <c r="J137" s="85"/>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c r="AJ137" s="16"/>
      <c r="AK137" s="16"/>
      <c r="AL137" s="16"/>
      <c r="AM137" s="16"/>
      <c r="AN137" s="16"/>
      <c r="AO137" s="16"/>
      <c r="AP137" s="16"/>
      <c r="AQ137" s="16"/>
      <c r="AR137" s="16"/>
      <c r="AS137" s="16"/>
      <c r="AT137" s="16"/>
      <c r="AU137" s="16"/>
      <c r="AV137" s="16"/>
      <c r="AW137" s="16"/>
      <c r="AX137" s="16"/>
      <c r="AY137" s="16"/>
      <c r="AZ137" s="16"/>
      <c r="BA137" s="16"/>
      <c r="BB137" s="16"/>
      <c r="BC137" s="16"/>
      <c r="BD137" s="16"/>
      <c r="BE137" s="16"/>
      <c r="BF137" s="16"/>
      <c r="BG137" s="16"/>
      <c r="BH137" s="16"/>
      <c r="BI137" s="16"/>
      <c r="BJ137" s="16"/>
      <c r="BK137" s="16"/>
      <c r="BL137" s="16"/>
      <c r="BM137" s="16"/>
      <c r="BN137" s="16"/>
      <c r="BO137" s="16"/>
      <c r="BP137" s="16"/>
      <c r="BQ137" s="16"/>
      <c r="BR137" s="16"/>
      <c r="BS137" s="16"/>
      <c r="BT137" s="16"/>
      <c r="BU137" s="16"/>
      <c r="BV137" s="16"/>
      <c r="BW137" s="16"/>
      <c r="BX137" s="16"/>
      <c r="BY137" s="16"/>
      <c r="BZ137" s="16"/>
      <c r="CA137" s="16"/>
      <c r="CB137" s="16"/>
      <c r="CC137" s="16"/>
      <c r="CD137" s="16"/>
      <c r="CE137" s="16"/>
      <c r="CF137" s="16"/>
      <c r="CG137" s="16"/>
      <c r="CH137" s="16"/>
      <c r="CI137" s="16"/>
      <c r="CJ137" s="16"/>
      <c r="CK137" s="16"/>
      <c r="CL137" s="16"/>
      <c r="CM137" s="16"/>
      <c r="CN137" s="16"/>
      <c r="CO137" s="16"/>
      <c r="CP137" s="16"/>
      <c r="CQ137" s="16"/>
      <c r="CR137" s="16"/>
      <c r="CS137" s="16"/>
      <c r="CT137" s="16"/>
      <c r="CU137" s="16"/>
      <c r="CV137" s="16"/>
      <c r="CW137" s="16"/>
      <c r="CX137" s="16"/>
      <c r="CY137" s="16"/>
      <c r="CZ137" s="16"/>
      <c r="DA137" s="16"/>
      <c r="DB137" s="16"/>
      <c r="DC137" s="16"/>
      <c r="DD137" s="16"/>
      <c r="DE137" s="16"/>
      <c r="DF137" s="16"/>
      <c r="DG137" s="16"/>
      <c r="DH137" s="16"/>
      <c r="DI137" s="16"/>
      <c r="DJ137" s="16"/>
      <c r="DK137" s="16"/>
      <c r="DL137" s="16"/>
      <c r="DM137" s="16"/>
      <c r="DN137" s="16"/>
      <c r="DO137" s="16"/>
      <c r="DP137" s="16"/>
      <c r="DQ137" s="16"/>
      <c r="DR137" s="16"/>
      <c r="DS137" s="16"/>
      <c r="DT137" s="16"/>
      <c r="DU137" s="16"/>
      <c r="DV137" s="16"/>
      <c r="DW137" s="16"/>
      <c r="DX137" s="16"/>
      <c r="DY137" s="16"/>
      <c r="DZ137" s="16"/>
      <c r="EA137" s="16"/>
      <c r="EB137" s="16"/>
      <c r="EC137" s="16"/>
      <c r="ED137" s="16"/>
      <c r="EE137" s="16"/>
      <c r="EF137" s="16"/>
      <c r="EG137" s="16"/>
      <c r="EH137" s="16"/>
      <c r="EI137" s="16"/>
      <c r="EJ137" s="16"/>
      <c r="EK137" s="16"/>
      <c r="EL137" s="16"/>
      <c r="EM137" s="16"/>
      <c r="EN137" s="16"/>
      <c r="EO137" s="16"/>
      <c r="EP137" s="16"/>
      <c r="EQ137" s="16"/>
      <c r="ER137" s="16"/>
      <c r="ES137" s="16"/>
      <c r="ET137" s="16"/>
      <c r="EU137" s="16"/>
      <c r="EV137" s="16"/>
      <c r="EW137" s="16"/>
      <c r="EX137" s="16"/>
      <c r="EY137" s="16"/>
      <c r="EZ137" s="16"/>
      <c r="FA137" s="16"/>
      <c r="FB137" s="16"/>
      <c r="FC137" s="16"/>
      <c r="FD137" s="16"/>
      <c r="FE137" s="16"/>
      <c r="FF137" s="16"/>
      <c r="FG137" s="16"/>
      <c r="FH137" s="16"/>
      <c r="FI137" s="16"/>
      <c r="FJ137" s="16"/>
      <c r="FK137" s="16"/>
      <c r="FL137" s="16"/>
      <c r="FM137" s="16"/>
      <c r="FN137" s="16"/>
      <c r="FO137" s="16"/>
      <c r="FP137" s="16"/>
      <c r="FQ137" s="16"/>
      <c r="FR137" s="16"/>
      <c r="FS137" s="16"/>
      <c r="FT137" s="16"/>
      <c r="FU137" s="16"/>
      <c r="FV137" s="16"/>
      <c r="FW137" s="16"/>
      <c r="FX137" s="16"/>
      <c r="FY137" s="16"/>
      <c r="FZ137" s="16"/>
      <c r="GA137" s="16"/>
      <c r="GB137" s="16"/>
      <c r="GC137" s="16"/>
      <c r="GD137" s="16"/>
      <c r="GE137" s="16"/>
      <c r="GF137" s="16"/>
      <c r="GG137" s="16"/>
      <c r="GH137" s="16"/>
      <c r="GI137" s="16"/>
      <c r="GJ137" s="16"/>
      <c r="GK137" s="16"/>
      <c r="GL137" s="16"/>
      <c r="GM137" s="16"/>
      <c r="GN137" s="16"/>
      <c r="GO137" s="16"/>
      <c r="GP137" s="16"/>
      <c r="GQ137" s="16"/>
      <c r="GR137" s="16"/>
      <c r="GS137" s="16"/>
      <c r="GT137" s="16"/>
      <c r="GU137" s="16"/>
      <c r="GV137" s="16"/>
      <c r="GW137" s="16"/>
      <c r="GX137" s="16"/>
      <c r="GY137" s="16"/>
      <c r="GZ137" s="16"/>
      <c r="HA137" s="16"/>
      <c r="HB137" s="16"/>
      <c r="HC137" s="16"/>
      <c r="HD137" s="16"/>
      <c r="HE137" s="16"/>
      <c r="HF137" s="16"/>
      <c r="HG137" s="16"/>
      <c r="HH137" s="16"/>
      <c r="HI137" s="16"/>
      <c r="HJ137" s="16"/>
      <c r="HK137" s="16"/>
      <c r="HL137" s="16"/>
      <c r="HM137" s="16"/>
      <c r="HN137" s="16"/>
      <c r="HO137" s="16"/>
      <c r="HP137" s="16"/>
      <c r="HQ137" s="16"/>
      <c r="HR137" s="16"/>
      <c r="HS137" s="16"/>
      <c r="HT137" s="16"/>
      <c r="HU137" s="16"/>
      <c r="HV137" s="16"/>
      <c r="HW137" s="16"/>
      <c r="HX137" s="16"/>
      <c r="HY137" s="16"/>
      <c r="HZ137" s="16"/>
      <c r="IA137" s="16"/>
      <c r="IB137" s="16"/>
      <c r="IC137" s="16"/>
      <c r="ID137" s="16"/>
      <c r="IE137" s="16"/>
      <c r="IF137" s="16"/>
      <c r="IG137" s="16"/>
      <c r="IH137" s="16"/>
      <c r="II137" s="16"/>
      <c r="IJ137" s="16"/>
      <c r="IK137" s="16"/>
      <c r="IL137" s="16"/>
      <c r="IM137" s="16"/>
      <c r="IN137" s="16"/>
      <c r="IO137" s="16"/>
      <c r="IP137" s="16"/>
      <c r="IQ137" s="16"/>
      <c r="IR137" s="16"/>
      <c r="IS137" s="16"/>
      <c r="IT137" s="16"/>
    </row>
    <row r="138" spans="1:254" ht="36">
      <c r="A138" s="99"/>
      <c r="B138" s="411" t="s">
        <v>565</v>
      </c>
      <c r="C138" s="101"/>
      <c r="D138" s="54"/>
      <c r="E138" s="54"/>
      <c r="F138" s="54"/>
      <c r="G138" s="54"/>
      <c r="H138" s="102"/>
      <c r="I138" s="103"/>
      <c r="J138" s="87"/>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c r="AJ138" s="16"/>
      <c r="AK138" s="16"/>
      <c r="AL138" s="16"/>
      <c r="AM138" s="16"/>
      <c r="AN138" s="16"/>
      <c r="AO138" s="16"/>
      <c r="AP138" s="16"/>
      <c r="AQ138" s="16"/>
      <c r="AR138" s="16"/>
      <c r="AS138" s="16"/>
      <c r="AT138" s="16"/>
      <c r="AU138" s="16"/>
      <c r="AV138" s="16"/>
      <c r="AW138" s="16"/>
      <c r="AX138" s="16"/>
      <c r="AY138" s="16"/>
      <c r="AZ138" s="16"/>
      <c r="BA138" s="16"/>
      <c r="BB138" s="16"/>
      <c r="BC138" s="16"/>
      <c r="BD138" s="16"/>
      <c r="BE138" s="16"/>
      <c r="BF138" s="16"/>
      <c r="BG138" s="16"/>
      <c r="BH138" s="16"/>
      <c r="BI138" s="16"/>
      <c r="BJ138" s="16"/>
      <c r="BK138" s="16"/>
      <c r="BL138" s="16"/>
      <c r="BM138" s="16"/>
      <c r="BN138" s="16"/>
      <c r="BO138" s="16"/>
      <c r="BP138" s="16"/>
      <c r="BQ138" s="16"/>
      <c r="BR138" s="16"/>
      <c r="BS138" s="16"/>
      <c r="BT138" s="16"/>
      <c r="BU138" s="16"/>
      <c r="BV138" s="16"/>
      <c r="BW138" s="16"/>
      <c r="BX138" s="16"/>
      <c r="BY138" s="16"/>
      <c r="BZ138" s="16"/>
      <c r="CA138" s="16"/>
      <c r="CB138" s="16"/>
      <c r="CC138" s="16"/>
      <c r="CD138" s="16"/>
      <c r="CE138" s="16"/>
      <c r="CF138" s="16"/>
      <c r="CG138" s="16"/>
      <c r="CH138" s="16"/>
      <c r="CI138" s="16"/>
      <c r="CJ138" s="16"/>
      <c r="CK138" s="16"/>
      <c r="CL138" s="16"/>
      <c r="CM138" s="16"/>
      <c r="CN138" s="16"/>
      <c r="CO138" s="16"/>
      <c r="CP138" s="16"/>
      <c r="CQ138" s="16"/>
      <c r="CR138" s="16"/>
      <c r="CS138" s="16"/>
      <c r="CT138" s="16"/>
      <c r="CU138" s="16"/>
      <c r="CV138" s="16"/>
      <c r="CW138" s="16"/>
      <c r="CX138" s="16"/>
      <c r="CY138" s="16"/>
      <c r="CZ138" s="16"/>
      <c r="DA138" s="16"/>
      <c r="DB138" s="16"/>
      <c r="DC138" s="16"/>
      <c r="DD138" s="16"/>
      <c r="DE138" s="16"/>
      <c r="DF138" s="16"/>
      <c r="DG138" s="16"/>
      <c r="DH138" s="16"/>
      <c r="DI138" s="16"/>
      <c r="DJ138" s="16"/>
      <c r="DK138" s="16"/>
      <c r="DL138" s="16"/>
      <c r="DM138" s="16"/>
      <c r="DN138" s="16"/>
      <c r="DO138" s="16"/>
      <c r="DP138" s="16"/>
      <c r="DQ138" s="16"/>
      <c r="DR138" s="16"/>
      <c r="DS138" s="16"/>
      <c r="DT138" s="16"/>
      <c r="DU138" s="16"/>
      <c r="DV138" s="16"/>
      <c r="DW138" s="16"/>
      <c r="DX138" s="16"/>
      <c r="DY138" s="16"/>
      <c r="DZ138" s="16"/>
      <c r="EA138" s="16"/>
      <c r="EB138" s="16"/>
      <c r="EC138" s="16"/>
      <c r="ED138" s="16"/>
      <c r="EE138" s="16"/>
      <c r="EF138" s="16"/>
      <c r="EG138" s="16"/>
      <c r="EH138" s="16"/>
      <c r="EI138" s="16"/>
      <c r="EJ138" s="16"/>
      <c r="EK138" s="16"/>
      <c r="EL138" s="16"/>
      <c r="EM138" s="16"/>
      <c r="EN138" s="16"/>
      <c r="EO138" s="16"/>
      <c r="EP138" s="16"/>
      <c r="EQ138" s="16"/>
      <c r="ER138" s="16"/>
      <c r="ES138" s="16"/>
      <c r="ET138" s="16"/>
      <c r="EU138" s="16"/>
      <c r="EV138" s="16"/>
      <c r="EW138" s="16"/>
      <c r="EX138" s="16"/>
      <c r="EY138" s="16"/>
      <c r="EZ138" s="16"/>
      <c r="FA138" s="16"/>
      <c r="FB138" s="16"/>
      <c r="FC138" s="16"/>
      <c r="FD138" s="16"/>
      <c r="FE138" s="16"/>
      <c r="FF138" s="16"/>
      <c r="FG138" s="16"/>
      <c r="FH138" s="16"/>
      <c r="FI138" s="16"/>
      <c r="FJ138" s="16"/>
      <c r="FK138" s="16"/>
      <c r="FL138" s="16"/>
      <c r="FM138" s="16"/>
      <c r="FN138" s="16"/>
      <c r="FO138" s="16"/>
      <c r="FP138" s="16"/>
      <c r="FQ138" s="16"/>
      <c r="FR138" s="16"/>
      <c r="FS138" s="16"/>
      <c r="FT138" s="16"/>
      <c r="FU138" s="16"/>
      <c r="FV138" s="16"/>
      <c r="FW138" s="16"/>
      <c r="FX138" s="16"/>
      <c r="FY138" s="16"/>
      <c r="FZ138" s="16"/>
      <c r="GA138" s="16"/>
      <c r="GB138" s="16"/>
      <c r="GC138" s="16"/>
      <c r="GD138" s="16"/>
      <c r="GE138" s="16"/>
      <c r="GF138" s="16"/>
      <c r="GG138" s="16"/>
      <c r="GH138" s="16"/>
      <c r="GI138" s="16"/>
      <c r="GJ138" s="16"/>
      <c r="GK138" s="16"/>
      <c r="GL138" s="16"/>
      <c r="GM138" s="16"/>
      <c r="GN138" s="16"/>
      <c r="GO138" s="16"/>
      <c r="GP138" s="16"/>
      <c r="GQ138" s="16"/>
      <c r="GR138" s="16"/>
      <c r="GS138" s="16"/>
      <c r="GT138" s="16"/>
      <c r="GU138" s="16"/>
      <c r="GV138" s="16"/>
      <c r="GW138" s="16"/>
      <c r="GX138" s="16"/>
      <c r="GY138" s="16"/>
      <c r="GZ138" s="16"/>
      <c r="HA138" s="16"/>
      <c r="HB138" s="16"/>
      <c r="HC138" s="16"/>
      <c r="HD138" s="16"/>
      <c r="HE138" s="16"/>
      <c r="HF138" s="16"/>
      <c r="HG138" s="16"/>
      <c r="HH138" s="16"/>
      <c r="HI138" s="16"/>
      <c r="HJ138" s="16"/>
      <c r="HK138" s="16"/>
      <c r="HL138" s="16"/>
      <c r="HM138" s="16"/>
      <c r="HN138" s="16"/>
      <c r="HO138" s="16"/>
      <c r="HP138" s="16"/>
      <c r="HQ138" s="16"/>
      <c r="HR138" s="16"/>
      <c r="HS138" s="16"/>
      <c r="HT138" s="16"/>
      <c r="HU138" s="16"/>
      <c r="HV138" s="16"/>
      <c r="HW138" s="16"/>
      <c r="HX138" s="16"/>
      <c r="HY138" s="16"/>
      <c r="HZ138" s="16"/>
      <c r="IA138" s="16"/>
      <c r="IB138" s="16"/>
      <c r="IC138" s="16"/>
      <c r="ID138" s="16"/>
      <c r="IE138" s="16"/>
      <c r="IF138" s="16"/>
      <c r="IG138" s="16"/>
      <c r="IH138" s="16"/>
      <c r="II138" s="16"/>
      <c r="IJ138" s="16"/>
      <c r="IK138" s="16"/>
      <c r="IL138" s="16"/>
      <c r="IM138" s="16"/>
      <c r="IN138" s="16"/>
      <c r="IO138" s="16"/>
      <c r="IP138" s="16"/>
      <c r="IQ138" s="16"/>
      <c r="IR138" s="16"/>
      <c r="IS138" s="16"/>
      <c r="IT138" s="16"/>
    </row>
    <row r="139" spans="1:254" ht="24">
      <c r="A139" s="412" t="s">
        <v>300</v>
      </c>
      <c r="B139" s="125" t="s">
        <v>567</v>
      </c>
      <c r="C139" s="90">
        <v>0</v>
      </c>
      <c r="D139" s="47">
        <v>-600000</v>
      </c>
      <c r="E139" s="47">
        <v>-600000</v>
      </c>
      <c r="F139" s="47">
        <v>-600000</v>
      </c>
      <c r="G139" s="47">
        <v>-600000</v>
      </c>
      <c r="H139" s="91"/>
      <c r="I139" s="92"/>
      <c r="J139" s="85"/>
      <c r="K139" s="16"/>
      <c r="L139" s="16"/>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c r="AJ139" s="16"/>
      <c r="AK139" s="16"/>
      <c r="AL139" s="16"/>
      <c r="AM139" s="16"/>
      <c r="AN139" s="16"/>
      <c r="AO139" s="16"/>
      <c r="AP139" s="16"/>
      <c r="AQ139" s="16"/>
      <c r="AR139" s="16"/>
      <c r="AS139" s="16"/>
      <c r="AT139" s="16"/>
      <c r="AU139" s="16"/>
      <c r="AV139" s="16"/>
      <c r="AW139" s="16"/>
      <c r="AX139" s="16"/>
      <c r="AY139" s="16"/>
      <c r="AZ139" s="16"/>
      <c r="BA139" s="16"/>
      <c r="BB139" s="16"/>
      <c r="BC139" s="16"/>
      <c r="BD139" s="16"/>
      <c r="BE139" s="16"/>
      <c r="BF139" s="16"/>
      <c r="BG139" s="16"/>
      <c r="BH139" s="16"/>
      <c r="BI139" s="16"/>
      <c r="BJ139" s="16"/>
      <c r="BK139" s="16"/>
      <c r="BL139" s="16"/>
      <c r="BM139" s="16"/>
      <c r="BN139" s="16"/>
      <c r="BO139" s="16"/>
      <c r="BP139" s="16"/>
      <c r="BQ139" s="16"/>
      <c r="BR139" s="16"/>
      <c r="BS139" s="16"/>
      <c r="BT139" s="16"/>
      <c r="BU139" s="16"/>
      <c r="BV139" s="16"/>
      <c r="BW139" s="16"/>
      <c r="BX139" s="16"/>
      <c r="BY139" s="16"/>
      <c r="BZ139" s="16"/>
      <c r="CA139" s="16"/>
      <c r="CB139" s="16"/>
      <c r="CC139" s="16"/>
      <c r="CD139" s="16"/>
      <c r="CE139" s="16"/>
      <c r="CF139" s="16"/>
      <c r="CG139" s="16"/>
      <c r="CH139" s="16"/>
      <c r="CI139" s="16"/>
      <c r="CJ139" s="16"/>
      <c r="CK139" s="16"/>
      <c r="CL139" s="16"/>
      <c r="CM139" s="16"/>
      <c r="CN139" s="16"/>
      <c r="CO139" s="16"/>
      <c r="CP139" s="16"/>
      <c r="CQ139" s="16"/>
      <c r="CR139" s="16"/>
      <c r="CS139" s="16"/>
      <c r="CT139" s="16"/>
      <c r="CU139" s="16"/>
      <c r="CV139" s="16"/>
      <c r="CW139" s="16"/>
      <c r="CX139" s="16"/>
      <c r="CY139" s="16"/>
      <c r="CZ139" s="16"/>
      <c r="DA139" s="16"/>
      <c r="DB139" s="16"/>
      <c r="DC139" s="16"/>
      <c r="DD139" s="16"/>
      <c r="DE139" s="16"/>
      <c r="DF139" s="16"/>
      <c r="DG139" s="16"/>
      <c r="DH139" s="16"/>
      <c r="DI139" s="16"/>
      <c r="DJ139" s="16"/>
      <c r="DK139" s="16"/>
      <c r="DL139" s="16"/>
      <c r="DM139" s="16"/>
      <c r="DN139" s="16"/>
      <c r="DO139" s="16"/>
      <c r="DP139" s="16"/>
      <c r="DQ139" s="16"/>
      <c r="DR139" s="16"/>
      <c r="DS139" s="16"/>
      <c r="DT139" s="16"/>
      <c r="DU139" s="16"/>
      <c r="DV139" s="16"/>
      <c r="DW139" s="16"/>
      <c r="DX139" s="16"/>
      <c r="DY139" s="16"/>
      <c r="DZ139" s="16"/>
      <c r="EA139" s="16"/>
      <c r="EB139" s="16"/>
      <c r="EC139" s="16"/>
      <c r="ED139" s="16"/>
      <c r="EE139" s="16"/>
      <c r="EF139" s="16"/>
      <c r="EG139" s="16"/>
      <c r="EH139" s="16"/>
      <c r="EI139" s="16"/>
      <c r="EJ139" s="16"/>
      <c r="EK139" s="16"/>
      <c r="EL139" s="16"/>
      <c r="EM139" s="16"/>
      <c r="EN139" s="16"/>
      <c r="EO139" s="16"/>
      <c r="EP139" s="16"/>
      <c r="EQ139" s="16"/>
      <c r="ER139" s="16"/>
      <c r="ES139" s="16"/>
      <c r="ET139" s="16"/>
      <c r="EU139" s="16"/>
      <c r="EV139" s="16"/>
      <c r="EW139" s="16"/>
      <c r="EX139" s="16"/>
      <c r="EY139" s="16"/>
      <c r="EZ139" s="16"/>
      <c r="FA139" s="16"/>
      <c r="FB139" s="16"/>
      <c r="FC139" s="16"/>
      <c r="FD139" s="16"/>
      <c r="FE139" s="16"/>
      <c r="FF139" s="16"/>
      <c r="FG139" s="16"/>
      <c r="FH139" s="16"/>
      <c r="FI139" s="16"/>
      <c r="FJ139" s="16"/>
      <c r="FK139" s="16"/>
      <c r="FL139" s="16"/>
      <c r="FM139" s="16"/>
      <c r="FN139" s="16"/>
      <c r="FO139" s="16"/>
      <c r="FP139" s="16"/>
      <c r="FQ139" s="16"/>
      <c r="FR139" s="16"/>
      <c r="FS139" s="16"/>
      <c r="FT139" s="16"/>
      <c r="FU139" s="16"/>
      <c r="FV139" s="16"/>
      <c r="FW139" s="16"/>
      <c r="FX139" s="16"/>
      <c r="FY139" s="16"/>
      <c r="FZ139" s="16"/>
      <c r="GA139" s="16"/>
      <c r="GB139" s="16"/>
      <c r="GC139" s="16"/>
      <c r="GD139" s="16"/>
      <c r="GE139" s="16"/>
      <c r="GF139" s="16"/>
      <c r="GG139" s="16"/>
      <c r="GH139" s="16"/>
      <c r="GI139" s="16"/>
      <c r="GJ139" s="16"/>
      <c r="GK139" s="16"/>
      <c r="GL139" s="16"/>
      <c r="GM139" s="16"/>
      <c r="GN139" s="16"/>
      <c r="GO139" s="16"/>
      <c r="GP139" s="16"/>
      <c r="GQ139" s="16"/>
      <c r="GR139" s="16"/>
      <c r="GS139" s="16"/>
      <c r="GT139" s="16"/>
      <c r="GU139" s="16"/>
      <c r="GV139" s="16"/>
      <c r="GW139" s="16"/>
      <c r="GX139" s="16"/>
      <c r="GY139" s="16"/>
      <c r="GZ139" s="16"/>
      <c r="HA139" s="16"/>
      <c r="HB139" s="16"/>
      <c r="HC139" s="16"/>
      <c r="HD139" s="16"/>
      <c r="HE139" s="16"/>
      <c r="HF139" s="16"/>
      <c r="HG139" s="16"/>
      <c r="HH139" s="16"/>
      <c r="HI139" s="16"/>
      <c r="HJ139" s="16"/>
      <c r="HK139" s="16"/>
      <c r="HL139" s="16"/>
      <c r="HM139" s="16"/>
      <c r="HN139" s="16"/>
      <c r="HO139" s="16"/>
      <c r="HP139" s="16"/>
      <c r="HQ139" s="16"/>
      <c r="HR139" s="16"/>
      <c r="HS139" s="16"/>
      <c r="HT139" s="16"/>
      <c r="HU139" s="16"/>
      <c r="HV139" s="16"/>
      <c r="HW139" s="16"/>
      <c r="HX139" s="16"/>
      <c r="HY139" s="16"/>
      <c r="HZ139" s="16"/>
      <c r="IA139" s="16"/>
      <c r="IB139" s="16"/>
      <c r="IC139" s="16"/>
      <c r="ID139" s="16"/>
      <c r="IE139" s="16"/>
      <c r="IF139" s="16"/>
      <c r="IG139" s="16"/>
      <c r="IH139" s="16"/>
      <c r="II139" s="16"/>
      <c r="IJ139" s="16"/>
      <c r="IK139" s="16"/>
      <c r="IL139" s="16"/>
      <c r="IM139" s="16"/>
      <c r="IN139" s="16"/>
      <c r="IO139" s="16"/>
      <c r="IP139" s="16"/>
      <c r="IQ139" s="16"/>
      <c r="IR139" s="16"/>
      <c r="IS139" s="16"/>
      <c r="IT139" s="16"/>
    </row>
    <row r="140" spans="1:254" ht="36">
      <c r="A140" s="413" t="s">
        <v>302</v>
      </c>
      <c r="B140" s="136" t="s">
        <v>568</v>
      </c>
      <c r="C140" s="101">
        <v>0</v>
      </c>
      <c r="D140" s="54">
        <v>-2250000</v>
      </c>
      <c r="E140" s="54">
        <v>-2250000</v>
      </c>
      <c r="F140" s="54">
        <v>-2250000</v>
      </c>
      <c r="G140" s="54">
        <v>-2250000</v>
      </c>
      <c r="H140" s="102"/>
      <c r="I140" s="103"/>
      <c r="J140" s="87"/>
      <c r="K140" s="16"/>
      <c r="L140" s="16"/>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c r="AJ140" s="16"/>
      <c r="AK140" s="16"/>
      <c r="AL140" s="16"/>
      <c r="AM140" s="16"/>
      <c r="AN140" s="16"/>
      <c r="AO140" s="16"/>
      <c r="AP140" s="16"/>
      <c r="AQ140" s="16"/>
      <c r="AR140" s="16"/>
      <c r="AS140" s="16"/>
      <c r="AT140" s="16"/>
      <c r="AU140" s="16"/>
      <c r="AV140" s="16"/>
      <c r="AW140" s="16"/>
      <c r="AX140" s="16"/>
      <c r="AY140" s="16"/>
      <c r="AZ140" s="16"/>
      <c r="BA140" s="16"/>
      <c r="BB140" s="16"/>
      <c r="BC140" s="16"/>
      <c r="BD140" s="16"/>
      <c r="BE140" s="16"/>
      <c r="BF140" s="16"/>
      <c r="BG140" s="16"/>
      <c r="BH140" s="16"/>
      <c r="BI140" s="16"/>
      <c r="BJ140" s="16"/>
      <c r="BK140" s="16"/>
      <c r="BL140" s="16"/>
      <c r="BM140" s="16"/>
      <c r="BN140" s="16"/>
      <c r="BO140" s="16"/>
      <c r="BP140" s="16"/>
      <c r="BQ140" s="16"/>
      <c r="BR140" s="16"/>
      <c r="BS140" s="16"/>
      <c r="BT140" s="16"/>
      <c r="BU140" s="16"/>
      <c r="BV140" s="16"/>
      <c r="BW140" s="16"/>
      <c r="BX140" s="16"/>
      <c r="BY140" s="16"/>
      <c r="BZ140" s="16"/>
      <c r="CA140" s="16"/>
      <c r="CB140" s="16"/>
      <c r="CC140" s="16"/>
      <c r="CD140" s="16"/>
      <c r="CE140" s="16"/>
      <c r="CF140" s="16"/>
      <c r="CG140" s="16"/>
      <c r="CH140" s="16"/>
      <c r="CI140" s="16"/>
      <c r="CJ140" s="16"/>
      <c r="CK140" s="16"/>
      <c r="CL140" s="16"/>
      <c r="CM140" s="16"/>
      <c r="CN140" s="16"/>
      <c r="CO140" s="16"/>
      <c r="CP140" s="16"/>
      <c r="CQ140" s="16"/>
      <c r="CR140" s="16"/>
      <c r="CS140" s="16"/>
      <c r="CT140" s="16"/>
      <c r="CU140" s="16"/>
      <c r="CV140" s="16"/>
      <c r="CW140" s="16"/>
      <c r="CX140" s="16"/>
      <c r="CY140" s="16"/>
      <c r="CZ140" s="16"/>
      <c r="DA140" s="16"/>
      <c r="DB140" s="16"/>
      <c r="DC140" s="16"/>
      <c r="DD140" s="16"/>
      <c r="DE140" s="16"/>
      <c r="DF140" s="16"/>
      <c r="DG140" s="16"/>
      <c r="DH140" s="16"/>
      <c r="DI140" s="16"/>
      <c r="DJ140" s="16"/>
      <c r="DK140" s="16"/>
      <c r="DL140" s="16"/>
      <c r="DM140" s="16"/>
      <c r="DN140" s="16"/>
      <c r="DO140" s="16"/>
      <c r="DP140" s="16"/>
      <c r="DQ140" s="16"/>
      <c r="DR140" s="16"/>
      <c r="DS140" s="16"/>
      <c r="DT140" s="16"/>
      <c r="DU140" s="16"/>
      <c r="DV140" s="16"/>
      <c r="DW140" s="16"/>
      <c r="DX140" s="16"/>
      <c r="DY140" s="16"/>
      <c r="DZ140" s="16"/>
      <c r="EA140" s="16"/>
      <c r="EB140" s="16"/>
      <c r="EC140" s="16"/>
      <c r="ED140" s="16"/>
      <c r="EE140" s="16"/>
      <c r="EF140" s="16"/>
      <c r="EG140" s="16"/>
      <c r="EH140" s="16"/>
      <c r="EI140" s="16"/>
      <c r="EJ140" s="16"/>
      <c r="EK140" s="16"/>
      <c r="EL140" s="16"/>
      <c r="EM140" s="16"/>
      <c r="EN140" s="16"/>
      <c r="EO140" s="16"/>
      <c r="EP140" s="16"/>
      <c r="EQ140" s="16"/>
      <c r="ER140" s="16"/>
      <c r="ES140" s="16"/>
      <c r="ET140" s="16"/>
      <c r="EU140" s="16"/>
      <c r="EV140" s="16"/>
      <c r="EW140" s="16"/>
      <c r="EX140" s="16"/>
      <c r="EY140" s="16"/>
      <c r="EZ140" s="16"/>
      <c r="FA140" s="16"/>
      <c r="FB140" s="16"/>
      <c r="FC140" s="16"/>
      <c r="FD140" s="16"/>
      <c r="FE140" s="16"/>
      <c r="FF140" s="16"/>
      <c r="FG140" s="16"/>
      <c r="FH140" s="16"/>
      <c r="FI140" s="16"/>
      <c r="FJ140" s="16"/>
      <c r="FK140" s="16"/>
      <c r="FL140" s="16"/>
      <c r="FM140" s="16"/>
      <c r="FN140" s="16"/>
      <c r="FO140" s="16"/>
      <c r="FP140" s="16"/>
      <c r="FQ140" s="16"/>
      <c r="FR140" s="16"/>
      <c r="FS140" s="16"/>
      <c r="FT140" s="16"/>
      <c r="FU140" s="16"/>
      <c r="FV140" s="16"/>
      <c r="FW140" s="16"/>
      <c r="FX140" s="16"/>
      <c r="FY140" s="16"/>
      <c r="FZ140" s="16"/>
      <c r="GA140" s="16"/>
      <c r="GB140" s="16"/>
      <c r="GC140" s="16"/>
      <c r="GD140" s="16"/>
      <c r="GE140" s="16"/>
      <c r="GF140" s="16"/>
      <c r="GG140" s="16"/>
      <c r="GH140" s="16"/>
      <c r="GI140" s="16"/>
      <c r="GJ140" s="16"/>
      <c r="GK140" s="16"/>
      <c r="GL140" s="16"/>
      <c r="GM140" s="16"/>
      <c r="GN140" s="16"/>
      <c r="GO140" s="16"/>
      <c r="GP140" s="16"/>
      <c r="GQ140" s="16"/>
      <c r="GR140" s="16"/>
      <c r="GS140" s="16"/>
      <c r="GT140" s="16"/>
      <c r="GU140" s="16"/>
      <c r="GV140" s="16"/>
      <c r="GW140" s="16"/>
      <c r="GX140" s="16"/>
      <c r="GY140" s="16"/>
      <c r="GZ140" s="16"/>
      <c r="HA140" s="16"/>
      <c r="HB140" s="16"/>
      <c r="HC140" s="16"/>
      <c r="HD140" s="16"/>
      <c r="HE140" s="16"/>
      <c r="HF140" s="16"/>
      <c r="HG140" s="16"/>
      <c r="HH140" s="16"/>
      <c r="HI140" s="16"/>
      <c r="HJ140" s="16"/>
      <c r="HK140" s="16"/>
      <c r="HL140" s="16"/>
      <c r="HM140" s="16"/>
      <c r="HN140" s="16"/>
      <c r="HO140" s="16"/>
      <c r="HP140" s="16"/>
      <c r="HQ140" s="16"/>
      <c r="HR140" s="16"/>
      <c r="HS140" s="16"/>
      <c r="HT140" s="16"/>
      <c r="HU140" s="16"/>
      <c r="HV140" s="16"/>
      <c r="HW140" s="16"/>
      <c r="HX140" s="16"/>
      <c r="HY140" s="16"/>
      <c r="HZ140" s="16"/>
      <c r="IA140" s="16"/>
      <c r="IB140" s="16"/>
      <c r="IC140" s="16"/>
      <c r="ID140" s="16"/>
      <c r="IE140" s="16"/>
      <c r="IF140" s="16"/>
      <c r="IG140" s="16"/>
      <c r="IH140" s="16"/>
      <c r="II140" s="16"/>
      <c r="IJ140" s="16"/>
      <c r="IK140" s="16"/>
      <c r="IL140" s="16"/>
      <c r="IM140" s="16"/>
      <c r="IN140" s="16"/>
      <c r="IO140" s="16"/>
      <c r="IP140" s="16"/>
      <c r="IQ140" s="16"/>
      <c r="IR140" s="16"/>
      <c r="IS140" s="16"/>
      <c r="IT140" s="16"/>
    </row>
    <row r="141" spans="1:254" ht="36">
      <c r="A141" s="412" t="s">
        <v>313</v>
      </c>
      <c r="B141" s="125" t="s">
        <v>568</v>
      </c>
      <c r="C141" s="90">
        <v>0</v>
      </c>
      <c r="D141" s="47">
        <v>-750000</v>
      </c>
      <c r="E141" s="47">
        <v>-750000</v>
      </c>
      <c r="F141" s="47">
        <v>-750000</v>
      </c>
      <c r="G141" s="47">
        <v>-750000</v>
      </c>
      <c r="H141" s="91"/>
      <c r="I141" s="92"/>
      <c r="J141" s="85"/>
      <c r="K141" s="16"/>
      <c r="L141" s="16"/>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c r="AJ141" s="16"/>
      <c r="AK141" s="16"/>
      <c r="AL141" s="16"/>
      <c r="AM141" s="16"/>
      <c r="AN141" s="16"/>
      <c r="AO141" s="16"/>
      <c r="AP141" s="16"/>
      <c r="AQ141" s="16"/>
      <c r="AR141" s="16"/>
      <c r="AS141" s="16"/>
      <c r="AT141" s="16"/>
      <c r="AU141" s="16"/>
      <c r="AV141" s="16"/>
      <c r="AW141" s="16"/>
      <c r="AX141" s="16"/>
      <c r="AY141" s="16"/>
      <c r="AZ141" s="16"/>
      <c r="BA141" s="16"/>
      <c r="BB141" s="16"/>
      <c r="BC141" s="16"/>
      <c r="BD141" s="16"/>
      <c r="BE141" s="16"/>
      <c r="BF141" s="16"/>
      <c r="BG141" s="16"/>
      <c r="BH141" s="16"/>
      <c r="BI141" s="16"/>
      <c r="BJ141" s="16"/>
      <c r="BK141" s="16"/>
      <c r="BL141" s="16"/>
      <c r="BM141" s="16"/>
      <c r="BN141" s="16"/>
      <c r="BO141" s="16"/>
      <c r="BP141" s="16"/>
      <c r="BQ141" s="16"/>
      <c r="BR141" s="16"/>
      <c r="BS141" s="16"/>
      <c r="BT141" s="16"/>
      <c r="BU141" s="16"/>
      <c r="BV141" s="16"/>
      <c r="BW141" s="16"/>
      <c r="BX141" s="16"/>
      <c r="BY141" s="16"/>
      <c r="BZ141" s="16"/>
      <c r="CA141" s="16"/>
      <c r="CB141" s="16"/>
      <c r="CC141" s="16"/>
      <c r="CD141" s="16"/>
      <c r="CE141" s="16"/>
      <c r="CF141" s="16"/>
      <c r="CG141" s="16"/>
      <c r="CH141" s="16"/>
      <c r="CI141" s="16"/>
      <c r="CJ141" s="16"/>
      <c r="CK141" s="16"/>
      <c r="CL141" s="16"/>
      <c r="CM141" s="16"/>
      <c r="CN141" s="16"/>
      <c r="CO141" s="16"/>
      <c r="CP141" s="16"/>
      <c r="CQ141" s="16"/>
      <c r="CR141" s="16"/>
      <c r="CS141" s="16"/>
      <c r="CT141" s="16"/>
      <c r="CU141" s="16"/>
      <c r="CV141" s="16"/>
      <c r="CW141" s="16"/>
      <c r="CX141" s="16"/>
      <c r="CY141" s="16"/>
      <c r="CZ141" s="16"/>
      <c r="DA141" s="16"/>
      <c r="DB141" s="16"/>
      <c r="DC141" s="16"/>
      <c r="DD141" s="16"/>
      <c r="DE141" s="16"/>
      <c r="DF141" s="16"/>
      <c r="DG141" s="16"/>
      <c r="DH141" s="16"/>
      <c r="DI141" s="16"/>
      <c r="DJ141" s="16"/>
      <c r="DK141" s="16"/>
      <c r="DL141" s="16"/>
      <c r="DM141" s="16"/>
      <c r="DN141" s="16"/>
      <c r="DO141" s="16"/>
      <c r="DP141" s="16"/>
      <c r="DQ141" s="16"/>
      <c r="DR141" s="16"/>
      <c r="DS141" s="16"/>
      <c r="DT141" s="16"/>
      <c r="DU141" s="16"/>
      <c r="DV141" s="16"/>
      <c r="DW141" s="16"/>
      <c r="DX141" s="16"/>
      <c r="DY141" s="16"/>
      <c r="DZ141" s="16"/>
      <c r="EA141" s="16"/>
      <c r="EB141" s="16"/>
      <c r="EC141" s="16"/>
      <c r="ED141" s="16"/>
      <c r="EE141" s="16"/>
      <c r="EF141" s="16"/>
      <c r="EG141" s="16"/>
      <c r="EH141" s="16"/>
      <c r="EI141" s="16"/>
      <c r="EJ141" s="16"/>
      <c r="EK141" s="16"/>
      <c r="EL141" s="16"/>
      <c r="EM141" s="16"/>
      <c r="EN141" s="16"/>
      <c r="EO141" s="16"/>
      <c r="EP141" s="16"/>
      <c r="EQ141" s="16"/>
      <c r="ER141" s="16"/>
      <c r="ES141" s="16"/>
      <c r="ET141" s="16"/>
      <c r="EU141" s="16"/>
      <c r="EV141" s="16"/>
      <c r="EW141" s="16"/>
      <c r="EX141" s="16"/>
      <c r="EY141" s="16"/>
      <c r="EZ141" s="16"/>
      <c r="FA141" s="16"/>
      <c r="FB141" s="16"/>
      <c r="FC141" s="16"/>
      <c r="FD141" s="16"/>
      <c r="FE141" s="16"/>
      <c r="FF141" s="16"/>
      <c r="FG141" s="16"/>
      <c r="FH141" s="16"/>
      <c r="FI141" s="16"/>
      <c r="FJ141" s="16"/>
      <c r="FK141" s="16"/>
      <c r="FL141" s="16"/>
      <c r="FM141" s="16"/>
      <c r="FN141" s="16"/>
      <c r="FO141" s="16"/>
      <c r="FP141" s="16"/>
      <c r="FQ141" s="16"/>
      <c r="FR141" s="16"/>
      <c r="FS141" s="16"/>
      <c r="FT141" s="16"/>
      <c r="FU141" s="16"/>
      <c r="FV141" s="16"/>
      <c r="FW141" s="16"/>
      <c r="FX141" s="16"/>
      <c r="FY141" s="16"/>
      <c r="FZ141" s="16"/>
      <c r="GA141" s="16"/>
      <c r="GB141" s="16"/>
      <c r="GC141" s="16"/>
      <c r="GD141" s="16"/>
      <c r="GE141" s="16"/>
      <c r="GF141" s="16"/>
      <c r="GG141" s="16"/>
      <c r="GH141" s="16"/>
      <c r="GI141" s="16"/>
      <c r="GJ141" s="16"/>
      <c r="GK141" s="16"/>
      <c r="GL141" s="16"/>
      <c r="GM141" s="16"/>
      <c r="GN141" s="16"/>
      <c r="GO141" s="16"/>
      <c r="GP141" s="16"/>
      <c r="GQ141" s="16"/>
      <c r="GR141" s="16"/>
      <c r="GS141" s="16"/>
      <c r="GT141" s="16"/>
      <c r="GU141" s="16"/>
      <c r="GV141" s="16"/>
      <c r="GW141" s="16"/>
      <c r="GX141" s="16"/>
      <c r="GY141" s="16"/>
      <c r="GZ141" s="16"/>
      <c r="HA141" s="16"/>
      <c r="HB141" s="16"/>
      <c r="HC141" s="16"/>
      <c r="HD141" s="16"/>
      <c r="HE141" s="16"/>
      <c r="HF141" s="16"/>
      <c r="HG141" s="16"/>
      <c r="HH141" s="16"/>
      <c r="HI141" s="16"/>
      <c r="HJ141" s="16"/>
      <c r="HK141" s="16"/>
      <c r="HL141" s="16"/>
      <c r="HM141" s="16"/>
      <c r="HN141" s="16"/>
      <c r="HO141" s="16"/>
      <c r="HP141" s="16"/>
      <c r="HQ141" s="16"/>
      <c r="HR141" s="16"/>
      <c r="HS141" s="16"/>
      <c r="HT141" s="16"/>
      <c r="HU141" s="16"/>
      <c r="HV141" s="16"/>
      <c r="HW141" s="16"/>
      <c r="HX141" s="16"/>
      <c r="HY141" s="16"/>
      <c r="HZ141" s="16"/>
      <c r="IA141" s="16"/>
      <c r="IB141" s="16"/>
      <c r="IC141" s="16"/>
      <c r="ID141" s="16"/>
      <c r="IE141" s="16"/>
      <c r="IF141" s="16"/>
      <c r="IG141" s="16"/>
      <c r="IH141" s="16"/>
      <c r="II141" s="16"/>
      <c r="IJ141" s="16"/>
      <c r="IK141" s="16"/>
      <c r="IL141" s="16"/>
      <c r="IM141" s="16"/>
      <c r="IN141" s="16"/>
      <c r="IO141" s="16"/>
      <c r="IP141" s="16"/>
      <c r="IQ141" s="16"/>
      <c r="IR141" s="16"/>
      <c r="IS141" s="16"/>
      <c r="IT141" s="16"/>
    </row>
    <row r="142" spans="1:254" ht="36">
      <c r="A142" s="413" t="s">
        <v>310</v>
      </c>
      <c r="B142" s="136" t="s">
        <v>569</v>
      </c>
      <c r="C142" s="101">
        <v>0</v>
      </c>
      <c r="D142" s="54">
        <v>-1350000</v>
      </c>
      <c r="E142" s="54">
        <v>-1350000</v>
      </c>
      <c r="F142" s="54">
        <v>-1350000</v>
      </c>
      <c r="G142" s="54">
        <v>-1350000</v>
      </c>
      <c r="H142" s="102"/>
      <c r="I142" s="103"/>
      <c r="J142" s="87"/>
      <c r="K142" s="16"/>
      <c r="L142" s="16"/>
      <c r="M142" s="16"/>
      <c r="N142" s="16"/>
      <c r="O142" s="16"/>
      <c r="P142" s="16"/>
      <c r="Q142" s="16"/>
      <c r="R142" s="16"/>
      <c r="S142" s="16"/>
      <c r="T142" s="16"/>
      <c r="U142" s="16"/>
      <c r="V142" s="16"/>
      <c r="W142" s="16"/>
      <c r="X142" s="16"/>
      <c r="Y142" s="16"/>
      <c r="Z142" s="16"/>
      <c r="AA142" s="16"/>
      <c r="AB142" s="16"/>
      <c r="AC142" s="16"/>
      <c r="AD142" s="16"/>
      <c r="AE142" s="16"/>
      <c r="AF142" s="16"/>
      <c r="AG142" s="16"/>
      <c r="AH142" s="16"/>
      <c r="AI142" s="16"/>
      <c r="AJ142" s="16"/>
      <c r="AK142" s="16"/>
      <c r="AL142" s="16"/>
      <c r="AM142" s="16"/>
      <c r="AN142" s="16"/>
      <c r="AO142" s="16"/>
      <c r="AP142" s="16"/>
      <c r="AQ142" s="16"/>
      <c r="AR142" s="16"/>
      <c r="AS142" s="16"/>
      <c r="AT142" s="16"/>
      <c r="AU142" s="16"/>
      <c r="AV142" s="16"/>
      <c r="AW142" s="16"/>
      <c r="AX142" s="16"/>
      <c r="AY142" s="16"/>
      <c r="AZ142" s="16"/>
      <c r="BA142" s="16"/>
      <c r="BB142" s="16"/>
      <c r="BC142" s="16"/>
      <c r="BD142" s="16"/>
      <c r="BE142" s="16"/>
      <c r="BF142" s="16"/>
      <c r="BG142" s="16"/>
      <c r="BH142" s="16"/>
      <c r="BI142" s="16"/>
      <c r="BJ142" s="16"/>
      <c r="BK142" s="16"/>
      <c r="BL142" s="16"/>
      <c r="BM142" s="16"/>
      <c r="BN142" s="16"/>
      <c r="BO142" s="16"/>
      <c r="BP142" s="16"/>
      <c r="BQ142" s="16"/>
      <c r="BR142" s="16"/>
      <c r="BS142" s="16"/>
      <c r="BT142" s="16"/>
      <c r="BU142" s="16"/>
      <c r="BV142" s="16"/>
      <c r="BW142" s="16"/>
      <c r="BX142" s="16"/>
      <c r="BY142" s="16"/>
      <c r="BZ142" s="16"/>
      <c r="CA142" s="16"/>
      <c r="CB142" s="16"/>
      <c r="CC142" s="16"/>
      <c r="CD142" s="16"/>
      <c r="CE142" s="16"/>
      <c r="CF142" s="16"/>
      <c r="CG142" s="16"/>
      <c r="CH142" s="16"/>
      <c r="CI142" s="16"/>
      <c r="CJ142" s="16"/>
      <c r="CK142" s="16"/>
      <c r="CL142" s="16"/>
      <c r="CM142" s="16"/>
      <c r="CN142" s="16"/>
      <c r="CO142" s="16"/>
      <c r="CP142" s="16"/>
      <c r="CQ142" s="16"/>
      <c r="CR142" s="16"/>
      <c r="CS142" s="16"/>
      <c r="CT142" s="16"/>
      <c r="CU142" s="16"/>
      <c r="CV142" s="16"/>
      <c r="CW142" s="16"/>
      <c r="CX142" s="16"/>
      <c r="CY142" s="16"/>
      <c r="CZ142" s="16"/>
      <c r="DA142" s="16"/>
      <c r="DB142" s="16"/>
      <c r="DC142" s="16"/>
      <c r="DD142" s="16"/>
      <c r="DE142" s="16"/>
      <c r="DF142" s="16"/>
      <c r="DG142" s="16"/>
      <c r="DH142" s="16"/>
      <c r="DI142" s="16"/>
      <c r="DJ142" s="16"/>
      <c r="DK142" s="16"/>
      <c r="DL142" s="16"/>
      <c r="DM142" s="16"/>
      <c r="DN142" s="16"/>
      <c r="DO142" s="16"/>
      <c r="DP142" s="16"/>
      <c r="DQ142" s="16"/>
      <c r="DR142" s="16"/>
      <c r="DS142" s="16"/>
      <c r="DT142" s="16"/>
      <c r="DU142" s="16"/>
      <c r="DV142" s="16"/>
      <c r="DW142" s="16"/>
      <c r="DX142" s="16"/>
      <c r="DY142" s="16"/>
      <c r="DZ142" s="16"/>
      <c r="EA142" s="16"/>
      <c r="EB142" s="16"/>
      <c r="EC142" s="16"/>
      <c r="ED142" s="16"/>
      <c r="EE142" s="16"/>
      <c r="EF142" s="16"/>
      <c r="EG142" s="16"/>
      <c r="EH142" s="16"/>
      <c r="EI142" s="16"/>
      <c r="EJ142" s="16"/>
      <c r="EK142" s="16"/>
      <c r="EL142" s="16"/>
      <c r="EM142" s="16"/>
      <c r="EN142" s="16"/>
      <c r="EO142" s="16"/>
      <c r="EP142" s="16"/>
      <c r="EQ142" s="16"/>
      <c r="ER142" s="16"/>
      <c r="ES142" s="16"/>
      <c r="ET142" s="16"/>
      <c r="EU142" s="16"/>
      <c r="EV142" s="16"/>
      <c r="EW142" s="16"/>
      <c r="EX142" s="16"/>
      <c r="EY142" s="16"/>
      <c r="EZ142" s="16"/>
      <c r="FA142" s="16"/>
      <c r="FB142" s="16"/>
      <c r="FC142" s="16"/>
      <c r="FD142" s="16"/>
      <c r="FE142" s="16"/>
      <c r="FF142" s="16"/>
      <c r="FG142" s="16"/>
      <c r="FH142" s="16"/>
      <c r="FI142" s="16"/>
      <c r="FJ142" s="16"/>
      <c r="FK142" s="16"/>
      <c r="FL142" s="16"/>
      <c r="FM142" s="16"/>
      <c r="FN142" s="16"/>
      <c r="FO142" s="16"/>
      <c r="FP142" s="16"/>
      <c r="FQ142" s="16"/>
      <c r="FR142" s="16"/>
      <c r="FS142" s="16"/>
      <c r="FT142" s="16"/>
      <c r="FU142" s="16"/>
      <c r="FV142" s="16"/>
      <c r="FW142" s="16"/>
      <c r="FX142" s="16"/>
      <c r="FY142" s="16"/>
      <c r="FZ142" s="16"/>
      <c r="GA142" s="16"/>
      <c r="GB142" s="16"/>
      <c r="GC142" s="16"/>
      <c r="GD142" s="16"/>
      <c r="GE142" s="16"/>
      <c r="GF142" s="16"/>
      <c r="GG142" s="16"/>
      <c r="GH142" s="16"/>
      <c r="GI142" s="16"/>
      <c r="GJ142" s="16"/>
      <c r="GK142" s="16"/>
      <c r="GL142" s="16"/>
      <c r="GM142" s="16"/>
      <c r="GN142" s="16"/>
      <c r="GO142" s="16"/>
      <c r="GP142" s="16"/>
      <c r="GQ142" s="16"/>
      <c r="GR142" s="16"/>
      <c r="GS142" s="16"/>
      <c r="GT142" s="16"/>
      <c r="GU142" s="16"/>
      <c r="GV142" s="16"/>
      <c r="GW142" s="16"/>
      <c r="GX142" s="16"/>
      <c r="GY142" s="16"/>
      <c r="GZ142" s="16"/>
      <c r="HA142" s="16"/>
      <c r="HB142" s="16"/>
      <c r="HC142" s="16"/>
      <c r="HD142" s="16"/>
      <c r="HE142" s="16"/>
      <c r="HF142" s="16"/>
      <c r="HG142" s="16"/>
      <c r="HH142" s="16"/>
      <c r="HI142" s="16"/>
      <c r="HJ142" s="16"/>
      <c r="HK142" s="16"/>
      <c r="HL142" s="16"/>
      <c r="HM142" s="16"/>
      <c r="HN142" s="16"/>
      <c r="HO142" s="16"/>
      <c r="HP142" s="16"/>
      <c r="HQ142" s="16"/>
      <c r="HR142" s="16"/>
      <c r="HS142" s="16"/>
      <c r="HT142" s="16"/>
      <c r="HU142" s="16"/>
      <c r="HV142" s="16"/>
      <c r="HW142" s="16"/>
      <c r="HX142" s="16"/>
      <c r="HY142" s="16"/>
      <c r="HZ142" s="16"/>
      <c r="IA142" s="16"/>
      <c r="IB142" s="16"/>
      <c r="IC142" s="16"/>
      <c r="ID142" s="16"/>
      <c r="IE142" s="16"/>
      <c r="IF142" s="16"/>
      <c r="IG142" s="16"/>
      <c r="IH142" s="16"/>
      <c r="II142" s="16"/>
      <c r="IJ142" s="16"/>
      <c r="IK142" s="16"/>
      <c r="IL142" s="16"/>
      <c r="IM142" s="16"/>
      <c r="IN142" s="16"/>
      <c r="IO142" s="16"/>
      <c r="IP142" s="16"/>
      <c r="IQ142" s="16"/>
      <c r="IR142" s="16"/>
      <c r="IS142" s="16"/>
      <c r="IT142" s="16"/>
    </row>
    <row r="143" spans="1:254">
      <c r="A143" s="412" t="s">
        <v>321</v>
      </c>
      <c r="B143" s="125" t="s">
        <v>573</v>
      </c>
      <c r="C143" s="90">
        <v>0</v>
      </c>
      <c r="D143" s="47">
        <v>-800000</v>
      </c>
      <c r="E143" s="47">
        <v>-800000</v>
      </c>
      <c r="F143" s="47">
        <v>-800000</v>
      </c>
      <c r="G143" s="47">
        <v>-800000</v>
      </c>
      <c r="H143" s="91"/>
      <c r="I143" s="92"/>
      <c r="J143" s="85"/>
      <c r="K143" s="16"/>
      <c r="L143" s="16"/>
      <c r="M143" s="16"/>
      <c r="N143" s="16"/>
      <c r="O143" s="16"/>
      <c r="P143" s="16"/>
      <c r="Q143" s="16"/>
      <c r="R143" s="16"/>
      <c r="S143" s="16"/>
      <c r="T143" s="16"/>
      <c r="U143" s="16"/>
      <c r="V143" s="16"/>
      <c r="W143" s="16"/>
      <c r="X143" s="16"/>
      <c r="Y143" s="16"/>
      <c r="Z143" s="16"/>
      <c r="AA143" s="16"/>
      <c r="AB143" s="16"/>
      <c r="AC143" s="16"/>
      <c r="AD143" s="16"/>
      <c r="AE143" s="16"/>
      <c r="AF143" s="16"/>
      <c r="AG143" s="16"/>
      <c r="AH143" s="16"/>
      <c r="AI143" s="16"/>
      <c r="AJ143" s="16"/>
      <c r="AK143" s="16"/>
      <c r="AL143" s="16"/>
      <c r="AM143" s="16"/>
      <c r="AN143" s="16"/>
      <c r="AO143" s="16"/>
      <c r="AP143" s="16"/>
      <c r="AQ143" s="16"/>
      <c r="AR143" s="16"/>
      <c r="AS143" s="16"/>
      <c r="AT143" s="16"/>
      <c r="AU143" s="16"/>
      <c r="AV143" s="16"/>
      <c r="AW143" s="16"/>
      <c r="AX143" s="16"/>
      <c r="AY143" s="16"/>
      <c r="AZ143" s="16"/>
      <c r="BA143" s="16"/>
      <c r="BB143" s="16"/>
      <c r="BC143" s="16"/>
      <c r="BD143" s="16"/>
      <c r="BE143" s="16"/>
      <c r="BF143" s="16"/>
      <c r="BG143" s="16"/>
      <c r="BH143" s="16"/>
      <c r="BI143" s="16"/>
      <c r="BJ143" s="16"/>
      <c r="BK143" s="16"/>
      <c r="BL143" s="16"/>
      <c r="BM143" s="16"/>
      <c r="BN143" s="16"/>
      <c r="BO143" s="16"/>
      <c r="BP143" s="16"/>
      <c r="BQ143" s="16"/>
      <c r="BR143" s="16"/>
      <c r="BS143" s="16"/>
      <c r="BT143" s="16"/>
      <c r="BU143" s="16"/>
      <c r="BV143" s="16"/>
      <c r="BW143" s="16"/>
      <c r="BX143" s="16"/>
      <c r="BY143" s="16"/>
      <c r="BZ143" s="16"/>
      <c r="CA143" s="16"/>
      <c r="CB143" s="16"/>
      <c r="CC143" s="16"/>
      <c r="CD143" s="16"/>
      <c r="CE143" s="16"/>
      <c r="CF143" s="16"/>
      <c r="CG143" s="16"/>
      <c r="CH143" s="16"/>
      <c r="CI143" s="16"/>
      <c r="CJ143" s="16"/>
      <c r="CK143" s="16"/>
      <c r="CL143" s="16"/>
      <c r="CM143" s="16"/>
      <c r="CN143" s="16"/>
      <c r="CO143" s="16"/>
      <c r="CP143" s="16"/>
      <c r="CQ143" s="16"/>
      <c r="CR143" s="16"/>
      <c r="CS143" s="16"/>
      <c r="CT143" s="16"/>
      <c r="CU143" s="16"/>
      <c r="CV143" s="16"/>
      <c r="CW143" s="16"/>
      <c r="CX143" s="16"/>
      <c r="CY143" s="16"/>
      <c r="CZ143" s="16"/>
      <c r="DA143" s="16"/>
      <c r="DB143" s="16"/>
      <c r="DC143" s="16"/>
      <c r="DD143" s="16"/>
      <c r="DE143" s="16"/>
      <c r="DF143" s="16"/>
      <c r="DG143" s="16"/>
      <c r="DH143" s="16"/>
      <c r="DI143" s="16"/>
      <c r="DJ143" s="16"/>
      <c r="DK143" s="16"/>
      <c r="DL143" s="16"/>
      <c r="DM143" s="16"/>
      <c r="DN143" s="16"/>
      <c r="DO143" s="16"/>
      <c r="DP143" s="16"/>
      <c r="DQ143" s="16"/>
      <c r="DR143" s="16"/>
      <c r="DS143" s="16"/>
      <c r="DT143" s="16"/>
      <c r="DU143" s="16"/>
      <c r="DV143" s="16"/>
      <c r="DW143" s="16"/>
      <c r="DX143" s="16"/>
      <c r="DY143" s="16"/>
      <c r="DZ143" s="16"/>
      <c r="EA143" s="16"/>
      <c r="EB143" s="16"/>
      <c r="EC143" s="16"/>
      <c r="ED143" s="16"/>
      <c r="EE143" s="16"/>
      <c r="EF143" s="16"/>
      <c r="EG143" s="16"/>
      <c r="EH143" s="16"/>
      <c r="EI143" s="16"/>
      <c r="EJ143" s="16"/>
      <c r="EK143" s="16"/>
      <c r="EL143" s="16"/>
      <c r="EM143" s="16"/>
      <c r="EN143" s="16"/>
      <c r="EO143" s="16"/>
      <c r="EP143" s="16"/>
      <c r="EQ143" s="16"/>
      <c r="ER143" s="16"/>
      <c r="ES143" s="16"/>
      <c r="ET143" s="16"/>
      <c r="EU143" s="16"/>
      <c r="EV143" s="16"/>
      <c r="EW143" s="16"/>
      <c r="EX143" s="16"/>
      <c r="EY143" s="16"/>
      <c r="EZ143" s="16"/>
      <c r="FA143" s="16"/>
      <c r="FB143" s="16"/>
      <c r="FC143" s="16"/>
      <c r="FD143" s="16"/>
      <c r="FE143" s="16"/>
      <c r="FF143" s="16"/>
      <c r="FG143" s="16"/>
      <c r="FH143" s="16"/>
      <c r="FI143" s="16"/>
      <c r="FJ143" s="16"/>
      <c r="FK143" s="16"/>
      <c r="FL143" s="16"/>
      <c r="FM143" s="16"/>
      <c r="FN143" s="16"/>
      <c r="FO143" s="16"/>
      <c r="FP143" s="16"/>
      <c r="FQ143" s="16"/>
      <c r="FR143" s="16"/>
      <c r="FS143" s="16"/>
      <c r="FT143" s="16"/>
      <c r="FU143" s="16"/>
      <c r="FV143" s="16"/>
      <c r="FW143" s="16"/>
      <c r="FX143" s="16"/>
      <c r="FY143" s="16"/>
      <c r="FZ143" s="16"/>
      <c r="GA143" s="16"/>
      <c r="GB143" s="16"/>
      <c r="GC143" s="16"/>
      <c r="GD143" s="16"/>
      <c r="GE143" s="16"/>
      <c r="GF143" s="16"/>
      <c r="GG143" s="16"/>
      <c r="GH143" s="16"/>
      <c r="GI143" s="16"/>
      <c r="GJ143" s="16"/>
      <c r="GK143" s="16"/>
      <c r="GL143" s="16"/>
      <c r="GM143" s="16"/>
      <c r="GN143" s="16"/>
      <c r="GO143" s="16"/>
      <c r="GP143" s="16"/>
      <c r="GQ143" s="16"/>
      <c r="GR143" s="16"/>
      <c r="GS143" s="16"/>
      <c r="GT143" s="16"/>
      <c r="GU143" s="16"/>
      <c r="GV143" s="16"/>
      <c r="GW143" s="16"/>
      <c r="GX143" s="16"/>
      <c r="GY143" s="16"/>
      <c r="GZ143" s="16"/>
      <c r="HA143" s="16"/>
      <c r="HB143" s="16"/>
      <c r="HC143" s="16"/>
      <c r="HD143" s="16"/>
      <c r="HE143" s="16"/>
      <c r="HF143" s="16"/>
      <c r="HG143" s="16"/>
      <c r="HH143" s="16"/>
      <c r="HI143" s="16"/>
      <c r="HJ143" s="16"/>
      <c r="HK143" s="16"/>
      <c r="HL143" s="16"/>
      <c r="HM143" s="16"/>
      <c r="HN143" s="16"/>
      <c r="HO143" s="16"/>
      <c r="HP143" s="16"/>
      <c r="HQ143" s="16"/>
      <c r="HR143" s="16"/>
      <c r="HS143" s="16"/>
      <c r="HT143" s="16"/>
      <c r="HU143" s="16"/>
      <c r="HV143" s="16"/>
      <c r="HW143" s="16"/>
      <c r="HX143" s="16"/>
      <c r="HY143" s="16"/>
      <c r="HZ143" s="16"/>
      <c r="IA143" s="16"/>
      <c r="IB143" s="16"/>
      <c r="IC143" s="16"/>
      <c r="ID143" s="16"/>
      <c r="IE143" s="16"/>
      <c r="IF143" s="16"/>
      <c r="IG143" s="16"/>
      <c r="IH143" s="16"/>
      <c r="II143" s="16"/>
      <c r="IJ143" s="16"/>
      <c r="IK143" s="16"/>
      <c r="IL143" s="16"/>
      <c r="IM143" s="16"/>
      <c r="IN143" s="16"/>
      <c r="IO143" s="16"/>
      <c r="IP143" s="16"/>
      <c r="IQ143" s="16"/>
      <c r="IR143" s="16"/>
      <c r="IS143" s="16"/>
      <c r="IT143" s="16"/>
    </row>
    <row r="144" spans="1:254" ht="12.75" customHeight="1">
      <c r="A144" s="413"/>
      <c r="B144" s="136"/>
      <c r="C144" s="101"/>
      <c r="D144" s="54"/>
      <c r="E144" s="54"/>
      <c r="F144" s="54"/>
      <c r="G144" s="54"/>
      <c r="H144" s="102"/>
      <c r="I144" s="103"/>
      <c r="J144" s="87"/>
      <c r="K144" s="16"/>
      <c r="L144" s="16"/>
      <c r="M144" s="16"/>
      <c r="N144" s="16"/>
      <c r="O144" s="16"/>
      <c r="P144" s="16"/>
      <c r="Q144" s="16"/>
      <c r="R144" s="16"/>
      <c r="S144" s="16"/>
      <c r="T144" s="16"/>
      <c r="U144" s="16"/>
      <c r="V144" s="16"/>
      <c r="W144" s="16"/>
      <c r="X144" s="16"/>
      <c r="Y144" s="16"/>
      <c r="Z144" s="16"/>
      <c r="AA144" s="16"/>
      <c r="AB144" s="16"/>
      <c r="AC144" s="16"/>
      <c r="AD144" s="16"/>
      <c r="AE144" s="16"/>
      <c r="AF144" s="16"/>
      <c r="AG144" s="16"/>
      <c r="AH144" s="16"/>
      <c r="AI144" s="16"/>
      <c r="AJ144" s="16"/>
      <c r="AK144" s="16"/>
      <c r="AL144" s="16"/>
      <c r="AM144" s="16"/>
      <c r="AN144" s="16"/>
      <c r="AO144" s="16"/>
      <c r="AP144" s="16"/>
      <c r="AQ144" s="16"/>
      <c r="AR144" s="16"/>
      <c r="AS144" s="16"/>
      <c r="AT144" s="16"/>
      <c r="AU144" s="16"/>
      <c r="AV144" s="16"/>
      <c r="AW144" s="16"/>
      <c r="AX144" s="16"/>
      <c r="AY144" s="16"/>
      <c r="AZ144" s="16"/>
      <c r="BA144" s="16"/>
      <c r="BB144" s="16"/>
      <c r="BC144" s="16"/>
      <c r="BD144" s="16"/>
      <c r="BE144" s="16"/>
      <c r="BF144" s="16"/>
      <c r="BG144" s="16"/>
      <c r="BH144" s="16"/>
      <c r="BI144" s="16"/>
      <c r="BJ144" s="16"/>
      <c r="BK144" s="16"/>
      <c r="BL144" s="16"/>
      <c r="BM144" s="16"/>
      <c r="BN144" s="16"/>
      <c r="BO144" s="16"/>
      <c r="BP144" s="16"/>
      <c r="BQ144" s="16"/>
      <c r="BR144" s="16"/>
      <c r="BS144" s="16"/>
      <c r="BT144" s="16"/>
      <c r="BU144" s="16"/>
      <c r="BV144" s="16"/>
      <c r="BW144" s="16"/>
      <c r="BX144" s="16"/>
      <c r="BY144" s="16"/>
      <c r="BZ144" s="16"/>
      <c r="CA144" s="16"/>
      <c r="CB144" s="16"/>
      <c r="CC144" s="16"/>
      <c r="CD144" s="16"/>
      <c r="CE144" s="16"/>
      <c r="CF144" s="16"/>
      <c r="CG144" s="16"/>
      <c r="CH144" s="16"/>
      <c r="CI144" s="16"/>
      <c r="CJ144" s="16"/>
      <c r="CK144" s="16"/>
      <c r="CL144" s="16"/>
      <c r="CM144" s="16"/>
      <c r="CN144" s="16"/>
      <c r="CO144" s="16"/>
      <c r="CP144" s="16"/>
      <c r="CQ144" s="16"/>
      <c r="CR144" s="16"/>
      <c r="CS144" s="16"/>
      <c r="CT144" s="16"/>
      <c r="CU144" s="16"/>
      <c r="CV144" s="16"/>
      <c r="CW144" s="16"/>
      <c r="CX144" s="16"/>
      <c r="CY144" s="16"/>
      <c r="CZ144" s="16"/>
      <c r="DA144" s="16"/>
      <c r="DB144" s="16"/>
      <c r="DC144" s="16"/>
      <c r="DD144" s="16"/>
      <c r="DE144" s="16"/>
      <c r="DF144" s="16"/>
      <c r="DG144" s="16"/>
      <c r="DH144" s="16"/>
      <c r="DI144" s="16"/>
      <c r="DJ144" s="16"/>
      <c r="DK144" s="16"/>
      <c r="DL144" s="16"/>
      <c r="DM144" s="16"/>
      <c r="DN144" s="16"/>
      <c r="DO144" s="16"/>
      <c r="DP144" s="16"/>
      <c r="DQ144" s="16"/>
      <c r="DR144" s="16"/>
      <c r="DS144" s="16"/>
      <c r="DT144" s="16"/>
      <c r="DU144" s="16"/>
      <c r="DV144" s="16"/>
      <c r="DW144" s="16"/>
      <c r="DX144" s="16"/>
      <c r="DY144" s="16"/>
      <c r="DZ144" s="16"/>
      <c r="EA144" s="16"/>
      <c r="EB144" s="16"/>
      <c r="EC144" s="16"/>
      <c r="ED144" s="16"/>
      <c r="EE144" s="16"/>
      <c r="EF144" s="16"/>
      <c r="EG144" s="16"/>
      <c r="EH144" s="16"/>
      <c r="EI144" s="16"/>
      <c r="EJ144" s="16"/>
      <c r="EK144" s="16"/>
      <c r="EL144" s="16"/>
      <c r="EM144" s="16"/>
      <c r="EN144" s="16"/>
      <c r="EO144" s="16"/>
      <c r="EP144" s="16"/>
      <c r="EQ144" s="16"/>
      <c r="ER144" s="16"/>
      <c r="ES144" s="16"/>
      <c r="ET144" s="16"/>
      <c r="EU144" s="16"/>
      <c r="EV144" s="16"/>
      <c r="EW144" s="16"/>
      <c r="EX144" s="16"/>
      <c r="EY144" s="16"/>
      <c r="EZ144" s="16"/>
      <c r="FA144" s="16"/>
      <c r="FB144" s="16"/>
      <c r="FC144" s="16"/>
      <c r="FD144" s="16"/>
      <c r="FE144" s="16"/>
      <c r="FF144" s="16"/>
      <c r="FG144" s="16"/>
      <c r="FH144" s="16"/>
      <c r="FI144" s="16"/>
      <c r="FJ144" s="16"/>
      <c r="FK144" s="16"/>
      <c r="FL144" s="16"/>
      <c r="FM144" s="16"/>
      <c r="FN144" s="16"/>
      <c r="FO144" s="16"/>
      <c r="FP144" s="16"/>
      <c r="FQ144" s="16"/>
      <c r="FR144" s="16"/>
      <c r="FS144" s="16"/>
      <c r="FT144" s="16"/>
      <c r="FU144" s="16"/>
      <c r="FV144" s="16"/>
      <c r="FW144" s="16"/>
      <c r="FX144" s="16"/>
      <c r="FY144" s="16"/>
      <c r="FZ144" s="16"/>
      <c r="GA144" s="16"/>
      <c r="GB144" s="16"/>
      <c r="GC144" s="16"/>
      <c r="GD144" s="16"/>
      <c r="GE144" s="16"/>
      <c r="GF144" s="16"/>
      <c r="GG144" s="16"/>
      <c r="GH144" s="16"/>
      <c r="GI144" s="16"/>
      <c r="GJ144" s="16"/>
      <c r="GK144" s="16"/>
      <c r="GL144" s="16"/>
      <c r="GM144" s="16"/>
      <c r="GN144" s="16"/>
      <c r="GO144" s="16"/>
      <c r="GP144" s="16"/>
      <c r="GQ144" s="16"/>
      <c r="GR144" s="16"/>
      <c r="GS144" s="16"/>
      <c r="GT144" s="16"/>
      <c r="GU144" s="16"/>
      <c r="GV144" s="16"/>
      <c r="GW144" s="16"/>
      <c r="GX144" s="16"/>
      <c r="GY144" s="16"/>
      <c r="GZ144" s="16"/>
      <c r="HA144" s="16"/>
      <c r="HB144" s="16"/>
      <c r="HC144" s="16"/>
      <c r="HD144" s="16"/>
      <c r="HE144" s="16"/>
      <c r="HF144" s="16"/>
      <c r="HG144" s="16"/>
      <c r="HH144" s="16"/>
      <c r="HI144" s="16"/>
      <c r="HJ144" s="16"/>
      <c r="HK144" s="16"/>
      <c r="HL144" s="16"/>
      <c r="HM144" s="16"/>
      <c r="HN144" s="16"/>
      <c r="HO144" s="16"/>
      <c r="HP144" s="16"/>
      <c r="HQ144" s="16"/>
      <c r="HR144" s="16"/>
      <c r="HS144" s="16"/>
      <c r="HT144" s="16"/>
      <c r="HU144" s="16"/>
      <c r="HV144" s="16"/>
      <c r="HW144" s="16"/>
      <c r="HX144" s="16"/>
      <c r="HY144" s="16"/>
      <c r="HZ144" s="16"/>
      <c r="IA144" s="16"/>
      <c r="IB144" s="16"/>
      <c r="IC144" s="16"/>
      <c r="ID144" s="16"/>
      <c r="IE144" s="16"/>
      <c r="IF144" s="16"/>
      <c r="IG144" s="16"/>
      <c r="IH144" s="16"/>
      <c r="II144" s="16"/>
      <c r="IJ144" s="16"/>
      <c r="IK144" s="16"/>
      <c r="IL144" s="16"/>
      <c r="IM144" s="16"/>
      <c r="IN144" s="16"/>
      <c r="IO144" s="16"/>
      <c r="IP144" s="16"/>
      <c r="IQ144" s="16"/>
      <c r="IR144" s="16"/>
      <c r="IS144" s="16"/>
      <c r="IT144" s="16"/>
    </row>
    <row r="145" spans="1:254" ht="12.75" customHeight="1">
      <c r="A145" s="412"/>
      <c r="B145" s="125"/>
      <c r="C145" s="90"/>
      <c r="D145" s="47"/>
      <c r="E145" s="47"/>
      <c r="F145" s="47"/>
      <c r="G145" s="47"/>
      <c r="H145" s="91"/>
      <c r="I145" s="92"/>
      <c r="J145" s="85"/>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c r="AK145" s="16"/>
      <c r="AL145" s="16"/>
      <c r="AM145" s="16"/>
      <c r="AN145" s="16"/>
      <c r="AO145" s="16"/>
      <c r="AP145" s="16"/>
      <c r="AQ145" s="16"/>
      <c r="AR145" s="16"/>
      <c r="AS145" s="16"/>
      <c r="AT145" s="16"/>
      <c r="AU145" s="16"/>
      <c r="AV145" s="16"/>
      <c r="AW145" s="16"/>
      <c r="AX145" s="16"/>
      <c r="AY145" s="16"/>
      <c r="AZ145" s="16"/>
      <c r="BA145" s="16"/>
      <c r="BB145" s="16"/>
      <c r="BC145" s="16"/>
      <c r="BD145" s="16"/>
      <c r="BE145" s="16"/>
      <c r="BF145" s="16"/>
      <c r="BG145" s="16"/>
      <c r="BH145" s="16"/>
      <c r="BI145" s="16"/>
      <c r="BJ145" s="16"/>
      <c r="BK145" s="16"/>
      <c r="BL145" s="16"/>
      <c r="BM145" s="16"/>
      <c r="BN145" s="16"/>
      <c r="BO145" s="16"/>
      <c r="BP145" s="16"/>
      <c r="BQ145" s="16"/>
      <c r="BR145" s="16"/>
      <c r="BS145" s="16"/>
      <c r="BT145" s="16"/>
      <c r="BU145" s="16"/>
      <c r="BV145" s="16"/>
      <c r="BW145" s="16"/>
      <c r="BX145" s="16"/>
      <c r="BY145" s="16"/>
      <c r="BZ145" s="16"/>
      <c r="CA145" s="16"/>
      <c r="CB145" s="16"/>
      <c r="CC145" s="16"/>
      <c r="CD145" s="16"/>
      <c r="CE145" s="16"/>
      <c r="CF145" s="16"/>
      <c r="CG145" s="16"/>
      <c r="CH145" s="16"/>
      <c r="CI145" s="16"/>
      <c r="CJ145" s="16"/>
      <c r="CK145" s="16"/>
      <c r="CL145" s="16"/>
      <c r="CM145" s="16"/>
      <c r="CN145" s="16"/>
      <c r="CO145" s="16"/>
      <c r="CP145" s="16"/>
      <c r="CQ145" s="16"/>
      <c r="CR145" s="16"/>
      <c r="CS145" s="16"/>
      <c r="CT145" s="16"/>
      <c r="CU145" s="16"/>
      <c r="CV145" s="16"/>
      <c r="CW145" s="16"/>
      <c r="CX145" s="16"/>
      <c r="CY145" s="16"/>
      <c r="CZ145" s="16"/>
      <c r="DA145" s="16"/>
      <c r="DB145" s="16"/>
      <c r="DC145" s="16"/>
      <c r="DD145" s="16"/>
      <c r="DE145" s="16"/>
      <c r="DF145" s="16"/>
      <c r="DG145" s="16"/>
      <c r="DH145" s="16"/>
      <c r="DI145" s="16"/>
      <c r="DJ145" s="16"/>
      <c r="DK145" s="16"/>
      <c r="DL145" s="16"/>
      <c r="DM145" s="16"/>
      <c r="DN145" s="16"/>
      <c r="DO145" s="16"/>
      <c r="DP145" s="16"/>
      <c r="DQ145" s="16"/>
      <c r="DR145" s="16"/>
      <c r="DS145" s="16"/>
      <c r="DT145" s="16"/>
      <c r="DU145" s="16"/>
      <c r="DV145" s="16"/>
      <c r="DW145" s="16"/>
      <c r="DX145" s="16"/>
      <c r="DY145" s="16"/>
      <c r="DZ145" s="16"/>
      <c r="EA145" s="16"/>
      <c r="EB145" s="16"/>
      <c r="EC145" s="16"/>
      <c r="ED145" s="16"/>
      <c r="EE145" s="16"/>
      <c r="EF145" s="16"/>
      <c r="EG145" s="16"/>
      <c r="EH145" s="16"/>
      <c r="EI145" s="16"/>
      <c r="EJ145" s="16"/>
      <c r="EK145" s="16"/>
      <c r="EL145" s="16"/>
      <c r="EM145" s="16"/>
      <c r="EN145" s="16"/>
      <c r="EO145" s="16"/>
      <c r="EP145" s="16"/>
      <c r="EQ145" s="16"/>
      <c r="ER145" s="16"/>
      <c r="ES145" s="16"/>
      <c r="ET145" s="16"/>
      <c r="EU145" s="16"/>
      <c r="EV145" s="16"/>
      <c r="EW145" s="16"/>
      <c r="EX145" s="16"/>
      <c r="EY145" s="16"/>
      <c r="EZ145" s="16"/>
      <c r="FA145" s="16"/>
      <c r="FB145" s="16"/>
      <c r="FC145" s="16"/>
      <c r="FD145" s="16"/>
      <c r="FE145" s="16"/>
      <c r="FF145" s="16"/>
      <c r="FG145" s="16"/>
      <c r="FH145" s="16"/>
      <c r="FI145" s="16"/>
      <c r="FJ145" s="16"/>
      <c r="FK145" s="16"/>
      <c r="FL145" s="16"/>
      <c r="FM145" s="16"/>
      <c r="FN145" s="16"/>
      <c r="FO145" s="16"/>
      <c r="FP145" s="16"/>
      <c r="FQ145" s="16"/>
      <c r="FR145" s="16"/>
      <c r="FS145" s="16"/>
      <c r="FT145" s="16"/>
      <c r="FU145" s="16"/>
      <c r="FV145" s="16"/>
      <c r="FW145" s="16"/>
      <c r="FX145" s="16"/>
      <c r="FY145" s="16"/>
      <c r="FZ145" s="16"/>
      <c r="GA145" s="16"/>
      <c r="GB145" s="16"/>
      <c r="GC145" s="16"/>
      <c r="GD145" s="16"/>
      <c r="GE145" s="16"/>
      <c r="GF145" s="16"/>
      <c r="GG145" s="16"/>
      <c r="GH145" s="16"/>
      <c r="GI145" s="16"/>
      <c r="GJ145" s="16"/>
      <c r="GK145" s="16"/>
      <c r="GL145" s="16"/>
      <c r="GM145" s="16"/>
      <c r="GN145" s="16"/>
      <c r="GO145" s="16"/>
      <c r="GP145" s="16"/>
      <c r="GQ145" s="16"/>
      <c r="GR145" s="16"/>
      <c r="GS145" s="16"/>
      <c r="GT145" s="16"/>
      <c r="GU145" s="16"/>
      <c r="GV145" s="16"/>
      <c r="GW145" s="16"/>
      <c r="GX145" s="16"/>
      <c r="GY145" s="16"/>
      <c r="GZ145" s="16"/>
      <c r="HA145" s="16"/>
      <c r="HB145" s="16"/>
      <c r="HC145" s="16"/>
      <c r="HD145" s="16"/>
      <c r="HE145" s="16"/>
      <c r="HF145" s="16"/>
      <c r="HG145" s="16"/>
      <c r="HH145" s="16"/>
      <c r="HI145" s="16"/>
      <c r="HJ145" s="16"/>
      <c r="HK145" s="16"/>
      <c r="HL145" s="16"/>
      <c r="HM145" s="16"/>
      <c r="HN145" s="16"/>
      <c r="HO145" s="16"/>
      <c r="HP145" s="16"/>
      <c r="HQ145" s="16"/>
      <c r="HR145" s="16"/>
      <c r="HS145" s="16"/>
      <c r="HT145" s="16"/>
      <c r="HU145" s="16"/>
      <c r="HV145" s="16"/>
      <c r="HW145" s="16"/>
      <c r="HX145" s="16"/>
      <c r="HY145" s="16"/>
      <c r="HZ145" s="16"/>
      <c r="IA145" s="16"/>
      <c r="IB145" s="16"/>
      <c r="IC145" s="16"/>
      <c r="ID145" s="16"/>
      <c r="IE145" s="16"/>
      <c r="IF145" s="16"/>
      <c r="IG145" s="16"/>
      <c r="IH145" s="16"/>
      <c r="II145" s="16"/>
      <c r="IJ145" s="16"/>
      <c r="IK145" s="16"/>
      <c r="IL145" s="16"/>
      <c r="IM145" s="16"/>
      <c r="IN145" s="16"/>
      <c r="IO145" s="16"/>
      <c r="IP145" s="16"/>
      <c r="IQ145" s="16"/>
      <c r="IR145" s="16"/>
      <c r="IS145" s="16"/>
      <c r="IT145" s="16"/>
    </row>
    <row r="146" spans="1:254" ht="36">
      <c r="A146" s="413"/>
      <c r="B146" s="411" t="s">
        <v>566</v>
      </c>
      <c r="C146" s="101"/>
      <c r="D146" s="54"/>
      <c r="E146" s="54"/>
      <c r="F146" s="54"/>
      <c r="G146" s="54"/>
      <c r="H146" s="102"/>
      <c r="I146" s="103"/>
      <c r="J146" s="87"/>
      <c r="K146" s="16"/>
      <c r="L146" s="16"/>
      <c r="M146" s="16"/>
      <c r="N146" s="16"/>
      <c r="O146" s="16"/>
      <c r="P146" s="16"/>
      <c r="Q146" s="16"/>
      <c r="R146" s="16"/>
      <c r="S146" s="16"/>
      <c r="T146" s="16"/>
      <c r="U146" s="16"/>
      <c r="V146" s="16"/>
      <c r="W146" s="16"/>
      <c r="X146" s="16"/>
      <c r="Y146" s="16"/>
      <c r="Z146" s="16"/>
      <c r="AA146" s="16"/>
      <c r="AB146" s="16"/>
      <c r="AC146" s="16"/>
      <c r="AD146" s="16"/>
      <c r="AE146" s="16"/>
      <c r="AF146" s="16"/>
      <c r="AG146" s="16"/>
      <c r="AH146" s="16"/>
      <c r="AI146" s="16"/>
      <c r="AJ146" s="16"/>
      <c r="AK146" s="16"/>
      <c r="AL146" s="16"/>
      <c r="AM146" s="16"/>
      <c r="AN146" s="16"/>
      <c r="AO146" s="16"/>
      <c r="AP146" s="16"/>
      <c r="AQ146" s="16"/>
      <c r="AR146" s="16"/>
      <c r="AS146" s="16"/>
      <c r="AT146" s="16"/>
      <c r="AU146" s="16"/>
      <c r="AV146" s="16"/>
      <c r="AW146" s="16"/>
      <c r="AX146" s="16"/>
      <c r="AY146" s="16"/>
      <c r="AZ146" s="16"/>
      <c r="BA146" s="16"/>
      <c r="BB146" s="16"/>
      <c r="BC146" s="16"/>
      <c r="BD146" s="16"/>
      <c r="BE146" s="16"/>
      <c r="BF146" s="16"/>
      <c r="BG146" s="16"/>
      <c r="BH146" s="16"/>
      <c r="BI146" s="16"/>
      <c r="BJ146" s="16"/>
      <c r="BK146" s="16"/>
      <c r="BL146" s="16"/>
      <c r="BM146" s="16"/>
      <c r="BN146" s="16"/>
      <c r="BO146" s="16"/>
      <c r="BP146" s="16"/>
      <c r="BQ146" s="16"/>
      <c r="BR146" s="16"/>
      <c r="BS146" s="16"/>
      <c r="BT146" s="16"/>
      <c r="BU146" s="16"/>
      <c r="BV146" s="16"/>
      <c r="BW146" s="16"/>
      <c r="BX146" s="16"/>
      <c r="BY146" s="16"/>
      <c r="BZ146" s="16"/>
      <c r="CA146" s="16"/>
      <c r="CB146" s="16"/>
      <c r="CC146" s="16"/>
      <c r="CD146" s="16"/>
      <c r="CE146" s="16"/>
      <c r="CF146" s="16"/>
      <c r="CG146" s="16"/>
      <c r="CH146" s="16"/>
      <c r="CI146" s="16"/>
      <c r="CJ146" s="16"/>
      <c r="CK146" s="16"/>
      <c r="CL146" s="16"/>
      <c r="CM146" s="16"/>
      <c r="CN146" s="16"/>
      <c r="CO146" s="16"/>
      <c r="CP146" s="16"/>
      <c r="CQ146" s="16"/>
      <c r="CR146" s="16"/>
      <c r="CS146" s="16"/>
      <c r="CT146" s="16"/>
      <c r="CU146" s="16"/>
      <c r="CV146" s="16"/>
      <c r="CW146" s="16"/>
      <c r="CX146" s="16"/>
      <c r="CY146" s="16"/>
      <c r="CZ146" s="16"/>
      <c r="DA146" s="16"/>
      <c r="DB146" s="16"/>
      <c r="DC146" s="16"/>
      <c r="DD146" s="16"/>
      <c r="DE146" s="16"/>
      <c r="DF146" s="16"/>
      <c r="DG146" s="16"/>
      <c r="DH146" s="16"/>
      <c r="DI146" s="16"/>
      <c r="DJ146" s="16"/>
      <c r="DK146" s="16"/>
      <c r="DL146" s="16"/>
      <c r="DM146" s="16"/>
      <c r="DN146" s="16"/>
      <c r="DO146" s="16"/>
      <c r="DP146" s="16"/>
      <c r="DQ146" s="16"/>
      <c r="DR146" s="16"/>
      <c r="DS146" s="16"/>
      <c r="DT146" s="16"/>
      <c r="DU146" s="16"/>
      <c r="DV146" s="16"/>
      <c r="DW146" s="16"/>
      <c r="DX146" s="16"/>
      <c r="DY146" s="16"/>
      <c r="DZ146" s="16"/>
      <c r="EA146" s="16"/>
      <c r="EB146" s="16"/>
      <c r="EC146" s="16"/>
      <c r="ED146" s="16"/>
      <c r="EE146" s="16"/>
      <c r="EF146" s="16"/>
      <c r="EG146" s="16"/>
      <c r="EH146" s="16"/>
      <c r="EI146" s="16"/>
      <c r="EJ146" s="16"/>
      <c r="EK146" s="16"/>
      <c r="EL146" s="16"/>
      <c r="EM146" s="16"/>
      <c r="EN146" s="16"/>
      <c r="EO146" s="16"/>
      <c r="EP146" s="16"/>
      <c r="EQ146" s="16"/>
      <c r="ER146" s="16"/>
      <c r="ES146" s="16"/>
      <c r="ET146" s="16"/>
      <c r="EU146" s="16"/>
      <c r="EV146" s="16"/>
      <c r="EW146" s="16"/>
      <c r="EX146" s="16"/>
      <c r="EY146" s="16"/>
      <c r="EZ146" s="16"/>
      <c r="FA146" s="16"/>
      <c r="FB146" s="16"/>
      <c r="FC146" s="16"/>
      <c r="FD146" s="16"/>
      <c r="FE146" s="16"/>
      <c r="FF146" s="16"/>
      <c r="FG146" s="16"/>
      <c r="FH146" s="16"/>
      <c r="FI146" s="16"/>
      <c r="FJ146" s="16"/>
      <c r="FK146" s="16"/>
      <c r="FL146" s="16"/>
      <c r="FM146" s="16"/>
      <c r="FN146" s="16"/>
      <c r="FO146" s="16"/>
      <c r="FP146" s="16"/>
      <c r="FQ146" s="16"/>
      <c r="FR146" s="16"/>
      <c r="FS146" s="16"/>
      <c r="FT146" s="16"/>
      <c r="FU146" s="16"/>
      <c r="FV146" s="16"/>
      <c r="FW146" s="16"/>
      <c r="FX146" s="16"/>
      <c r="FY146" s="16"/>
      <c r="FZ146" s="16"/>
      <c r="GA146" s="16"/>
      <c r="GB146" s="16"/>
      <c r="GC146" s="16"/>
      <c r="GD146" s="16"/>
      <c r="GE146" s="16"/>
      <c r="GF146" s="16"/>
      <c r="GG146" s="16"/>
      <c r="GH146" s="16"/>
      <c r="GI146" s="16"/>
      <c r="GJ146" s="16"/>
      <c r="GK146" s="16"/>
      <c r="GL146" s="16"/>
      <c r="GM146" s="16"/>
      <c r="GN146" s="16"/>
      <c r="GO146" s="16"/>
      <c r="GP146" s="16"/>
      <c r="GQ146" s="16"/>
      <c r="GR146" s="16"/>
      <c r="GS146" s="16"/>
      <c r="GT146" s="16"/>
      <c r="GU146" s="16"/>
      <c r="GV146" s="16"/>
      <c r="GW146" s="16"/>
      <c r="GX146" s="16"/>
      <c r="GY146" s="16"/>
      <c r="GZ146" s="16"/>
      <c r="HA146" s="16"/>
      <c r="HB146" s="16"/>
      <c r="HC146" s="16"/>
      <c r="HD146" s="16"/>
      <c r="HE146" s="16"/>
      <c r="HF146" s="16"/>
      <c r="HG146" s="16"/>
      <c r="HH146" s="16"/>
      <c r="HI146" s="16"/>
      <c r="HJ146" s="16"/>
      <c r="HK146" s="16"/>
      <c r="HL146" s="16"/>
      <c r="HM146" s="16"/>
      <c r="HN146" s="16"/>
      <c r="HO146" s="16"/>
      <c r="HP146" s="16"/>
      <c r="HQ146" s="16"/>
      <c r="HR146" s="16"/>
      <c r="HS146" s="16"/>
      <c r="HT146" s="16"/>
      <c r="HU146" s="16"/>
      <c r="HV146" s="16"/>
      <c r="HW146" s="16"/>
      <c r="HX146" s="16"/>
      <c r="HY146" s="16"/>
      <c r="HZ146" s="16"/>
      <c r="IA146" s="16"/>
      <c r="IB146" s="16"/>
      <c r="IC146" s="16"/>
      <c r="ID146" s="16"/>
      <c r="IE146" s="16"/>
      <c r="IF146" s="16"/>
      <c r="IG146" s="16"/>
      <c r="IH146" s="16"/>
      <c r="II146" s="16"/>
      <c r="IJ146" s="16"/>
      <c r="IK146" s="16"/>
      <c r="IL146" s="16"/>
      <c r="IM146" s="16"/>
      <c r="IN146" s="16"/>
      <c r="IO146" s="16"/>
      <c r="IP146" s="16"/>
      <c r="IQ146" s="16"/>
      <c r="IR146" s="16"/>
      <c r="IS146" s="16"/>
      <c r="IT146" s="16"/>
    </row>
    <row r="147" spans="1:254" ht="36">
      <c r="A147" s="412" t="s">
        <v>231</v>
      </c>
      <c r="B147" s="125" t="s">
        <v>572</v>
      </c>
      <c r="C147" s="90">
        <v>0</v>
      </c>
      <c r="D147" s="47">
        <v>0</v>
      </c>
      <c r="E147" s="47">
        <v>-14491858</v>
      </c>
      <c r="F147" s="47">
        <v>-15491074</v>
      </c>
      <c r="G147" s="47">
        <v>-15534735</v>
      </c>
      <c r="H147" s="91"/>
      <c r="I147" s="92"/>
      <c r="J147" s="85"/>
      <c r="K147" s="16"/>
      <c r="L147" s="16"/>
      <c r="M147" s="16"/>
      <c r="N147" s="16"/>
      <c r="O147" s="16"/>
      <c r="P147" s="16"/>
      <c r="Q147" s="16"/>
      <c r="R147" s="16"/>
      <c r="S147" s="16"/>
      <c r="T147" s="16"/>
      <c r="U147" s="16"/>
      <c r="V147" s="16"/>
      <c r="W147" s="16"/>
      <c r="X147" s="16"/>
      <c r="Y147" s="16"/>
      <c r="Z147" s="16"/>
      <c r="AA147" s="16"/>
      <c r="AB147" s="16"/>
      <c r="AC147" s="16"/>
      <c r="AD147" s="16"/>
      <c r="AE147" s="16"/>
      <c r="AF147" s="16"/>
      <c r="AG147" s="16"/>
      <c r="AH147" s="16"/>
      <c r="AI147" s="16"/>
      <c r="AJ147" s="16"/>
      <c r="AK147" s="16"/>
      <c r="AL147" s="16"/>
      <c r="AM147" s="16"/>
      <c r="AN147" s="16"/>
      <c r="AO147" s="16"/>
      <c r="AP147" s="16"/>
      <c r="AQ147" s="16"/>
      <c r="AR147" s="16"/>
      <c r="AS147" s="16"/>
      <c r="AT147" s="16"/>
      <c r="AU147" s="16"/>
      <c r="AV147" s="16"/>
      <c r="AW147" s="16"/>
      <c r="AX147" s="16"/>
      <c r="AY147" s="16"/>
      <c r="AZ147" s="16"/>
      <c r="BA147" s="16"/>
      <c r="BB147" s="16"/>
      <c r="BC147" s="16"/>
      <c r="BD147" s="16"/>
      <c r="BE147" s="16"/>
      <c r="BF147" s="16"/>
      <c r="BG147" s="16"/>
      <c r="BH147" s="16"/>
      <c r="BI147" s="16"/>
      <c r="BJ147" s="16"/>
      <c r="BK147" s="16"/>
      <c r="BL147" s="16"/>
      <c r="BM147" s="16"/>
      <c r="BN147" s="16"/>
      <c r="BO147" s="16"/>
      <c r="BP147" s="16"/>
      <c r="BQ147" s="16"/>
      <c r="BR147" s="16"/>
      <c r="BS147" s="16"/>
      <c r="BT147" s="16"/>
      <c r="BU147" s="16"/>
      <c r="BV147" s="16"/>
      <c r="BW147" s="16"/>
      <c r="BX147" s="16"/>
      <c r="BY147" s="16"/>
      <c r="BZ147" s="16"/>
      <c r="CA147" s="16"/>
      <c r="CB147" s="16"/>
      <c r="CC147" s="16"/>
      <c r="CD147" s="16"/>
      <c r="CE147" s="16"/>
      <c r="CF147" s="16"/>
      <c r="CG147" s="16"/>
      <c r="CH147" s="16"/>
      <c r="CI147" s="16"/>
      <c r="CJ147" s="16"/>
      <c r="CK147" s="16"/>
      <c r="CL147" s="16"/>
      <c r="CM147" s="16"/>
      <c r="CN147" s="16"/>
      <c r="CO147" s="16"/>
      <c r="CP147" s="16"/>
      <c r="CQ147" s="16"/>
      <c r="CR147" s="16"/>
      <c r="CS147" s="16"/>
      <c r="CT147" s="16"/>
      <c r="CU147" s="16"/>
      <c r="CV147" s="16"/>
      <c r="CW147" s="16"/>
      <c r="CX147" s="16"/>
      <c r="CY147" s="16"/>
      <c r="CZ147" s="16"/>
      <c r="DA147" s="16"/>
      <c r="DB147" s="16"/>
      <c r="DC147" s="16"/>
      <c r="DD147" s="16"/>
      <c r="DE147" s="16"/>
      <c r="DF147" s="16"/>
      <c r="DG147" s="16"/>
      <c r="DH147" s="16"/>
      <c r="DI147" s="16"/>
      <c r="DJ147" s="16"/>
      <c r="DK147" s="16"/>
      <c r="DL147" s="16"/>
      <c r="DM147" s="16"/>
      <c r="DN147" s="16"/>
      <c r="DO147" s="16"/>
      <c r="DP147" s="16"/>
      <c r="DQ147" s="16"/>
      <c r="DR147" s="16"/>
      <c r="DS147" s="16"/>
      <c r="DT147" s="16"/>
      <c r="DU147" s="16"/>
      <c r="DV147" s="16"/>
      <c r="DW147" s="16"/>
      <c r="DX147" s="16"/>
      <c r="DY147" s="16"/>
      <c r="DZ147" s="16"/>
      <c r="EA147" s="16"/>
      <c r="EB147" s="16"/>
      <c r="EC147" s="16"/>
      <c r="ED147" s="16"/>
      <c r="EE147" s="16"/>
      <c r="EF147" s="16"/>
      <c r="EG147" s="16"/>
      <c r="EH147" s="16"/>
      <c r="EI147" s="16"/>
      <c r="EJ147" s="16"/>
      <c r="EK147" s="16"/>
      <c r="EL147" s="16"/>
      <c r="EM147" s="16"/>
      <c r="EN147" s="16"/>
      <c r="EO147" s="16"/>
      <c r="EP147" s="16"/>
      <c r="EQ147" s="16"/>
      <c r="ER147" s="16"/>
      <c r="ES147" s="16"/>
      <c r="ET147" s="16"/>
      <c r="EU147" s="16"/>
      <c r="EV147" s="16"/>
      <c r="EW147" s="16"/>
      <c r="EX147" s="16"/>
      <c r="EY147" s="16"/>
      <c r="EZ147" s="16"/>
      <c r="FA147" s="16"/>
      <c r="FB147" s="16"/>
      <c r="FC147" s="16"/>
      <c r="FD147" s="16"/>
      <c r="FE147" s="16"/>
      <c r="FF147" s="16"/>
      <c r="FG147" s="16"/>
      <c r="FH147" s="16"/>
      <c r="FI147" s="16"/>
      <c r="FJ147" s="16"/>
      <c r="FK147" s="16"/>
      <c r="FL147" s="16"/>
      <c r="FM147" s="16"/>
      <c r="FN147" s="16"/>
      <c r="FO147" s="16"/>
      <c r="FP147" s="16"/>
      <c r="FQ147" s="16"/>
      <c r="FR147" s="16"/>
      <c r="FS147" s="16"/>
      <c r="FT147" s="16"/>
      <c r="FU147" s="16"/>
      <c r="FV147" s="16"/>
      <c r="FW147" s="16"/>
      <c r="FX147" s="16"/>
      <c r="FY147" s="16"/>
      <c r="FZ147" s="16"/>
      <c r="GA147" s="16"/>
      <c r="GB147" s="16"/>
      <c r="GC147" s="16"/>
      <c r="GD147" s="16"/>
      <c r="GE147" s="16"/>
      <c r="GF147" s="16"/>
      <c r="GG147" s="16"/>
      <c r="GH147" s="16"/>
      <c r="GI147" s="16"/>
      <c r="GJ147" s="16"/>
      <c r="GK147" s="16"/>
      <c r="GL147" s="16"/>
      <c r="GM147" s="16"/>
      <c r="GN147" s="16"/>
      <c r="GO147" s="16"/>
      <c r="GP147" s="16"/>
      <c r="GQ147" s="16"/>
      <c r="GR147" s="16"/>
      <c r="GS147" s="16"/>
      <c r="GT147" s="16"/>
      <c r="GU147" s="16"/>
      <c r="GV147" s="16"/>
      <c r="GW147" s="16"/>
      <c r="GX147" s="16"/>
      <c r="GY147" s="16"/>
      <c r="GZ147" s="16"/>
      <c r="HA147" s="16"/>
      <c r="HB147" s="16"/>
      <c r="HC147" s="16"/>
      <c r="HD147" s="16"/>
      <c r="HE147" s="16"/>
      <c r="HF147" s="16"/>
      <c r="HG147" s="16"/>
      <c r="HH147" s="16"/>
      <c r="HI147" s="16"/>
      <c r="HJ147" s="16"/>
      <c r="HK147" s="16"/>
      <c r="HL147" s="16"/>
      <c r="HM147" s="16"/>
      <c r="HN147" s="16"/>
      <c r="HO147" s="16"/>
      <c r="HP147" s="16"/>
      <c r="HQ147" s="16"/>
      <c r="HR147" s="16"/>
      <c r="HS147" s="16"/>
      <c r="HT147" s="16"/>
      <c r="HU147" s="16"/>
      <c r="HV147" s="16"/>
      <c r="HW147" s="16"/>
      <c r="HX147" s="16"/>
      <c r="HY147" s="16"/>
      <c r="HZ147" s="16"/>
      <c r="IA147" s="16"/>
      <c r="IB147" s="16"/>
      <c r="IC147" s="16"/>
      <c r="ID147" s="16"/>
      <c r="IE147" s="16"/>
      <c r="IF147" s="16"/>
      <c r="IG147" s="16"/>
      <c r="IH147" s="16"/>
      <c r="II147" s="16"/>
      <c r="IJ147" s="16"/>
      <c r="IK147" s="16"/>
      <c r="IL147" s="16"/>
      <c r="IM147" s="16"/>
      <c r="IN147" s="16"/>
      <c r="IO147" s="16"/>
      <c r="IP147" s="16"/>
      <c r="IQ147" s="16"/>
      <c r="IR147" s="16"/>
      <c r="IS147" s="16"/>
      <c r="IT147" s="16"/>
    </row>
    <row r="148" spans="1:254" ht="36">
      <c r="A148" s="413" t="s">
        <v>293</v>
      </c>
      <c r="B148" s="136" t="s">
        <v>570</v>
      </c>
      <c r="C148" s="101">
        <v>0</v>
      </c>
      <c r="D148" s="54">
        <v>0</v>
      </c>
      <c r="E148" s="54">
        <v>0</v>
      </c>
      <c r="F148" s="54">
        <v>-573000</v>
      </c>
      <c r="G148" s="54">
        <v>-584000</v>
      </c>
      <c r="H148" s="102"/>
      <c r="I148" s="103"/>
      <c r="J148" s="87"/>
      <c r="K148" s="16"/>
      <c r="L148" s="16"/>
      <c r="M148" s="16"/>
      <c r="N148" s="16"/>
      <c r="O148" s="16"/>
      <c r="P148" s="16"/>
      <c r="Q148" s="16"/>
      <c r="R148" s="16"/>
      <c r="S148" s="16"/>
      <c r="T148" s="16"/>
      <c r="U148" s="16"/>
      <c r="V148" s="16"/>
      <c r="W148" s="16"/>
      <c r="X148" s="16"/>
      <c r="Y148" s="16"/>
      <c r="Z148" s="16"/>
      <c r="AA148" s="16"/>
      <c r="AB148" s="16"/>
      <c r="AC148" s="16"/>
      <c r="AD148" s="16"/>
      <c r="AE148" s="16"/>
      <c r="AF148" s="16"/>
      <c r="AG148" s="16"/>
      <c r="AH148" s="16"/>
      <c r="AI148" s="16"/>
      <c r="AJ148" s="16"/>
      <c r="AK148" s="16"/>
      <c r="AL148" s="16"/>
      <c r="AM148" s="16"/>
      <c r="AN148" s="16"/>
      <c r="AO148" s="16"/>
      <c r="AP148" s="16"/>
      <c r="AQ148" s="16"/>
      <c r="AR148" s="16"/>
      <c r="AS148" s="16"/>
      <c r="AT148" s="16"/>
      <c r="AU148" s="16"/>
      <c r="AV148" s="16"/>
      <c r="AW148" s="16"/>
      <c r="AX148" s="16"/>
      <c r="AY148" s="16"/>
      <c r="AZ148" s="16"/>
      <c r="BA148" s="16"/>
      <c r="BB148" s="16"/>
      <c r="BC148" s="16"/>
      <c r="BD148" s="16"/>
      <c r="BE148" s="16"/>
      <c r="BF148" s="16"/>
      <c r="BG148" s="16"/>
      <c r="BH148" s="16"/>
      <c r="BI148" s="16"/>
      <c r="BJ148" s="16"/>
      <c r="BK148" s="16"/>
      <c r="BL148" s="16"/>
      <c r="BM148" s="16"/>
      <c r="BN148" s="16"/>
      <c r="BO148" s="16"/>
      <c r="BP148" s="16"/>
      <c r="BQ148" s="16"/>
      <c r="BR148" s="16"/>
      <c r="BS148" s="16"/>
      <c r="BT148" s="16"/>
      <c r="BU148" s="16"/>
      <c r="BV148" s="16"/>
      <c r="BW148" s="16"/>
      <c r="BX148" s="16"/>
      <c r="BY148" s="16"/>
      <c r="BZ148" s="16"/>
      <c r="CA148" s="16"/>
      <c r="CB148" s="16"/>
      <c r="CC148" s="16"/>
      <c r="CD148" s="16"/>
      <c r="CE148" s="16"/>
      <c r="CF148" s="16"/>
      <c r="CG148" s="16"/>
      <c r="CH148" s="16"/>
      <c r="CI148" s="16"/>
      <c r="CJ148" s="16"/>
      <c r="CK148" s="16"/>
      <c r="CL148" s="16"/>
      <c r="CM148" s="16"/>
      <c r="CN148" s="16"/>
      <c r="CO148" s="16"/>
      <c r="CP148" s="16"/>
      <c r="CQ148" s="16"/>
      <c r="CR148" s="16"/>
      <c r="CS148" s="16"/>
      <c r="CT148" s="16"/>
      <c r="CU148" s="16"/>
      <c r="CV148" s="16"/>
      <c r="CW148" s="16"/>
      <c r="CX148" s="16"/>
      <c r="CY148" s="16"/>
      <c r="CZ148" s="16"/>
      <c r="DA148" s="16"/>
      <c r="DB148" s="16"/>
      <c r="DC148" s="16"/>
      <c r="DD148" s="16"/>
      <c r="DE148" s="16"/>
      <c r="DF148" s="16"/>
      <c r="DG148" s="16"/>
      <c r="DH148" s="16"/>
      <c r="DI148" s="16"/>
      <c r="DJ148" s="16"/>
      <c r="DK148" s="16"/>
      <c r="DL148" s="16"/>
      <c r="DM148" s="16"/>
      <c r="DN148" s="16"/>
      <c r="DO148" s="16"/>
      <c r="DP148" s="16"/>
      <c r="DQ148" s="16"/>
      <c r="DR148" s="16"/>
      <c r="DS148" s="16"/>
      <c r="DT148" s="16"/>
      <c r="DU148" s="16"/>
      <c r="DV148" s="16"/>
      <c r="DW148" s="16"/>
      <c r="DX148" s="16"/>
      <c r="DY148" s="16"/>
      <c r="DZ148" s="16"/>
      <c r="EA148" s="16"/>
      <c r="EB148" s="16"/>
      <c r="EC148" s="16"/>
      <c r="ED148" s="16"/>
      <c r="EE148" s="16"/>
      <c r="EF148" s="16"/>
      <c r="EG148" s="16"/>
      <c r="EH148" s="16"/>
      <c r="EI148" s="16"/>
      <c r="EJ148" s="16"/>
      <c r="EK148" s="16"/>
      <c r="EL148" s="16"/>
      <c r="EM148" s="16"/>
      <c r="EN148" s="16"/>
      <c r="EO148" s="16"/>
      <c r="EP148" s="16"/>
      <c r="EQ148" s="16"/>
      <c r="ER148" s="16"/>
      <c r="ES148" s="16"/>
      <c r="ET148" s="16"/>
      <c r="EU148" s="16"/>
      <c r="EV148" s="16"/>
      <c r="EW148" s="16"/>
      <c r="EX148" s="16"/>
      <c r="EY148" s="16"/>
      <c r="EZ148" s="16"/>
      <c r="FA148" s="16"/>
      <c r="FB148" s="16"/>
      <c r="FC148" s="16"/>
      <c r="FD148" s="16"/>
      <c r="FE148" s="16"/>
      <c r="FF148" s="16"/>
      <c r="FG148" s="16"/>
      <c r="FH148" s="16"/>
      <c r="FI148" s="16"/>
      <c r="FJ148" s="16"/>
      <c r="FK148" s="16"/>
      <c r="FL148" s="16"/>
      <c r="FM148" s="16"/>
      <c r="FN148" s="16"/>
      <c r="FO148" s="16"/>
      <c r="FP148" s="16"/>
      <c r="FQ148" s="16"/>
      <c r="FR148" s="16"/>
      <c r="FS148" s="16"/>
      <c r="FT148" s="16"/>
      <c r="FU148" s="16"/>
      <c r="FV148" s="16"/>
      <c r="FW148" s="16"/>
      <c r="FX148" s="16"/>
      <c r="FY148" s="16"/>
      <c r="FZ148" s="16"/>
      <c r="GA148" s="16"/>
      <c r="GB148" s="16"/>
      <c r="GC148" s="16"/>
      <c r="GD148" s="16"/>
      <c r="GE148" s="16"/>
      <c r="GF148" s="16"/>
      <c r="GG148" s="16"/>
      <c r="GH148" s="16"/>
      <c r="GI148" s="16"/>
      <c r="GJ148" s="16"/>
      <c r="GK148" s="16"/>
      <c r="GL148" s="16"/>
      <c r="GM148" s="16"/>
      <c r="GN148" s="16"/>
      <c r="GO148" s="16"/>
      <c r="GP148" s="16"/>
      <c r="GQ148" s="16"/>
      <c r="GR148" s="16"/>
      <c r="GS148" s="16"/>
      <c r="GT148" s="16"/>
      <c r="GU148" s="16"/>
      <c r="GV148" s="16"/>
      <c r="GW148" s="16"/>
      <c r="GX148" s="16"/>
      <c r="GY148" s="16"/>
      <c r="GZ148" s="16"/>
      <c r="HA148" s="16"/>
      <c r="HB148" s="16"/>
      <c r="HC148" s="16"/>
      <c r="HD148" s="16"/>
      <c r="HE148" s="16"/>
      <c r="HF148" s="16"/>
      <c r="HG148" s="16"/>
      <c r="HH148" s="16"/>
      <c r="HI148" s="16"/>
      <c r="HJ148" s="16"/>
      <c r="HK148" s="16"/>
      <c r="HL148" s="16"/>
      <c r="HM148" s="16"/>
      <c r="HN148" s="16"/>
      <c r="HO148" s="16"/>
      <c r="HP148" s="16"/>
      <c r="HQ148" s="16"/>
      <c r="HR148" s="16"/>
      <c r="HS148" s="16"/>
      <c r="HT148" s="16"/>
      <c r="HU148" s="16"/>
      <c r="HV148" s="16"/>
      <c r="HW148" s="16"/>
      <c r="HX148" s="16"/>
      <c r="HY148" s="16"/>
      <c r="HZ148" s="16"/>
      <c r="IA148" s="16"/>
      <c r="IB148" s="16"/>
      <c r="IC148" s="16"/>
      <c r="ID148" s="16"/>
      <c r="IE148" s="16"/>
      <c r="IF148" s="16"/>
      <c r="IG148" s="16"/>
      <c r="IH148" s="16"/>
      <c r="II148" s="16"/>
      <c r="IJ148" s="16"/>
      <c r="IK148" s="16"/>
      <c r="IL148" s="16"/>
      <c r="IM148" s="16"/>
      <c r="IN148" s="16"/>
      <c r="IO148" s="16"/>
      <c r="IP148" s="16"/>
      <c r="IQ148" s="16"/>
      <c r="IR148" s="16"/>
      <c r="IS148" s="16"/>
      <c r="IT148" s="16"/>
    </row>
    <row r="149" spans="1:254" ht="24">
      <c r="A149" s="412" t="s">
        <v>302</v>
      </c>
      <c r="B149" s="125" t="s">
        <v>571</v>
      </c>
      <c r="C149" s="90">
        <v>0</v>
      </c>
      <c r="D149" s="90">
        <v>0</v>
      </c>
      <c r="E149" s="90">
        <v>-5850000</v>
      </c>
      <c r="F149" s="90">
        <v>-5870000</v>
      </c>
      <c r="G149" s="90">
        <v>-5890000</v>
      </c>
      <c r="H149" s="91"/>
      <c r="I149" s="92"/>
      <c r="J149" s="85"/>
      <c r="K149" s="16"/>
      <c r="L149" s="16"/>
      <c r="M149" s="16"/>
      <c r="N149" s="16"/>
      <c r="O149" s="16"/>
      <c r="P149" s="16"/>
      <c r="Q149" s="16"/>
      <c r="R149" s="16"/>
      <c r="S149" s="16"/>
      <c r="T149" s="16"/>
      <c r="U149" s="16"/>
      <c r="V149" s="16"/>
      <c r="W149" s="16"/>
      <c r="X149" s="16"/>
      <c r="Y149" s="16"/>
      <c r="Z149" s="16"/>
      <c r="AA149" s="16"/>
      <c r="AB149" s="16"/>
      <c r="AC149" s="16"/>
      <c r="AD149" s="16"/>
      <c r="AE149" s="16"/>
      <c r="AF149" s="16"/>
      <c r="AG149" s="16"/>
      <c r="AH149" s="16"/>
      <c r="AI149" s="16"/>
      <c r="AJ149" s="16"/>
      <c r="AK149" s="16"/>
      <c r="AL149" s="16"/>
      <c r="AM149" s="16"/>
      <c r="AN149" s="16"/>
      <c r="AO149" s="16"/>
      <c r="AP149" s="16"/>
      <c r="AQ149" s="16"/>
      <c r="AR149" s="16"/>
      <c r="AS149" s="16"/>
      <c r="AT149" s="16"/>
      <c r="AU149" s="16"/>
      <c r="AV149" s="16"/>
      <c r="AW149" s="16"/>
      <c r="AX149" s="16"/>
      <c r="AY149" s="16"/>
      <c r="AZ149" s="16"/>
      <c r="BA149" s="16"/>
      <c r="BB149" s="16"/>
      <c r="BC149" s="16"/>
      <c r="BD149" s="16"/>
      <c r="BE149" s="16"/>
      <c r="BF149" s="16"/>
      <c r="BG149" s="16"/>
      <c r="BH149" s="16"/>
      <c r="BI149" s="16"/>
      <c r="BJ149" s="16"/>
      <c r="BK149" s="16"/>
      <c r="BL149" s="16"/>
      <c r="BM149" s="16"/>
      <c r="BN149" s="16"/>
      <c r="BO149" s="16"/>
      <c r="BP149" s="16"/>
      <c r="BQ149" s="16"/>
      <c r="BR149" s="16"/>
      <c r="BS149" s="16"/>
      <c r="BT149" s="16"/>
      <c r="BU149" s="16"/>
      <c r="BV149" s="16"/>
      <c r="BW149" s="16"/>
      <c r="BX149" s="16"/>
      <c r="BY149" s="16"/>
      <c r="BZ149" s="16"/>
      <c r="CA149" s="16"/>
      <c r="CB149" s="16"/>
      <c r="CC149" s="16"/>
      <c r="CD149" s="16"/>
      <c r="CE149" s="16"/>
      <c r="CF149" s="16"/>
      <c r="CG149" s="16"/>
      <c r="CH149" s="16"/>
      <c r="CI149" s="16"/>
      <c r="CJ149" s="16"/>
      <c r="CK149" s="16"/>
      <c r="CL149" s="16"/>
      <c r="CM149" s="16"/>
      <c r="CN149" s="16"/>
      <c r="CO149" s="16"/>
      <c r="CP149" s="16"/>
      <c r="CQ149" s="16"/>
      <c r="CR149" s="16"/>
      <c r="CS149" s="16"/>
      <c r="CT149" s="16"/>
      <c r="CU149" s="16"/>
      <c r="CV149" s="16"/>
      <c r="CW149" s="16"/>
      <c r="CX149" s="16"/>
      <c r="CY149" s="16"/>
      <c r="CZ149" s="16"/>
      <c r="DA149" s="16"/>
      <c r="DB149" s="16"/>
      <c r="DC149" s="16"/>
      <c r="DD149" s="16"/>
      <c r="DE149" s="16"/>
      <c r="DF149" s="16"/>
      <c r="DG149" s="16"/>
      <c r="DH149" s="16"/>
      <c r="DI149" s="16"/>
      <c r="DJ149" s="16"/>
      <c r="DK149" s="16"/>
      <c r="DL149" s="16"/>
      <c r="DM149" s="16"/>
      <c r="DN149" s="16"/>
      <c r="DO149" s="16"/>
      <c r="DP149" s="16"/>
      <c r="DQ149" s="16"/>
      <c r="DR149" s="16"/>
      <c r="DS149" s="16"/>
      <c r="DT149" s="16"/>
      <c r="DU149" s="16"/>
      <c r="DV149" s="16"/>
      <c r="DW149" s="16"/>
      <c r="DX149" s="16"/>
      <c r="DY149" s="16"/>
      <c r="DZ149" s="16"/>
      <c r="EA149" s="16"/>
      <c r="EB149" s="16"/>
      <c r="EC149" s="16"/>
      <c r="ED149" s="16"/>
      <c r="EE149" s="16"/>
      <c r="EF149" s="16"/>
      <c r="EG149" s="16"/>
      <c r="EH149" s="16"/>
      <c r="EI149" s="16"/>
      <c r="EJ149" s="16"/>
      <c r="EK149" s="16"/>
      <c r="EL149" s="16"/>
      <c r="EM149" s="16"/>
      <c r="EN149" s="16"/>
      <c r="EO149" s="16"/>
      <c r="EP149" s="16"/>
      <c r="EQ149" s="16"/>
      <c r="ER149" s="16"/>
      <c r="ES149" s="16"/>
      <c r="ET149" s="16"/>
      <c r="EU149" s="16"/>
      <c r="EV149" s="16"/>
      <c r="EW149" s="16"/>
      <c r="EX149" s="16"/>
      <c r="EY149" s="16"/>
      <c r="EZ149" s="16"/>
      <c r="FA149" s="16"/>
      <c r="FB149" s="16"/>
      <c r="FC149" s="16"/>
      <c r="FD149" s="16"/>
      <c r="FE149" s="16"/>
      <c r="FF149" s="16"/>
      <c r="FG149" s="16"/>
      <c r="FH149" s="16"/>
      <c r="FI149" s="16"/>
      <c r="FJ149" s="16"/>
      <c r="FK149" s="16"/>
      <c r="FL149" s="16"/>
      <c r="FM149" s="16"/>
      <c r="FN149" s="16"/>
      <c r="FO149" s="16"/>
      <c r="FP149" s="16"/>
      <c r="FQ149" s="16"/>
      <c r="FR149" s="16"/>
      <c r="FS149" s="16"/>
      <c r="FT149" s="16"/>
      <c r="FU149" s="16"/>
      <c r="FV149" s="16"/>
      <c r="FW149" s="16"/>
      <c r="FX149" s="16"/>
      <c r="FY149" s="16"/>
      <c r="FZ149" s="16"/>
      <c r="GA149" s="16"/>
      <c r="GB149" s="16"/>
      <c r="GC149" s="16"/>
      <c r="GD149" s="16"/>
      <c r="GE149" s="16"/>
      <c r="GF149" s="16"/>
      <c r="GG149" s="16"/>
      <c r="GH149" s="16"/>
      <c r="GI149" s="16"/>
      <c r="GJ149" s="16"/>
      <c r="GK149" s="16"/>
      <c r="GL149" s="16"/>
      <c r="GM149" s="16"/>
      <c r="GN149" s="16"/>
      <c r="GO149" s="16"/>
      <c r="GP149" s="16"/>
      <c r="GQ149" s="16"/>
      <c r="GR149" s="16"/>
      <c r="GS149" s="16"/>
      <c r="GT149" s="16"/>
      <c r="GU149" s="16"/>
      <c r="GV149" s="16"/>
      <c r="GW149" s="16"/>
      <c r="GX149" s="16"/>
      <c r="GY149" s="16"/>
      <c r="GZ149" s="16"/>
      <c r="HA149" s="16"/>
      <c r="HB149" s="16"/>
      <c r="HC149" s="16"/>
      <c r="HD149" s="16"/>
      <c r="HE149" s="16"/>
      <c r="HF149" s="16"/>
      <c r="HG149" s="16"/>
      <c r="HH149" s="16"/>
      <c r="HI149" s="16"/>
      <c r="HJ149" s="16"/>
      <c r="HK149" s="16"/>
      <c r="HL149" s="16"/>
      <c r="HM149" s="16"/>
      <c r="HN149" s="16"/>
      <c r="HO149" s="16"/>
      <c r="HP149" s="16"/>
      <c r="HQ149" s="16"/>
      <c r="HR149" s="16"/>
      <c r="HS149" s="16"/>
      <c r="HT149" s="16"/>
      <c r="HU149" s="16"/>
      <c r="HV149" s="16"/>
      <c r="HW149" s="16"/>
      <c r="HX149" s="16"/>
      <c r="HY149" s="16"/>
      <c r="HZ149" s="16"/>
      <c r="IA149" s="16"/>
      <c r="IB149" s="16"/>
      <c r="IC149" s="16"/>
      <c r="ID149" s="16"/>
      <c r="IE149" s="16"/>
      <c r="IF149" s="16"/>
      <c r="IG149" s="16"/>
      <c r="IH149" s="16"/>
      <c r="II149" s="16"/>
      <c r="IJ149" s="16"/>
      <c r="IK149" s="16"/>
      <c r="IL149" s="16"/>
      <c r="IM149" s="16"/>
      <c r="IN149" s="16"/>
      <c r="IO149" s="16"/>
      <c r="IP149" s="16"/>
      <c r="IQ149" s="16"/>
      <c r="IR149" s="16"/>
      <c r="IS149" s="16"/>
      <c r="IT149" s="16"/>
    </row>
    <row r="150" spans="1:254" ht="12.75" customHeight="1">
      <c r="A150" s="99"/>
      <c r="B150" s="136"/>
      <c r="C150" s="101"/>
      <c r="D150" s="54"/>
      <c r="E150" s="54"/>
      <c r="F150" s="54"/>
      <c r="G150" s="54"/>
      <c r="H150" s="102"/>
      <c r="I150" s="103"/>
      <c r="J150" s="87"/>
      <c r="K150" s="16"/>
      <c r="L150" s="16"/>
      <c r="M150" s="16"/>
      <c r="N150" s="16"/>
      <c r="O150" s="16"/>
      <c r="P150" s="16"/>
      <c r="Q150" s="16"/>
      <c r="R150" s="16"/>
      <c r="S150" s="16"/>
      <c r="T150" s="16"/>
      <c r="U150" s="16"/>
      <c r="V150" s="16"/>
      <c r="W150" s="16"/>
      <c r="X150" s="16"/>
      <c r="Y150" s="16"/>
      <c r="Z150" s="16"/>
      <c r="AA150" s="16"/>
      <c r="AB150" s="16"/>
      <c r="AC150" s="16"/>
      <c r="AD150" s="16"/>
      <c r="AE150" s="16"/>
      <c r="AF150" s="16"/>
      <c r="AG150" s="16"/>
      <c r="AH150" s="16"/>
      <c r="AI150" s="16"/>
      <c r="AJ150" s="16"/>
      <c r="AK150" s="16"/>
      <c r="AL150" s="16"/>
      <c r="AM150" s="16"/>
      <c r="AN150" s="16"/>
      <c r="AO150" s="16"/>
      <c r="AP150" s="16"/>
      <c r="AQ150" s="16"/>
      <c r="AR150" s="16"/>
      <c r="AS150" s="16"/>
      <c r="AT150" s="16"/>
      <c r="AU150" s="16"/>
      <c r="AV150" s="16"/>
      <c r="AW150" s="16"/>
      <c r="AX150" s="16"/>
      <c r="AY150" s="16"/>
      <c r="AZ150" s="16"/>
      <c r="BA150" s="16"/>
      <c r="BB150" s="16"/>
      <c r="BC150" s="16"/>
      <c r="BD150" s="16"/>
      <c r="BE150" s="16"/>
      <c r="BF150" s="16"/>
      <c r="BG150" s="16"/>
      <c r="BH150" s="16"/>
      <c r="BI150" s="16"/>
      <c r="BJ150" s="16"/>
      <c r="BK150" s="16"/>
      <c r="BL150" s="16"/>
      <c r="BM150" s="16"/>
      <c r="BN150" s="16"/>
      <c r="BO150" s="16"/>
      <c r="BP150" s="16"/>
      <c r="BQ150" s="16"/>
      <c r="BR150" s="16"/>
      <c r="BS150" s="16"/>
      <c r="BT150" s="16"/>
      <c r="BU150" s="16"/>
      <c r="BV150" s="16"/>
      <c r="BW150" s="16"/>
      <c r="BX150" s="16"/>
      <c r="BY150" s="16"/>
      <c r="BZ150" s="16"/>
      <c r="CA150" s="16"/>
      <c r="CB150" s="16"/>
      <c r="CC150" s="16"/>
      <c r="CD150" s="16"/>
      <c r="CE150" s="16"/>
      <c r="CF150" s="16"/>
      <c r="CG150" s="16"/>
      <c r="CH150" s="16"/>
      <c r="CI150" s="16"/>
      <c r="CJ150" s="16"/>
      <c r="CK150" s="16"/>
      <c r="CL150" s="16"/>
      <c r="CM150" s="16"/>
      <c r="CN150" s="16"/>
      <c r="CO150" s="16"/>
      <c r="CP150" s="16"/>
      <c r="CQ150" s="16"/>
      <c r="CR150" s="16"/>
      <c r="CS150" s="16"/>
      <c r="CT150" s="16"/>
      <c r="CU150" s="16"/>
      <c r="CV150" s="16"/>
      <c r="CW150" s="16"/>
      <c r="CX150" s="16"/>
      <c r="CY150" s="16"/>
      <c r="CZ150" s="16"/>
      <c r="DA150" s="16"/>
      <c r="DB150" s="16"/>
      <c r="DC150" s="16"/>
      <c r="DD150" s="16"/>
      <c r="DE150" s="16"/>
      <c r="DF150" s="16"/>
      <c r="DG150" s="16"/>
      <c r="DH150" s="16"/>
      <c r="DI150" s="16"/>
      <c r="DJ150" s="16"/>
      <c r="DK150" s="16"/>
      <c r="DL150" s="16"/>
      <c r="DM150" s="16"/>
      <c r="DN150" s="16"/>
      <c r="DO150" s="16"/>
      <c r="DP150" s="16"/>
      <c r="DQ150" s="16"/>
      <c r="DR150" s="16"/>
      <c r="DS150" s="16"/>
      <c r="DT150" s="16"/>
      <c r="DU150" s="16"/>
      <c r="DV150" s="16"/>
      <c r="DW150" s="16"/>
      <c r="DX150" s="16"/>
      <c r="DY150" s="16"/>
      <c r="DZ150" s="16"/>
      <c r="EA150" s="16"/>
      <c r="EB150" s="16"/>
      <c r="EC150" s="16"/>
      <c r="ED150" s="16"/>
      <c r="EE150" s="16"/>
      <c r="EF150" s="16"/>
      <c r="EG150" s="16"/>
      <c r="EH150" s="16"/>
      <c r="EI150" s="16"/>
      <c r="EJ150" s="16"/>
      <c r="EK150" s="16"/>
      <c r="EL150" s="16"/>
      <c r="EM150" s="16"/>
      <c r="EN150" s="16"/>
      <c r="EO150" s="16"/>
      <c r="EP150" s="16"/>
      <c r="EQ150" s="16"/>
      <c r="ER150" s="16"/>
      <c r="ES150" s="16"/>
      <c r="ET150" s="16"/>
      <c r="EU150" s="16"/>
      <c r="EV150" s="16"/>
      <c r="EW150" s="16"/>
      <c r="EX150" s="16"/>
      <c r="EY150" s="16"/>
      <c r="EZ150" s="16"/>
      <c r="FA150" s="16"/>
      <c r="FB150" s="16"/>
      <c r="FC150" s="16"/>
      <c r="FD150" s="16"/>
      <c r="FE150" s="16"/>
      <c r="FF150" s="16"/>
      <c r="FG150" s="16"/>
      <c r="FH150" s="16"/>
      <c r="FI150" s="16"/>
      <c r="FJ150" s="16"/>
      <c r="FK150" s="16"/>
      <c r="FL150" s="16"/>
      <c r="FM150" s="16"/>
      <c r="FN150" s="16"/>
      <c r="FO150" s="16"/>
      <c r="FP150" s="16"/>
      <c r="FQ150" s="16"/>
      <c r="FR150" s="16"/>
      <c r="FS150" s="16"/>
      <c r="FT150" s="16"/>
      <c r="FU150" s="16"/>
      <c r="FV150" s="16"/>
      <c r="FW150" s="16"/>
      <c r="FX150" s="16"/>
      <c r="FY150" s="16"/>
      <c r="FZ150" s="16"/>
      <c r="GA150" s="16"/>
      <c r="GB150" s="16"/>
      <c r="GC150" s="16"/>
      <c r="GD150" s="16"/>
      <c r="GE150" s="16"/>
      <c r="GF150" s="16"/>
      <c r="GG150" s="16"/>
      <c r="GH150" s="16"/>
      <c r="GI150" s="16"/>
      <c r="GJ150" s="16"/>
      <c r="GK150" s="16"/>
      <c r="GL150" s="16"/>
      <c r="GM150" s="16"/>
      <c r="GN150" s="16"/>
      <c r="GO150" s="16"/>
      <c r="GP150" s="16"/>
      <c r="GQ150" s="16"/>
      <c r="GR150" s="16"/>
      <c r="GS150" s="16"/>
      <c r="GT150" s="16"/>
      <c r="GU150" s="16"/>
      <c r="GV150" s="16"/>
      <c r="GW150" s="16"/>
      <c r="GX150" s="16"/>
      <c r="GY150" s="16"/>
      <c r="GZ150" s="16"/>
      <c r="HA150" s="16"/>
      <c r="HB150" s="16"/>
      <c r="HC150" s="16"/>
      <c r="HD150" s="16"/>
      <c r="HE150" s="16"/>
      <c r="HF150" s="16"/>
      <c r="HG150" s="16"/>
      <c r="HH150" s="16"/>
      <c r="HI150" s="16"/>
      <c r="HJ150" s="16"/>
      <c r="HK150" s="16"/>
      <c r="HL150" s="16"/>
      <c r="HM150" s="16"/>
      <c r="HN150" s="16"/>
      <c r="HO150" s="16"/>
      <c r="HP150" s="16"/>
      <c r="HQ150" s="16"/>
      <c r="HR150" s="16"/>
      <c r="HS150" s="16"/>
      <c r="HT150" s="16"/>
      <c r="HU150" s="16"/>
      <c r="HV150" s="16"/>
      <c r="HW150" s="16"/>
      <c r="HX150" s="16"/>
      <c r="HY150" s="16"/>
      <c r="HZ150" s="16"/>
      <c r="IA150" s="16"/>
      <c r="IB150" s="16"/>
      <c r="IC150" s="16"/>
      <c r="ID150" s="16"/>
      <c r="IE150" s="16"/>
      <c r="IF150" s="16"/>
      <c r="IG150" s="16"/>
      <c r="IH150" s="16"/>
      <c r="II150" s="16"/>
      <c r="IJ150" s="16"/>
      <c r="IK150" s="16"/>
      <c r="IL150" s="16"/>
      <c r="IM150" s="16"/>
      <c r="IN150" s="16"/>
      <c r="IO150" s="16"/>
      <c r="IP150" s="16"/>
      <c r="IQ150" s="16"/>
      <c r="IR150" s="16"/>
      <c r="IS150" s="16"/>
      <c r="IT150" s="16"/>
    </row>
    <row r="151" spans="1:254" ht="12.75" customHeight="1">
      <c r="A151" s="88"/>
      <c r="B151" s="125"/>
      <c r="C151" s="90"/>
      <c r="D151" s="47"/>
      <c r="E151" s="47"/>
      <c r="F151" s="47"/>
      <c r="G151" s="47"/>
      <c r="H151" s="91"/>
      <c r="I151" s="92"/>
      <c r="J151" s="85"/>
      <c r="K151" s="16"/>
      <c r="L151" s="16"/>
      <c r="M151" s="16"/>
      <c r="N151" s="16"/>
      <c r="O151" s="16"/>
      <c r="P151" s="16"/>
      <c r="Q151" s="16"/>
      <c r="R151" s="16"/>
      <c r="S151" s="16"/>
      <c r="T151" s="16"/>
      <c r="U151" s="16"/>
      <c r="V151" s="16"/>
      <c r="W151" s="16"/>
      <c r="X151" s="16"/>
      <c r="Y151" s="16"/>
      <c r="Z151" s="16"/>
      <c r="AA151" s="16"/>
      <c r="AB151" s="16"/>
      <c r="AC151" s="16"/>
      <c r="AD151" s="16"/>
      <c r="AE151" s="16"/>
      <c r="AF151" s="16"/>
      <c r="AG151" s="16"/>
      <c r="AH151" s="16"/>
      <c r="AI151" s="16"/>
      <c r="AJ151" s="16"/>
      <c r="AK151" s="16"/>
      <c r="AL151" s="16"/>
      <c r="AM151" s="16"/>
      <c r="AN151" s="16"/>
      <c r="AO151" s="16"/>
      <c r="AP151" s="16"/>
      <c r="AQ151" s="16"/>
      <c r="AR151" s="16"/>
      <c r="AS151" s="16"/>
      <c r="AT151" s="16"/>
      <c r="AU151" s="16"/>
      <c r="AV151" s="16"/>
      <c r="AW151" s="16"/>
      <c r="AX151" s="16"/>
      <c r="AY151" s="16"/>
      <c r="AZ151" s="16"/>
      <c r="BA151" s="16"/>
      <c r="BB151" s="16"/>
      <c r="BC151" s="16"/>
      <c r="BD151" s="16"/>
      <c r="BE151" s="16"/>
      <c r="BF151" s="16"/>
      <c r="BG151" s="16"/>
      <c r="BH151" s="16"/>
      <c r="BI151" s="16"/>
      <c r="BJ151" s="16"/>
      <c r="BK151" s="16"/>
      <c r="BL151" s="16"/>
      <c r="BM151" s="16"/>
      <c r="BN151" s="16"/>
      <c r="BO151" s="16"/>
      <c r="BP151" s="16"/>
      <c r="BQ151" s="16"/>
      <c r="BR151" s="16"/>
      <c r="BS151" s="16"/>
      <c r="BT151" s="16"/>
      <c r="BU151" s="16"/>
      <c r="BV151" s="16"/>
      <c r="BW151" s="16"/>
      <c r="BX151" s="16"/>
      <c r="BY151" s="16"/>
      <c r="BZ151" s="16"/>
      <c r="CA151" s="16"/>
      <c r="CB151" s="16"/>
      <c r="CC151" s="16"/>
      <c r="CD151" s="16"/>
      <c r="CE151" s="16"/>
      <c r="CF151" s="16"/>
      <c r="CG151" s="16"/>
      <c r="CH151" s="16"/>
      <c r="CI151" s="16"/>
      <c r="CJ151" s="16"/>
      <c r="CK151" s="16"/>
      <c r="CL151" s="16"/>
      <c r="CM151" s="16"/>
      <c r="CN151" s="16"/>
      <c r="CO151" s="16"/>
      <c r="CP151" s="16"/>
      <c r="CQ151" s="16"/>
      <c r="CR151" s="16"/>
      <c r="CS151" s="16"/>
      <c r="CT151" s="16"/>
      <c r="CU151" s="16"/>
      <c r="CV151" s="16"/>
      <c r="CW151" s="16"/>
      <c r="CX151" s="16"/>
      <c r="CY151" s="16"/>
      <c r="CZ151" s="16"/>
      <c r="DA151" s="16"/>
      <c r="DB151" s="16"/>
      <c r="DC151" s="16"/>
      <c r="DD151" s="16"/>
      <c r="DE151" s="16"/>
      <c r="DF151" s="16"/>
      <c r="DG151" s="16"/>
      <c r="DH151" s="16"/>
      <c r="DI151" s="16"/>
      <c r="DJ151" s="16"/>
      <c r="DK151" s="16"/>
      <c r="DL151" s="16"/>
      <c r="DM151" s="16"/>
      <c r="DN151" s="16"/>
      <c r="DO151" s="16"/>
      <c r="DP151" s="16"/>
      <c r="DQ151" s="16"/>
      <c r="DR151" s="16"/>
      <c r="DS151" s="16"/>
      <c r="DT151" s="16"/>
      <c r="DU151" s="16"/>
      <c r="DV151" s="16"/>
      <c r="DW151" s="16"/>
      <c r="DX151" s="16"/>
      <c r="DY151" s="16"/>
      <c r="DZ151" s="16"/>
      <c r="EA151" s="16"/>
      <c r="EB151" s="16"/>
      <c r="EC151" s="16"/>
      <c r="ED151" s="16"/>
      <c r="EE151" s="16"/>
      <c r="EF151" s="16"/>
      <c r="EG151" s="16"/>
      <c r="EH151" s="16"/>
      <c r="EI151" s="16"/>
      <c r="EJ151" s="16"/>
      <c r="EK151" s="16"/>
      <c r="EL151" s="16"/>
      <c r="EM151" s="16"/>
      <c r="EN151" s="16"/>
      <c r="EO151" s="16"/>
      <c r="EP151" s="16"/>
      <c r="EQ151" s="16"/>
      <c r="ER151" s="16"/>
      <c r="ES151" s="16"/>
      <c r="ET151" s="16"/>
      <c r="EU151" s="16"/>
      <c r="EV151" s="16"/>
      <c r="EW151" s="16"/>
      <c r="EX151" s="16"/>
      <c r="EY151" s="16"/>
      <c r="EZ151" s="16"/>
      <c r="FA151" s="16"/>
      <c r="FB151" s="16"/>
      <c r="FC151" s="16"/>
      <c r="FD151" s="16"/>
      <c r="FE151" s="16"/>
      <c r="FF151" s="16"/>
      <c r="FG151" s="16"/>
      <c r="FH151" s="16"/>
      <c r="FI151" s="16"/>
      <c r="FJ151" s="16"/>
      <c r="FK151" s="16"/>
      <c r="FL151" s="16"/>
      <c r="FM151" s="16"/>
      <c r="FN151" s="16"/>
      <c r="FO151" s="16"/>
      <c r="FP151" s="16"/>
      <c r="FQ151" s="16"/>
      <c r="FR151" s="16"/>
      <c r="FS151" s="16"/>
      <c r="FT151" s="16"/>
      <c r="FU151" s="16"/>
      <c r="FV151" s="16"/>
      <c r="FW151" s="16"/>
      <c r="FX151" s="16"/>
      <c r="FY151" s="16"/>
      <c r="FZ151" s="16"/>
      <c r="GA151" s="16"/>
      <c r="GB151" s="16"/>
      <c r="GC151" s="16"/>
      <c r="GD151" s="16"/>
      <c r="GE151" s="16"/>
      <c r="GF151" s="16"/>
      <c r="GG151" s="16"/>
      <c r="GH151" s="16"/>
      <c r="GI151" s="16"/>
      <c r="GJ151" s="16"/>
      <c r="GK151" s="16"/>
      <c r="GL151" s="16"/>
      <c r="GM151" s="16"/>
      <c r="GN151" s="16"/>
      <c r="GO151" s="16"/>
      <c r="GP151" s="16"/>
      <c r="GQ151" s="16"/>
      <c r="GR151" s="16"/>
      <c r="GS151" s="16"/>
      <c r="GT151" s="16"/>
      <c r="GU151" s="16"/>
      <c r="GV151" s="16"/>
      <c r="GW151" s="16"/>
      <c r="GX151" s="16"/>
      <c r="GY151" s="16"/>
      <c r="GZ151" s="16"/>
      <c r="HA151" s="16"/>
      <c r="HB151" s="16"/>
      <c r="HC151" s="16"/>
      <c r="HD151" s="16"/>
      <c r="HE151" s="16"/>
      <c r="HF151" s="16"/>
      <c r="HG151" s="16"/>
      <c r="HH151" s="16"/>
      <c r="HI151" s="16"/>
      <c r="HJ151" s="16"/>
      <c r="HK151" s="16"/>
      <c r="HL151" s="16"/>
      <c r="HM151" s="16"/>
      <c r="HN151" s="16"/>
      <c r="HO151" s="16"/>
      <c r="HP151" s="16"/>
      <c r="HQ151" s="16"/>
      <c r="HR151" s="16"/>
      <c r="HS151" s="16"/>
      <c r="HT151" s="16"/>
      <c r="HU151" s="16"/>
      <c r="HV151" s="16"/>
      <c r="HW151" s="16"/>
      <c r="HX151" s="16"/>
      <c r="HY151" s="16"/>
      <c r="HZ151" s="16"/>
      <c r="IA151" s="16"/>
      <c r="IB151" s="16"/>
      <c r="IC151" s="16"/>
      <c r="ID151" s="16"/>
      <c r="IE151" s="16"/>
      <c r="IF151" s="16"/>
      <c r="IG151" s="16"/>
      <c r="IH151" s="16"/>
      <c r="II151" s="16"/>
      <c r="IJ151" s="16"/>
      <c r="IK151" s="16"/>
      <c r="IL151" s="16"/>
      <c r="IM151" s="16"/>
      <c r="IN151" s="16"/>
      <c r="IO151" s="16"/>
      <c r="IP151" s="16"/>
      <c r="IQ151" s="16"/>
      <c r="IR151" s="16"/>
      <c r="IS151" s="16"/>
      <c r="IT151" s="16"/>
    </row>
    <row r="152" spans="1:254" ht="12.75" customHeight="1">
      <c r="A152" s="99"/>
      <c r="B152" s="411" t="s">
        <v>578</v>
      </c>
      <c r="C152" s="101"/>
      <c r="D152" s="54">
        <v>-5800000</v>
      </c>
      <c r="E152" s="54"/>
      <c r="F152" s="54"/>
      <c r="G152" s="54"/>
      <c r="H152" s="102"/>
      <c r="I152" s="103"/>
      <c r="J152" s="87"/>
      <c r="K152" s="16"/>
      <c r="L152" s="16"/>
      <c r="M152" s="16"/>
      <c r="N152" s="16"/>
      <c r="O152" s="16"/>
      <c r="P152" s="16"/>
      <c r="Q152" s="16"/>
      <c r="R152" s="16"/>
      <c r="S152" s="16"/>
      <c r="T152" s="16"/>
      <c r="U152" s="16"/>
      <c r="V152" s="16"/>
      <c r="W152" s="16"/>
      <c r="X152" s="16"/>
      <c r="Y152" s="16"/>
      <c r="Z152" s="16"/>
      <c r="AA152" s="16"/>
      <c r="AB152" s="16"/>
      <c r="AC152" s="16"/>
      <c r="AD152" s="16"/>
      <c r="AE152" s="16"/>
      <c r="AF152" s="16"/>
      <c r="AG152" s="16"/>
      <c r="AH152" s="16"/>
      <c r="AI152" s="16"/>
      <c r="AJ152" s="16"/>
      <c r="AK152" s="16"/>
      <c r="AL152" s="16"/>
      <c r="AM152" s="16"/>
      <c r="AN152" s="16"/>
      <c r="AO152" s="16"/>
      <c r="AP152" s="16"/>
      <c r="AQ152" s="16"/>
      <c r="AR152" s="16"/>
      <c r="AS152" s="16"/>
      <c r="AT152" s="16"/>
      <c r="AU152" s="16"/>
      <c r="AV152" s="16"/>
      <c r="AW152" s="16"/>
      <c r="AX152" s="16"/>
      <c r="AY152" s="16"/>
      <c r="AZ152" s="16"/>
      <c r="BA152" s="16"/>
      <c r="BB152" s="16"/>
      <c r="BC152" s="16"/>
      <c r="BD152" s="16"/>
      <c r="BE152" s="16"/>
      <c r="BF152" s="16"/>
      <c r="BG152" s="16"/>
      <c r="BH152" s="16"/>
      <c r="BI152" s="16"/>
      <c r="BJ152" s="16"/>
      <c r="BK152" s="16"/>
      <c r="BL152" s="16"/>
      <c r="BM152" s="16"/>
      <c r="BN152" s="16"/>
      <c r="BO152" s="16"/>
      <c r="BP152" s="16"/>
      <c r="BQ152" s="16"/>
      <c r="BR152" s="16"/>
      <c r="BS152" s="16"/>
      <c r="BT152" s="16"/>
      <c r="BU152" s="16"/>
      <c r="BV152" s="16"/>
      <c r="BW152" s="16"/>
      <c r="BX152" s="16"/>
      <c r="BY152" s="16"/>
      <c r="BZ152" s="16"/>
      <c r="CA152" s="16"/>
      <c r="CB152" s="16"/>
      <c r="CC152" s="16"/>
      <c r="CD152" s="16"/>
      <c r="CE152" s="16"/>
      <c r="CF152" s="16"/>
      <c r="CG152" s="16"/>
      <c r="CH152" s="16"/>
      <c r="CI152" s="16"/>
      <c r="CJ152" s="16"/>
      <c r="CK152" s="16"/>
      <c r="CL152" s="16"/>
      <c r="CM152" s="16"/>
      <c r="CN152" s="16"/>
      <c r="CO152" s="16"/>
      <c r="CP152" s="16"/>
      <c r="CQ152" s="16"/>
      <c r="CR152" s="16"/>
      <c r="CS152" s="16"/>
      <c r="CT152" s="16"/>
      <c r="CU152" s="16"/>
      <c r="CV152" s="16"/>
      <c r="CW152" s="16"/>
      <c r="CX152" s="16"/>
      <c r="CY152" s="16"/>
      <c r="CZ152" s="16"/>
      <c r="DA152" s="16"/>
      <c r="DB152" s="16"/>
      <c r="DC152" s="16"/>
      <c r="DD152" s="16"/>
      <c r="DE152" s="16"/>
      <c r="DF152" s="16"/>
      <c r="DG152" s="16"/>
      <c r="DH152" s="16"/>
      <c r="DI152" s="16"/>
      <c r="DJ152" s="16"/>
      <c r="DK152" s="16"/>
      <c r="DL152" s="16"/>
      <c r="DM152" s="16"/>
      <c r="DN152" s="16"/>
      <c r="DO152" s="16"/>
      <c r="DP152" s="16"/>
      <c r="DQ152" s="16"/>
      <c r="DR152" s="16"/>
      <c r="DS152" s="16"/>
      <c r="DT152" s="16"/>
      <c r="DU152" s="16"/>
      <c r="DV152" s="16"/>
      <c r="DW152" s="16"/>
      <c r="DX152" s="16"/>
      <c r="DY152" s="16"/>
      <c r="DZ152" s="16"/>
      <c r="EA152" s="16"/>
      <c r="EB152" s="16"/>
      <c r="EC152" s="16"/>
      <c r="ED152" s="16"/>
      <c r="EE152" s="16"/>
      <c r="EF152" s="16"/>
      <c r="EG152" s="16"/>
      <c r="EH152" s="16"/>
      <c r="EI152" s="16"/>
      <c r="EJ152" s="16"/>
      <c r="EK152" s="16"/>
      <c r="EL152" s="16"/>
      <c r="EM152" s="16"/>
      <c r="EN152" s="16"/>
      <c r="EO152" s="16"/>
      <c r="EP152" s="16"/>
      <c r="EQ152" s="16"/>
      <c r="ER152" s="16"/>
      <c r="ES152" s="16"/>
      <c r="ET152" s="16"/>
      <c r="EU152" s="16"/>
      <c r="EV152" s="16"/>
      <c r="EW152" s="16"/>
      <c r="EX152" s="16"/>
      <c r="EY152" s="16"/>
      <c r="EZ152" s="16"/>
      <c r="FA152" s="16"/>
      <c r="FB152" s="16"/>
      <c r="FC152" s="16"/>
      <c r="FD152" s="16"/>
      <c r="FE152" s="16"/>
      <c r="FF152" s="16"/>
      <c r="FG152" s="16"/>
      <c r="FH152" s="16"/>
      <c r="FI152" s="16"/>
      <c r="FJ152" s="16"/>
      <c r="FK152" s="16"/>
      <c r="FL152" s="16"/>
      <c r="FM152" s="16"/>
      <c r="FN152" s="16"/>
      <c r="FO152" s="16"/>
      <c r="FP152" s="16"/>
      <c r="FQ152" s="16"/>
      <c r="FR152" s="16"/>
      <c r="FS152" s="16"/>
      <c r="FT152" s="16"/>
      <c r="FU152" s="16"/>
      <c r="FV152" s="16"/>
      <c r="FW152" s="16"/>
      <c r="FX152" s="16"/>
      <c r="FY152" s="16"/>
      <c r="FZ152" s="16"/>
      <c r="GA152" s="16"/>
      <c r="GB152" s="16"/>
      <c r="GC152" s="16"/>
      <c r="GD152" s="16"/>
      <c r="GE152" s="16"/>
      <c r="GF152" s="16"/>
      <c r="GG152" s="16"/>
      <c r="GH152" s="16"/>
      <c r="GI152" s="16"/>
      <c r="GJ152" s="16"/>
      <c r="GK152" s="16"/>
      <c r="GL152" s="16"/>
      <c r="GM152" s="16"/>
      <c r="GN152" s="16"/>
      <c r="GO152" s="16"/>
      <c r="GP152" s="16"/>
      <c r="GQ152" s="16"/>
      <c r="GR152" s="16"/>
      <c r="GS152" s="16"/>
      <c r="GT152" s="16"/>
      <c r="GU152" s="16"/>
      <c r="GV152" s="16"/>
      <c r="GW152" s="16"/>
      <c r="GX152" s="16"/>
      <c r="GY152" s="16"/>
      <c r="GZ152" s="16"/>
      <c r="HA152" s="16"/>
      <c r="HB152" s="16"/>
      <c r="HC152" s="16"/>
      <c r="HD152" s="16"/>
      <c r="HE152" s="16"/>
      <c r="HF152" s="16"/>
      <c r="HG152" s="16"/>
      <c r="HH152" s="16"/>
      <c r="HI152" s="16"/>
      <c r="HJ152" s="16"/>
      <c r="HK152" s="16"/>
      <c r="HL152" s="16"/>
      <c r="HM152" s="16"/>
      <c r="HN152" s="16"/>
      <c r="HO152" s="16"/>
      <c r="HP152" s="16"/>
      <c r="HQ152" s="16"/>
      <c r="HR152" s="16"/>
      <c r="HS152" s="16"/>
      <c r="HT152" s="16"/>
      <c r="HU152" s="16"/>
      <c r="HV152" s="16"/>
      <c r="HW152" s="16"/>
      <c r="HX152" s="16"/>
      <c r="HY152" s="16"/>
      <c r="HZ152" s="16"/>
      <c r="IA152" s="16"/>
      <c r="IB152" s="16"/>
      <c r="IC152" s="16"/>
      <c r="ID152" s="16"/>
      <c r="IE152" s="16"/>
      <c r="IF152" s="16"/>
      <c r="IG152" s="16"/>
      <c r="IH152" s="16"/>
      <c r="II152" s="16"/>
      <c r="IJ152" s="16"/>
      <c r="IK152" s="16"/>
      <c r="IL152" s="16"/>
      <c r="IM152" s="16"/>
      <c r="IN152" s="16"/>
      <c r="IO152" s="16"/>
      <c r="IP152" s="16"/>
      <c r="IQ152" s="16"/>
      <c r="IR152" s="16"/>
      <c r="IS152" s="16"/>
      <c r="IT152" s="16"/>
    </row>
    <row r="153" spans="1:254">
      <c r="A153" s="88"/>
      <c r="B153" s="125"/>
      <c r="C153" s="90"/>
      <c r="D153" s="47"/>
      <c r="E153" s="47"/>
      <c r="F153" s="47"/>
      <c r="G153" s="47"/>
      <c r="H153" s="91"/>
      <c r="I153" s="92"/>
      <c r="J153" s="85"/>
      <c r="K153" s="16"/>
      <c r="L153" s="16"/>
      <c r="M153" s="16"/>
      <c r="N153" s="16"/>
      <c r="O153" s="16"/>
      <c r="P153" s="16"/>
      <c r="Q153" s="16"/>
      <c r="R153" s="16"/>
      <c r="S153" s="16"/>
      <c r="T153" s="16"/>
      <c r="U153" s="16"/>
      <c r="V153" s="16"/>
      <c r="W153" s="16"/>
      <c r="X153" s="16"/>
      <c r="Y153" s="16"/>
      <c r="Z153" s="16"/>
      <c r="AA153" s="16"/>
      <c r="AB153" s="16"/>
      <c r="AC153" s="16"/>
      <c r="AD153" s="16"/>
      <c r="AE153" s="16"/>
      <c r="AF153" s="16"/>
      <c r="AG153" s="16"/>
      <c r="AH153" s="16"/>
      <c r="AI153" s="16"/>
      <c r="AJ153" s="16"/>
      <c r="AK153" s="16"/>
      <c r="AL153" s="16"/>
      <c r="AM153" s="16"/>
      <c r="AN153" s="16"/>
      <c r="AO153" s="16"/>
      <c r="AP153" s="16"/>
      <c r="AQ153" s="16"/>
      <c r="AR153" s="16"/>
      <c r="AS153" s="16"/>
      <c r="AT153" s="16"/>
      <c r="AU153" s="16"/>
      <c r="AV153" s="16"/>
      <c r="AW153" s="16"/>
      <c r="AX153" s="16"/>
      <c r="AY153" s="16"/>
      <c r="AZ153" s="16"/>
      <c r="BA153" s="16"/>
      <c r="BB153" s="16"/>
      <c r="BC153" s="16"/>
      <c r="BD153" s="16"/>
      <c r="BE153" s="16"/>
      <c r="BF153" s="16"/>
      <c r="BG153" s="16"/>
      <c r="BH153" s="16"/>
      <c r="BI153" s="16"/>
      <c r="BJ153" s="16"/>
      <c r="BK153" s="16"/>
      <c r="BL153" s="16"/>
      <c r="BM153" s="16"/>
      <c r="BN153" s="16"/>
      <c r="BO153" s="16"/>
      <c r="BP153" s="16"/>
      <c r="BQ153" s="16"/>
      <c r="BR153" s="16"/>
      <c r="BS153" s="16"/>
      <c r="BT153" s="16"/>
      <c r="BU153" s="16"/>
      <c r="BV153" s="16"/>
      <c r="BW153" s="16"/>
      <c r="BX153" s="16"/>
      <c r="BY153" s="16"/>
      <c r="BZ153" s="16"/>
      <c r="CA153" s="16"/>
      <c r="CB153" s="16"/>
      <c r="CC153" s="16"/>
      <c r="CD153" s="16"/>
      <c r="CE153" s="16"/>
      <c r="CF153" s="16"/>
      <c r="CG153" s="16"/>
      <c r="CH153" s="16"/>
      <c r="CI153" s="16"/>
      <c r="CJ153" s="16"/>
      <c r="CK153" s="16"/>
      <c r="CL153" s="16"/>
      <c r="CM153" s="16"/>
      <c r="CN153" s="16"/>
      <c r="CO153" s="16"/>
      <c r="CP153" s="16"/>
      <c r="CQ153" s="16"/>
      <c r="CR153" s="16"/>
      <c r="CS153" s="16"/>
      <c r="CT153" s="16"/>
      <c r="CU153" s="16"/>
      <c r="CV153" s="16"/>
      <c r="CW153" s="16"/>
      <c r="CX153" s="16"/>
      <c r="CY153" s="16"/>
      <c r="CZ153" s="16"/>
      <c r="DA153" s="16"/>
      <c r="DB153" s="16"/>
      <c r="DC153" s="16"/>
      <c r="DD153" s="16"/>
      <c r="DE153" s="16"/>
      <c r="DF153" s="16"/>
      <c r="DG153" s="16"/>
      <c r="DH153" s="16"/>
      <c r="DI153" s="16"/>
      <c r="DJ153" s="16"/>
      <c r="DK153" s="16"/>
      <c r="DL153" s="16"/>
      <c r="DM153" s="16"/>
      <c r="DN153" s="16"/>
      <c r="DO153" s="16"/>
      <c r="DP153" s="16"/>
      <c r="DQ153" s="16"/>
      <c r="DR153" s="16"/>
      <c r="DS153" s="16"/>
      <c r="DT153" s="16"/>
      <c r="DU153" s="16"/>
      <c r="DV153" s="16"/>
      <c r="DW153" s="16"/>
      <c r="DX153" s="16"/>
      <c r="DY153" s="16"/>
      <c r="DZ153" s="16"/>
      <c r="EA153" s="16"/>
      <c r="EB153" s="16"/>
      <c r="EC153" s="16"/>
      <c r="ED153" s="16"/>
      <c r="EE153" s="16"/>
      <c r="EF153" s="16"/>
      <c r="EG153" s="16"/>
      <c r="EH153" s="16"/>
      <c r="EI153" s="16"/>
      <c r="EJ153" s="16"/>
      <c r="EK153" s="16"/>
      <c r="EL153" s="16"/>
      <c r="EM153" s="16"/>
      <c r="EN153" s="16"/>
      <c r="EO153" s="16"/>
      <c r="EP153" s="16"/>
      <c r="EQ153" s="16"/>
      <c r="ER153" s="16"/>
      <c r="ES153" s="16"/>
      <c r="ET153" s="16"/>
      <c r="EU153" s="16"/>
      <c r="EV153" s="16"/>
      <c r="EW153" s="16"/>
      <c r="EX153" s="16"/>
      <c r="EY153" s="16"/>
      <c r="EZ153" s="16"/>
      <c r="FA153" s="16"/>
      <c r="FB153" s="16"/>
      <c r="FC153" s="16"/>
      <c r="FD153" s="16"/>
      <c r="FE153" s="16"/>
      <c r="FF153" s="16"/>
      <c r="FG153" s="16"/>
      <c r="FH153" s="16"/>
      <c r="FI153" s="16"/>
      <c r="FJ153" s="16"/>
      <c r="FK153" s="16"/>
      <c r="FL153" s="16"/>
      <c r="FM153" s="16"/>
      <c r="FN153" s="16"/>
      <c r="FO153" s="16"/>
      <c r="FP153" s="16"/>
      <c r="FQ153" s="16"/>
      <c r="FR153" s="16"/>
      <c r="FS153" s="16"/>
      <c r="FT153" s="16"/>
      <c r="FU153" s="16"/>
      <c r="FV153" s="16"/>
      <c r="FW153" s="16"/>
      <c r="FX153" s="16"/>
      <c r="FY153" s="16"/>
      <c r="FZ153" s="16"/>
      <c r="GA153" s="16"/>
      <c r="GB153" s="16"/>
      <c r="GC153" s="16"/>
      <c r="GD153" s="16"/>
      <c r="GE153" s="16"/>
      <c r="GF153" s="16"/>
      <c r="GG153" s="16"/>
      <c r="GH153" s="16"/>
      <c r="GI153" s="16"/>
      <c r="GJ153" s="16"/>
      <c r="GK153" s="16"/>
      <c r="GL153" s="16"/>
      <c r="GM153" s="16"/>
      <c r="GN153" s="16"/>
      <c r="GO153" s="16"/>
      <c r="GP153" s="16"/>
      <c r="GQ153" s="16"/>
      <c r="GR153" s="16"/>
      <c r="GS153" s="16"/>
      <c r="GT153" s="16"/>
      <c r="GU153" s="16"/>
      <c r="GV153" s="16"/>
      <c r="GW153" s="16"/>
      <c r="GX153" s="16"/>
      <c r="GY153" s="16"/>
      <c r="GZ153" s="16"/>
      <c r="HA153" s="16"/>
      <c r="HB153" s="16"/>
      <c r="HC153" s="16"/>
      <c r="HD153" s="16"/>
      <c r="HE153" s="16"/>
      <c r="HF153" s="16"/>
      <c r="HG153" s="16"/>
      <c r="HH153" s="16"/>
      <c r="HI153" s="16"/>
      <c r="HJ153" s="16"/>
      <c r="HK153" s="16"/>
      <c r="HL153" s="16"/>
      <c r="HM153" s="16"/>
      <c r="HN153" s="16"/>
      <c r="HO153" s="16"/>
      <c r="HP153" s="16"/>
      <c r="HQ153" s="16"/>
      <c r="HR153" s="16"/>
      <c r="HS153" s="16"/>
      <c r="HT153" s="16"/>
      <c r="HU153" s="16"/>
      <c r="HV153" s="16"/>
      <c r="HW153" s="16"/>
      <c r="HX153" s="16"/>
      <c r="HY153" s="16"/>
      <c r="HZ153" s="16"/>
      <c r="IA153" s="16"/>
      <c r="IB153" s="16"/>
      <c r="IC153" s="16"/>
      <c r="ID153" s="16"/>
      <c r="IE153" s="16"/>
      <c r="IF153" s="16"/>
      <c r="IG153" s="16"/>
      <c r="IH153" s="16"/>
      <c r="II153" s="16"/>
      <c r="IJ153" s="16"/>
      <c r="IK153" s="16"/>
      <c r="IL153" s="16"/>
      <c r="IM153" s="16"/>
      <c r="IN153" s="16"/>
      <c r="IO153" s="16"/>
      <c r="IP153" s="16"/>
      <c r="IQ153" s="16"/>
      <c r="IR153" s="16"/>
      <c r="IS153" s="16"/>
      <c r="IT153" s="16"/>
    </row>
    <row r="154" spans="1:254">
      <c r="A154" s="99"/>
      <c r="B154" s="136"/>
      <c r="C154" s="101"/>
      <c r="D154" s="54"/>
      <c r="E154" s="54"/>
      <c r="F154" s="54"/>
      <c r="G154" s="54"/>
      <c r="H154" s="102"/>
      <c r="I154" s="103"/>
      <c r="J154" s="87"/>
      <c r="K154" s="16"/>
      <c r="L154" s="16"/>
      <c r="M154" s="16"/>
      <c r="N154" s="16"/>
      <c r="O154" s="16"/>
      <c r="P154" s="16"/>
      <c r="Q154" s="16"/>
      <c r="R154" s="16"/>
      <c r="S154" s="16"/>
      <c r="T154" s="16"/>
      <c r="U154" s="16"/>
      <c r="V154" s="16"/>
      <c r="W154" s="16"/>
      <c r="X154" s="16"/>
      <c r="Y154" s="16"/>
      <c r="Z154" s="16"/>
      <c r="AA154" s="16"/>
      <c r="AB154" s="16"/>
      <c r="AC154" s="16"/>
      <c r="AD154" s="16"/>
      <c r="AE154" s="16"/>
      <c r="AF154" s="16"/>
      <c r="AG154" s="16"/>
      <c r="AH154" s="16"/>
      <c r="AI154" s="16"/>
      <c r="AJ154" s="16"/>
      <c r="AK154" s="16"/>
      <c r="AL154" s="16"/>
      <c r="AM154" s="16"/>
      <c r="AN154" s="16"/>
      <c r="AO154" s="16"/>
      <c r="AP154" s="16"/>
      <c r="AQ154" s="16"/>
      <c r="AR154" s="16"/>
      <c r="AS154" s="16"/>
      <c r="AT154" s="16"/>
      <c r="AU154" s="16"/>
      <c r="AV154" s="16"/>
      <c r="AW154" s="16"/>
      <c r="AX154" s="16"/>
      <c r="AY154" s="16"/>
      <c r="AZ154" s="16"/>
      <c r="BA154" s="16"/>
      <c r="BB154" s="16"/>
      <c r="BC154" s="16"/>
      <c r="BD154" s="16"/>
      <c r="BE154" s="16"/>
      <c r="BF154" s="16"/>
      <c r="BG154" s="16"/>
      <c r="BH154" s="16"/>
      <c r="BI154" s="16"/>
      <c r="BJ154" s="16"/>
      <c r="BK154" s="16"/>
      <c r="BL154" s="16"/>
      <c r="BM154" s="16"/>
      <c r="BN154" s="16"/>
      <c r="BO154" s="16"/>
      <c r="BP154" s="16"/>
      <c r="BQ154" s="16"/>
      <c r="BR154" s="16"/>
      <c r="BS154" s="16"/>
      <c r="BT154" s="16"/>
      <c r="BU154" s="16"/>
      <c r="BV154" s="16"/>
      <c r="BW154" s="16"/>
      <c r="BX154" s="16"/>
      <c r="BY154" s="16"/>
      <c r="BZ154" s="16"/>
      <c r="CA154" s="16"/>
      <c r="CB154" s="16"/>
      <c r="CC154" s="16"/>
      <c r="CD154" s="16"/>
      <c r="CE154" s="16"/>
      <c r="CF154" s="16"/>
      <c r="CG154" s="16"/>
      <c r="CH154" s="16"/>
      <c r="CI154" s="16"/>
      <c r="CJ154" s="16"/>
      <c r="CK154" s="16"/>
      <c r="CL154" s="16"/>
      <c r="CM154" s="16"/>
      <c r="CN154" s="16"/>
      <c r="CO154" s="16"/>
      <c r="CP154" s="16"/>
      <c r="CQ154" s="16"/>
      <c r="CR154" s="16"/>
      <c r="CS154" s="16"/>
      <c r="CT154" s="16"/>
      <c r="CU154" s="16"/>
      <c r="CV154" s="16"/>
      <c r="CW154" s="16"/>
      <c r="CX154" s="16"/>
      <c r="CY154" s="16"/>
      <c r="CZ154" s="16"/>
      <c r="DA154" s="16"/>
      <c r="DB154" s="16"/>
      <c r="DC154" s="16"/>
      <c r="DD154" s="16"/>
      <c r="DE154" s="16"/>
      <c r="DF154" s="16"/>
      <c r="DG154" s="16"/>
      <c r="DH154" s="16"/>
      <c r="DI154" s="16"/>
      <c r="DJ154" s="16"/>
      <c r="DK154" s="16"/>
      <c r="DL154" s="16"/>
      <c r="DM154" s="16"/>
      <c r="DN154" s="16"/>
      <c r="DO154" s="16"/>
      <c r="DP154" s="16"/>
      <c r="DQ154" s="16"/>
      <c r="DR154" s="16"/>
      <c r="DS154" s="16"/>
      <c r="DT154" s="16"/>
      <c r="DU154" s="16"/>
      <c r="DV154" s="16"/>
      <c r="DW154" s="16"/>
      <c r="DX154" s="16"/>
      <c r="DY154" s="16"/>
      <c r="DZ154" s="16"/>
      <c r="EA154" s="16"/>
      <c r="EB154" s="16"/>
      <c r="EC154" s="16"/>
      <c r="ED154" s="16"/>
      <c r="EE154" s="16"/>
      <c r="EF154" s="16"/>
      <c r="EG154" s="16"/>
      <c r="EH154" s="16"/>
      <c r="EI154" s="16"/>
      <c r="EJ154" s="16"/>
      <c r="EK154" s="16"/>
      <c r="EL154" s="16"/>
      <c r="EM154" s="16"/>
      <c r="EN154" s="16"/>
      <c r="EO154" s="16"/>
      <c r="EP154" s="16"/>
      <c r="EQ154" s="16"/>
      <c r="ER154" s="16"/>
      <c r="ES154" s="16"/>
      <c r="ET154" s="16"/>
      <c r="EU154" s="16"/>
      <c r="EV154" s="16"/>
      <c r="EW154" s="16"/>
      <c r="EX154" s="16"/>
      <c r="EY154" s="16"/>
      <c r="EZ154" s="16"/>
      <c r="FA154" s="16"/>
      <c r="FB154" s="16"/>
      <c r="FC154" s="16"/>
      <c r="FD154" s="16"/>
      <c r="FE154" s="16"/>
      <c r="FF154" s="16"/>
      <c r="FG154" s="16"/>
      <c r="FH154" s="16"/>
      <c r="FI154" s="16"/>
      <c r="FJ154" s="16"/>
      <c r="FK154" s="16"/>
      <c r="FL154" s="16"/>
      <c r="FM154" s="16"/>
      <c r="FN154" s="16"/>
      <c r="FO154" s="16"/>
      <c r="FP154" s="16"/>
      <c r="FQ154" s="16"/>
      <c r="FR154" s="16"/>
      <c r="FS154" s="16"/>
      <c r="FT154" s="16"/>
      <c r="FU154" s="16"/>
      <c r="FV154" s="16"/>
      <c r="FW154" s="16"/>
      <c r="FX154" s="16"/>
      <c r="FY154" s="16"/>
      <c r="FZ154" s="16"/>
      <c r="GA154" s="16"/>
      <c r="GB154" s="16"/>
      <c r="GC154" s="16"/>
      <c r="GD154" s="16"/>
      <c r="GE154" s="16"/>
      <c r="GF154" s="16"/>
      <c r="GG154" s="16"/>
      <c r="GH154" s="16"/>
      <c r="GI154" s="16"/>
      <c r="GJ154" s="16"/>
      <c r="GK154" s="16"/>
      <c r="GL154" s="16"/>
      <c r="GM154" s="16"/>
      <c r="GN154" s="16"/>
      <c r="GO154" s="16"/>
      <c r="GP154" s="16"/>
      <c r="GQ154" s="16"/>
      <c r="GR154" s="16"/>
      <c r="GS154" s="16"/>
      <c r="GT154" s="16"/>
      <c r="GU154" s="16"/>
      <c r="GV154" s="16"/>
      <c r="GW154" s="16"/>
      <c r="GX154" s="16"/>
      <c r="GY154" s="16"/>
      <c r="GZ154" s="16"/>
      <c r="HA154" s="16"/>
      <c r="HB154" s="16"/>
      <c r="HC154" s="16"/>
      <c r="HD154" s="16"/>
      <c r="HE154" s="16"/>
      <c r="HF154" s="16"/>
      <c r="HG154" s="16"/>
      <c r="HH154" s="16"/>
      <c r="HI154" s="16"/>
      <c r="HJ154" s="16"/>
      <c r="HK154" s="16"/>
      <c r="HL154" s="16"/>
      <c r="HM154" s="16"/>
      <c r="HN154" s="16"/>
      <c r="HO154" s="16"/>
      <c r="HP154" s="16"/>
      <c r="HQ154" s="16"/>
      <c r="HR154" s="16"/>
      <c r="HS154" s="16"/>
      <c r="HT154" s="16"/>
      <c r="HU154" s="16"/>
      <c r="HV154" s="16"/>
      <c r="HW154" s="16"/>
      <c r="HX154" s="16"/>
      <c r="HY154" s="16"/>
      <c r="HZ154" s="16"/>
      <c r="IA154" s="16"/>
      <c r="IB154" s="16"/>
      <c r="IC154" s="16"/>
      <c r="ID154" s="16"/>
      <c r="IE154" s="16"/>
      <c r="IF154" s="16"/>
      <c r="IG154" s="16"/>
      <c r="IH154" s="16"/>
      <c r="II154" s="16"/>
      <c r="IJ154" s="16"/>
      <c r="IK154" s="16"/>
      <c r="IL154" s="16"/>
      <c r="IM154" s="16"/>
      <c r="IN154" s="16"/>
      <c r="IO154" s="16"/>
      <c r="IP154" s="16"/>
      <c r="IQ154" s="16"/>
      <c r="IR154" s="16"/>
      <c r="IS154" s="16"/>
      <c r="IT154" s="16"/>
    </row>
    <row r="155" spans="1:254" ht="22.5" customHeight="1" thickBot="1">
      <c r="A155" s="93"/>
      <c r="B155" s="410" t="s">
        <v>574</v>
      </c>
      <c r="C155" s="95">
        <f>SUM(C135:C154)</f>
        <v>-2375000.4799998999</v>
      </c>
      <c r="D155" s="95">
        <f>SUM(D135:D154)</f>
        <v>0.44729989767074585</v>
      </c>
      <c r="E155" s="95">
        <f>SUM(E135:E154)</f>
        <v>-7271708.5770029426</v>
      </c>
      <c r="F155" s="95">
        <f>SUM(F135:F154)</f>
        <v>-2881884.8133699894</v>
      </c>
      <c r="G155" s="95">
        <f>SUM(G135:G154)</f>
        <v>-90671.771343290806</v>
      </c>
      <c r="H155" s="96"/>
      <c r="I155" s="97"/>
      <c r="J155" s="98"/>
      <c r="K155" s="16"/>
      <c r="L155" s="16"/>
      <c r="M155" s="16"/>
      <c r="N155" s="16"/>
      <c r="O155" s="16"/>
      <c r="P155" s="16"/>
      <c r="Q155" s="16"/>
      <c r="R155" s="16"/>
      <c r="S155" s="16"/>
      <c r="T155" s="16"/>
      <c r="U155" s="16"/>
      <c r="V155" s="16"/>
      <c r="W155" s="16"/>
      <c r="X155" s="16"/>
      <c r="Y155" s="16"/>
      <c r="Z155" s="16"/>
      <c r="AA155" s="16"/>
      <c r="AB155" s="16"/>
      <c r="AC155" s="16"/>
      <c r="AD155" s="16"/>
      <c r="AE155" s="16"/>
      <c r="AF155" s="16"/>
      <c r="AG155" s="16"/>
      <c r="AH155" s="16"/>
      <c r="AI155" s="16"/>
      <c r="AJ155" s="16"/>
      <c r="AK155" s="16"/>
      <c r="AL155" s="16"/>
      <c r="AM155" s="16"/>
      <c r="AN155" s="16"/>
      <c r="AO155" s="16"/>
      <c r="AP155" s="16"/>
      <c r="AQ155" s="16"/>
      <c r="AR155" s="16"/>
      <c r="AS155" s="16"/>
      <c r="AT155" s="16"/>
      <c r="AU155" s="16"/>
      <c r="AV155" s="16"/>
      <c r="AW155" s="16"/>
      <c r="AX155" s="16"/>
      <c r="AY155" s="16"/>
      <c r="AZ155" s="16"/>
      <c r="BA155" s="16"/>
      <c r="BB155" s="16"/>
      <c r="BC155" s="16"/>
      <c r="BD155" s="16"/>
      <c r="BE155" s="16"/>
      <c r="BF155" s="16"/>
      <c r="BG155" s="16"/>
      <c r="BH155" s="16"/>
      <c r="BI155" s="16"/>
      <c r="BJ155" s="16"/>
      <c r="BK155" s="16"/>
      <c r="BL155" s="16"/>
      <c r="BM155" s="16"/>
      <c r="BN155" s="16"/>
      <c r="BO155" s="16"/>
      <c r="BP155" s="16"/>
      <c r="BQ155" s="16"/>
      <c r="BR155" s="16"/>
      <c r="BS155" s="16"/>
      <c r="BT155" s="16"/>
      <c r="BU155" s="16"/>
      <c r="BV155" s="16"/>
      <c r="BW155" s="16"/>
      <c r="BX155" s="16"/>
      <c r="BY155" s="16"/>
      <c r="BZ155" s="16"/>
      <c r="CA155" s="16"/>
      <c r="CB155" s="16"/>
      <c r="CC155" s="16"/>
      <c r="CD155" s="16"/>
      <c r="CE155" s="16"/>
      <c r="CF155" s="16"/>
      <c r="CG155" s="16"/>
      <c r="CH155" s="16"/>
      <c r="CI155" s="16"/>
      <c r="CJ155" s="16"/>
      <c r="CK155" s="16"/>
      <c r="CL155" s="16"/>
      <c r="CM155" s="16"/>
      <c r="CN155" s="16"/>
      <c r="CO155" s="16"/>
      <c r="CP155" s="16"/>
      <c r="CQ155" s="16"/>
      <c r="CR155" s="16"/>
      <c r="CS155" s="16"/>
      <c r="CT155" s="16"/>
      <c r="CU155" s="16"/>
      <c r="CV155" s="16"/>
      <c r="CW155" s="16"/>
      <c r="CX155" s="16"/>
      <c r="CY155" s="16"/>
      <c r="CZ155" s="16"/>
      <c r="DA155" s="16"/>
      <c r="DB155" s="16"/>
      <c r="DC155" s="16"/>
      <c r="DD155" s="16"/>
      <c r="DE155" s="16"/>
      <c r="DF155" s="16"/>
      <c r="DG155" s="16"/>
      <c r="DH155" s="16"/>
      <c r="DI155" s="16"/>
      <c r="DJ155" s="16"/>
      <c r="DK155" s="16"/>
      <c r="DL155" s="16"/>
      <c r="DM155" s="16"/>
      <c r="DN155" s="16"/>
      <c r="DO155" s="16"/>
      <c r="DP155" s="16"/>
      <c r="DQ155" s="16"/>
      <c r="DR155" s="16"/>
      <c r="DS155" s="16"/>
      <c r="DT155" s="16"/>
      <c r="DU155" s="16"/>
      <c r="DV155" s="16"/>
      <c r="DW155" s="16"/>
      <c r="DX155" s="16"/>
      <c r="DY155" s="16"/>
      <c r="DZ155" s="16"/>
      <c r="EA155" s="16"/>
      <c r="EB155" s="16"/>
      <c r="EC155" s="16"/>
      <c r="ED155" s="16"/>
      <c r="EE155" s="16"/>
      <c r="EF155" s="16"/>
      <c r="EG155" s="16"/>
      <c r="EH155" s="16"/>
      <c r="EI155" s="16"/>
      <c r="EJ155" s="16"/>
      <c r="EK155" s="16"/>
      <c r="EL155" s="16"/>
      <c r="EM155" s="16"/>
      <c r="EN155" s="16"/>
      <c r="EO155" s="16"/>
      <c r="EP155" s="16"/>
      <c r="EQ155" s="16"/>
      <c r="ER155" s="16"/>
      <c r="ES155" s="16"/>
      <c r="ET155" s="16"/>
      <c r="EU155" s="16"/>
      <c r="EV155" s="16"/>
      <c r="EW155" s="16"/>
      <c r="EX155" s="16"/>
      <c r="EY155" s="16"/>
      <c r="EZ155" s="16"/>
      <c r="FA155" s="16"/>
      <c r="FB155" s="16"/>
      <c r="FC155" s="16"/>
      <c r="FD155" s="16"/>
      <c r="FE155" s="16"/>
      <c r="FF155" s="16"/>
      <c r="FG155" s="16"/>
      <c r="FH155" s="16"/>
      <c r="FI155" s="16"/>
      <c r="FJ155" s="16"/>
      <c r="FK155" s="16"/>
      <c r="FL155" s="16"/>
      <c r="FM155" s="16"/>
      <c r="FN155" s="16"/>
      <c r="FO155" s="16"/>
      <c r="FP155" s="16"/>
      <c r="FQ155" s="16"/>
      <c r="FR155" s="16"/>
      <c r="FS155" s="16"/>
      <c r="FT155" s="16"/>
      <c r="FU155" s="16"/>
      <c r="FV155" s="16"/>
      <c r="FW155" s="16"/>
      <c r="FX155" s="16"/>
      <c r="FY155" s="16"/>
      <c r="FZ155" s="16"/>
      <c r="GA155" s="16"/>
      <c r="GB155" s="16"/>
      <c r="GC155" s="16"/>
      <c r="GD155" s="16"/>
      <c r="GE155" s="16"/>
      <c r="GF155" s="16"/>
      <c r="GG155" s="16"/>
      <c r="GH155" s="16"/>
      <c r="GI155" s="16"/>
      <c r="GJ155" s="16"/>
      <c r="GK155" s="16"/>
      <c r="GL155" s="16"/>
      <c r="GM155" s="16"/>
      <c r="GN155" s="16"/>
      <c r="GO155" s="16"/>
      <c r="GP155" s="16"/>
      <c r="GQ155" s="16"/>
      <c r="GR155" s="16"/>
      <c r="GS155" s="16"/>
      <c r="GT155" s="16"/>
      <c r="GU155" s="16"/>
      <c r="GV155" s="16"/>
      <c r="GW155" s="16"/>
      <c r="GX155" s="16"/>
      <c r="GY155" s="16"/>
      <c r="GZ155" s="16"/>
      <c r="HA155" s="16"/>
      <c r="HB155" s="16"/>
      <c r="HC155" s="16"/>
      <c r="HD155" s="16"/>
      <c r="HE155" s="16"/>
      <c r="HF155" s="16"/>
      <c r="HG155" s="16"/>
      <c r="HH155" s="16"/>
      <c r="HI155" s="16"/>
      <c r="HJ155" s="16"/>
      <c r="HK155" s="16"/>
      <c r="HL155" s="16"/>
      <c r="HM155" s="16"/>
      <c r="HN155" s="16"/>
      <c r="HO155" s="16"/>
      <c r="HP155" s="16"/>
      <c r="HQ155" s="16"/>
      <c r="HR155" s="16"/>
      <c r="HS155" s="16"/>
      <c r="HT155" s="16"/>
      <c r="HU155" s="16"/>
      <c r="HV155" s="16"/>
      <c r="HW155" s="16"/>
      <c r="HX155" s="16"/>
      <c r="HY155" s="16"/>
      <c r="HZ155" s="16"/>
      <c r="IA155" s="16"/>
      <c r="IB155" s="16"/>
      <c r="IC155" s="16"/>
      <c r="ID155" s="16"/>
      <c r="IE155" s="16"/>
      <c r="IF155" s="16"/>
      <c r="IG155" s="16"/>
      <c r="IH155" s="16"/>
      <c r="II155" s="16"/>
      <c r="IJ155" s="16"/>
      <c r="IK155" s="16"/>
      <c r="IL155" s="16"/>
      <c r="IM155" s="16"/>
      <c r="IN155" s="16"/>
      <c r="IO155" s="16"/>
      <c r="IP155" s="16"/>
      <c r="IQ155" s="16"/>
      <c r="IR155" s="16"/>
      <c r="IS155" s="16"/>
      <c r="IT155" s="16"/>
    </row>
    <row r="156" spans="1:254" ht="12" customHeight="1">
      <c r="A156" s="64"/>
      <c r="B156" s="64"/>
      <c r="C156" s="65"/>
      <c r="D156" s="66"/>
      <c r="E156" s="66"/>
      <c r="F156" s="66"/>
      <c r="G156" s="66"/>
      <c r="H156" s="67"/>
      <c r="I156" s="68"/>
      <c r="J156" s="69"/>
      <c r="K156" s="16"/>
      <c r="L156" s="16"/>
      <c r="M156" s="16"/>
      <c r="N156" s="16"/>
      <c r="O156" s="16"/>
      <c r="P156" s="16"/>
      <c r="Q156" s="16"/>
      <c r="R156" s="16"/>
      <c r="S156" s="16"/>
      <c r="T156" s="16"/>
      <c r="U156" s="16"/>
      <c r="V156" s="16"/>
      <c r="W156" s="16"/>
      <c r="X156" s="16"/>
      <c r="Y156" s="16"/>
      <c r="Z156" s="16"/>
      <c r="AA156" s="16"/>
      <c r="AB156" s="16"/>
      <c r="AC156" s="16"/>
      <c r="AD156" s="16"/>
      <c r="AE156" s="16"/>
      <c r="AF156" s="16"/>
      <c r="AG156" s="16"/>
      <c r="AH156" s="16"/>
      <c r="AI156" s="16"/>
      <c r="AJ156" s="16"/>
      <c r="AK156" s="16"/>
      <c r="AL156" s="16"/>
      <c r="AM156" s="16"/>
      <c r="AN156" s="16"/>
      <c r="AO156" s="16"/>
      <c r="AP156" s="16"/>
      <c r="AQ156" s="16"/>
      <c r="AR156" s="16"/>
      <c r="AS156" s="16"/>
      <c r="AT156" s="16"/>
      <c r="AU156" s="16"/>
      <c r="AV156" s="16"/>
      <c r="AW156" s="16"/>
      <c r="AX156" s="16"/>
      <c r="AY156" s="16"/>
      <c r="AZ156" s="16"/>
      <c r="BA156" s="16"/>
      <c r="BB156" s="16"/>
      <c r="BC156" s="16"/>
      <c r="BD156" s="16"/>
      <c r="BE156" s="16"/>
      <c r="BF156" s="16"/>
      <c r="BG156" s="16"/>
      <c r="BH156" s="16"/>
      <c r="BI156" s="16"/>
      <c r="BJ156" s="16"/>
      <c r="BK156" s="16"/>
      <c r="BL156" s="16"/>
      <c r="BM156" s="16"/>
      <c r="BN156" s="16"/>
      <c r="BO156" s="16"/>
      <c r="BP156" s="16"/>
      <c r="BQ156" s="16"/>
      <c r="BR156" s="16"/>
      <c r="BS156" s="16"/>
      <c r="BT156" s="16"/>
      <c r="BU156" s="16"/>
      <c r="BV156" s="16"/>
      <c r="BW156" s="16"/>
      <c r="BX156" s="16"/>
      <c r="BY156" s="16"/>
      <c r="BZ156" s="16"/>
      <c r="CA156" s="16"/>
      <c r="CB156" s="16"/>
      <c r="CC156" s="16"/>
      <c r="CD156" s="16"/>
      <c r="CE156" s="16"/>
      <c r="CF156" s="16"/>
      <c r="CG156" s="16"/>
      <c r="CH156" s="16"/>
      <c r="CI156" s="16"/>
      <c r="CJ156" s="16"/>
      <c r="CK156" s="16"/>
      <c r="CL156" s="16"/>
      <c r="CM156" s="16"/>
      <c r="CN156" s="16"/>
      <c r="CO156" s="16"/>
      <c r="CP156" s="16"/>
      <c r="CQ156" s="16"/>
      <c r="CR156" s="16"/>
      <c r="CS156" s="16"/>
      <c r="CT156" s="16"/>
      <c r="CU156" s="16"/>
      <c r="CV156" s="16"/>
      <c r="CW156" s="16"/>
      <c r="CX156" s="16"/>
      <c r="CY156" s="16"/>
      <c r="CZ156" s="16"/>
      <c r="DA156" s="16"/>
      <c r="DB156" s="16"/>
      <c r="DC156" s="16"/>
      <c r="DD156" s="16"/>
      <c r="DE156" s="16"/>
      <c r="DF156" s="16"/>
      <c r="DG156" s="16"/>
      <c r="DH156" s="16"/>
      <c r="DI156" s="16"/>
      <c r="DJ156" s="16"/>
      <c r="DK156" s="16"/>
      <c r="DL156" s="16"/>
      <c r="DM156" s="16"/>
      <c r="DN156" s="16"/>
      <c r="DO156" s="16"/>
      <c r="DP156" s="16"/>
      <c r="DQ156" s="16"/>
      <c r="DR156" s="16"/>
      <c r="DS156" s="16"/>
      <c r="DT156" s="16"/>
      <c r="DU156" s="16"/>
      <c r="DV156" s="16"/>
      <c r="DW156" s="16"/>
      <c r="DX156" s="16"/>
      <c r="DY156" s="16"/>
      <c r="DZ156" s="16"/>
      <c r="EA156" s="16"/>
      <c r="EB156" s="16"/>
      <c r="EC156" s="16"/>
      <c r="ED156" s="16"/>
      <c r="EE156" s="16"/>
      <c r="EF156" s="16"/>
      <c r="EG156" s="16"/>
      <c r="EH156" s="16"/>
      <c r="EI156" s="16"/>
      <c r="EJ156" s="16"/>
      <c r="EK156" s="16"/>
      <c r="EL156" s="16"/>
      <c r="EM156" s="16"/>
      <c r="EN156" s="16"/>
      <c r="EO156" s="16"/>
      <c r="EP156" s="16"/>
      <c r="EQ156" s="16"/>
      <c r="ER156" s="16"/>
      <c r="ES156" s="16"/>
      <c r="ET156" s="16"/>
      <c r="EU156" s="16"/>
      <c r="EV156" s="16"/>
      <c r="EW156" s="16"/>
      <c r="EX156" s="16"/>
      <c r="EY156" s="16"/>
      <c r="EZ156" s="16"/>
      <c r="FA156" s="16"/>
      <c r="FB156" s="16"/>
      <c r="FC156" s="16"/>
      <c r="FD156" s="16"/>
      <c r="FE156" s="16"/>
      <c r="FF156" s="16"/>
      <c r="FG156" s="16"/>
      <c r="FH156" s="16"/>
      <c r="FI156" s="16"/>
      <c r="FJ156" s="16"/>
      <c r="FK156" s="16"/>
      <c r="FL156" s="16"/>
      <c r="FM156" s="16"/>
      <c r="FN156" s="16"/>
      <c r="FO156" s="16"/>
      <c r="FP156" s="16"/>
      <c r="FQ156" s="16"/>
      <c r="FR156" s="16"/>
      <c r="FS156" s="16"/>
      <c r="FT156" s="16"/>
      <c r="FU156" s="16"/>
      <c r="FV156" s="16"/>
      <c r="FW156" s="16"/>
      <c r="FX156" s="16"/>
      <c r="FY156" s="16"/>
      <c r="FZ156" s="16"/>
      <c r="GA156" s="16"/>
      <c r="GB156" s="16"/>
      <c r="GC156" s="16"/>
      <c r="GD156" s="16"/>
      <c r="GE156" s="16"/>
      <c r="GF156" s="16"/>
      <c r="GG156" s="16"/>
      <c r="GH156" s="16"/>
      <c r="GI156" s="16"/>
      <c r="GJ156" s="16"/>
      <c r="GK156" s="16"/>
      <c r="GL156" s="16"/>
      <c r="GM156" s="16"/>
      <c r="GN156" s="16"/>
      <c r="GO156" s="16"/>
      <c r="GP156" s="16"/>
      <c r="GQ156" s="16"/>
      <c r="GR156" s="16"/>
      <c r="GS156" s="16"/>
      <c r="GT156" s="16"/>
      <c r="GU156" s="16"/>
      <c r="GV156" s="16"/>
      <c r="GW156" s="16"/>
      <c r="GX156" s="16"/>
      <c r="GY156" s="16"/>
      <c r="GZ156" s="16"/>
      <c r="HA156" s="16"/>
      <c r="HB156" s="16"/>
      <c r="HC156" s="16"/>
      <c r="HD156" s="16"/>
      <c r="HE156" s="16"/>
      <c r="HF156" s="16"/>
      <c r="HG156" s="16"/>
      <c r="HH156" s="16"/>
      <c r="HI156" s="16"/>
      <c r="HJ156" s="16"/>
      <c r="HK156" s="16"/>
      <c r="HL156" s="16"/>
      <c r="HM156" s="16"/>
      <c r="HN156" s="16"/>
      <c r="HO156" s="16"/>
      <c r="HP156" s="16"/>
      <c r="HQ156" s="16"/>
      <c r="HR156" s="16"/>
      <c r="HS156" s="16"/>
      <c r="HT156" s="16"/>
      <c r="HU156" s="16"/>
      <c r="HV156" s="16"/>
      <c r="HW156" s="16"/>
      <c r="HX156" s="16"/>
      <c r="HY156" s="16"/>
      <c r="HZ156" s="16"/>
      <c r="IA156" s="16"/>
      <c r="IB156" s="16"/>
      <c r="IC156" s="16"/>
      <c r="ID156" s="16"/>
      <c r="IE156" s="16"/>
      <c r="IF156" s="16"/>
      <c r="IG156" s="16"/>
      <c r="IH156" s="16"/>
      <c r="II156" s="16"/>
      <c r="IJ156" s="16"/>
      <c r="IK156" s="16"/>
      <c r="IL156" s="16"/>
      <c r="IM156" s="16"/>
      <c r="IN156" s="16"/>
      <c r="IO156" s="16"/>
      <c r="IP156" s="16"/>
      <c r="IQ156" s="16"/>
      <c r="IR156" s="16"/>
      <c r="IS156" s="16"/>
      <c r="IT156" s="16"/>
    </row>
    <row r="157" spans="1:254">
      <c r="A157" s="64"/>
      <c r="B157" s="70"/>
      <c r="C157" s="71"/>
      <c r="D157" s="116" t="s">
        <v>4</v>
      </c>
      <c r="E157" s="116"/>
      <c r="F157" s="116"/>
      <c r="I157" s="72" t="s">
        <v>368</v>
      </c>
      <c r="J157" s="69"/>
      <c r="K157" s="16"/>
      <c r="L157" s="16"/>
      <c r="M157" s="16"/>
      <c r="N157" s="16"/>
      <c r="O157" s="16"/>
      <c r="P157" s="16"/>
      <c r="Q157" s="16"/>
      <c r="R157" s="16"/>
      <c r="S157" s="16"/>
      <c r="T157" s="16"/>
      <c r="U157" s="16"/>
      <c r="V157" s="16"/>
      <c r="W157" s="16"/>
      <c r="X157" s="16"/>
      <c r="Y157" s="16"/>
      <c r="Z157" s="16"/>
      <c r="AA157" s="16"/>
      <c r="AB157" s="16"/>
      <c r="AC157" s="16"/>
      <c r="AD157" s="16"/>
      <c r="AE157" s="16"/>
      <c r="AF157" s="16"/>
      <c r="AG157" s="16"/>
      <c r="AH157" s="16"/>
      <c r="AI157" s="16"/>
      <c r="AJ157" s="16"/>
      <c r="AK157" s="16"/>
      <c r="AL157" s="16"/>
      <c r="AM157" s="16"/>
      <c r="AN157" s="16"/>
      <c r="AO157" s="16"/>
      <c r="AP157" s="16"/>
      <c r="AQ157" s="16"/>
      <c r="AR157" s="16"/>
      <c r="AS157" s="16"/>
      <c r="AT157" s="16"/>
      <c r="AU157" s="16"/>
      <c r="AV157" s="16"/>
      <c r="AW157" s="16"/>
      <c r="AX157" s="16"/>
      <c r="AY157" s="16"/>
      <c r="AZ157" s="16"/>
      <c r="BA157" s="16"/>
      <c r="BB157" s="16"/>
      <c r="BC157" s="16"/>
      <c r="BD157" s="16"/>
      <c r="BE157" s="16"/>
      <c r="BF157" s="16"/>
      <c r="BG157" s="16"/>
      <c r="BH157" s="16"/>
      <c r="BI157" s="16"/>
      <c r="BJ157" s="16"/>
      <c r="BK157" s="16"/>
      <c r="BL157" s="16"/>
      <c r="BM157" s="16"/>
      <c r="BN157" s="16"/>
      <c r="BO157" s="16"/>
      <c r="BP157" s="16"/>
      <c r="BQ157" s="16"/>
      <c r="BR157" s="16"/>
      <c r="BS157" s="16"/>
      <c r="BT157" s="16"/>
      <c r="BU157" s="16"/>
      <c r="BV157" s="16"/>
      <c r="BW157" s="16"/>
      <c r="BX157" s="16"/>
      <c r="BY157" s="16"/>
      <c r="BZ157" s="16"/>
      <c r="CA157" s="16"/>
      <c r="CB157" s="16"/>
      <c r="CC157" s="16"/>
      <c r="CD157" s="16"/>
      <c r="CE157" s="16"/>
      <c r="CF157" s="16"/>
      <c r="CG157" s="16"/>
      <c r="CH157" s="16"/>
      <c r="CI157" s="16"/>
      <c r="CJ157" s="16"/>
      <c r="CK157" s="16"/>
      <c r="CL157" s="16"/>
      <c r="CM157" s="16"/>
      <c r="CN157" s="16"/>
      <c r="CO157" s="16"/>
      <c r="CP157" s="16"/>
      <c r="CQ157" s="16"/>
      <c r="CR157" s="16"/>
      <c r="CS157" s="16"/>
      <c r="CT157" s="16"/>
      <c r="CU157" s="16"/>
      <c r="CV157" s="16"/>
      <c r="CW157" s="16"/>
      <c r="CX157" s="16"/>
      <c r="CY157" s="16"/>
      <c r="CZ157" s="16"/>
      <c r="DA157" s="16"/>
      <c r="DB157" s="16"/>
      <c r="DC157" s="16"/>
      <c r="DD157" s="16"/>
      <c r="DE157" s="16"/>
      <c r="DF157" s="16"/>
      <c r="DG157" s="16"/>
      <c r="DH157" s="16"/>
      <c r="DI157" s="16"/>
      <c r="DJ157" s="16"/>
      <c r="DK157" s="16"/>
      <c r="DL157" s="16"/>
      <c r="DM157" s="16"/>
      <c r="DN157" s="16"/>
      <c r="DO157" s="16"/>
      <c r="DP157" s="16"/>
      <c r="DQ157" s="16"/>
      <c r="DR157" s="16"/>
      <c r="DS157" s="16"/>
      <c r="DT157" s="16"/>
      <c r="DU157" s="16"/>
      <c r="DV157" s="16"/>
      <c r="DW157" s="16"/>
      <c r="DX157" s="16"/>
      <c r="DY157" s="16"/>
      <c r="DZ157" s="16"/>
      <c r="EA157" s="16"/>
      <c r="EB157" s="16"/>
      <c r="EC157" s="16"/>
      <c r="ED157" s="16"/>
      <c r="EE157" s="16"/>
      <c r="EF157" s="16"/>
      <c r="EG157" s="16"/>
      <c r="EH157" s="16"/>
      <c r="EI157" s="16"/>
      <c r="EJ157" s="16"/>
      <c r="EK157" s="16"/>
      <c r="EL157" s="16"/>
      <c r="EM157" s="16"/>
      <c r="EN157" s="16"/>
      <c r="EO157" s="16"/>
      <c r="EP157" s="16"/>
      <c r="EQ157" s="16"/>
      <c r="ER157" s="16"/>
      <c r="ES157" s="16"/>
      <c r="ET157" s="16"/>
      <c r="EU157" s="16"/>
      <c r="EV157" s="16"/>
      <c r="EW157" s="16"/>
      <c r="EX157" s="16"/>
      <c r="EY157" s="16"/>
      <c r="EZ157" s="16"/>
      <c r="FA157" s="16"/>
      <c r="FB157" s="16"/>
      <c r="FC157" s="16"/>
      <c r="FD157" s="16"/>
      <c r="FE157" s="16"/>
      <c r="FF157" s="16"/>
      <c r="FG157" s="16"/>
      <c r="FH157" s="16"/>
      <c r="FI157" s="16"/>
      <c r="FJ157" s="16"/>
      <c r="FK157" s="16"/>
      <c r="FL157" s="16"/>
      <c r="FM157" s="16"/>
      <c r="FN157" s="16"/>
      <c r="FO157" s="16"/>
      <c r="FP157" s="16"/>
      <c r="FQ157" s="16"/>
      <c r="FR157" s="16"/>
      <c r="FS157" s="16"/>
      <c r="FT157" s="16"/>
      <c r="FU157" s="16"/>
      <c r="FV157" s="16"/>
      <c r="FW157" s="16"/>
      <c r="FX157" s="16"/>
      <c r="FY157" s="16"/>
      <c r="FZ157" s="16"/>
      <c r="GA157" s="16"/>
      <c r="GB157" s="16"/>
      <c r="GC157" s="16"/>
      <c r="GD157" s="16"/>
      <c r="GE157" s="16"/>
      <c r="GF157" s="16"/>
      <c r="GG157" s="16"/>
      <c r="GH157" s="16"/>
      <c r="GI157" s="16"/>
      <c r="GJ157" s="16"/>
      <c r="GK157" s="16"/>
      <c r="GL157" s="16"/>
      <c r="GM157" s="16"/>
      <c r="GN157" s="16"/>
      <c r="GO157" s="16"/>
      <c r="GP157" s="16"/>
      <c r="GQ157" s="16"/>
      <c r="GR157" s="16"/>
      <c r="GS157" s="16"/>
      <c r="GT157" s="16"/>
      <c r="GU157" s="16"/>
      <c r="GV157" s="16"/>
      <c r="GW157" s="16"/>
      <c r="GX157" s="16"/>
      <c r="GY157" s="16"/>
      <c r="GZ157" s="16"/>
      <c r="HA157" s="16"/>
      <c r="HB157" s="16"/>
      <c r="HC157" s="16"/>
      <c r="HD157" s="16"/>
      <c r="HE157" s="16"/>
      <c r="HF157" s="16"/>
      <c r="HG157" s="16"/>
      <c r="HH157" s="16"/>
      <c r="HI157" s="16"/>
      <c r="HJ157" s="16"/>
      <c r="HK157" s="16"/>
      <c r="HL157" s="16"/>
      <c r="HM157" s="16"/>
      <c r="HN157" s="16"/>
      <c r="HO157" s="16"/>
      <c r="HP157" s="16"/>
      <c r="HQ157" s="16"/>
      <c r="HR157" s="16"/>
      <c r="HS157" s="16"/>
      <c r="HT157" s="16"/>
      <c r="HU157" s="16"/>
      <c r="HV157" s="16"/>
      <c r="HW157" s="16"/>
      <c r="HX157" s="16"/>
      <c r="HY157" s="16"/>
      <c r="HZ157" s="16"/>
      <c r="IA157" s="16"/>
      <c r="IB157" s="16"/>
      <c r="IC157" s="16"/>
      <c r="ID157" s="16"/>
      <c r="IE157" s="16"/>
      <c r="IF157" s="16"/>
      <c r="IG157" s="16"/>
      <c r="IH157" s="16"/>
      <c r="II157" s="16"/>
      <c r="IJ157" s="16"/>
      <c r="IK157" s="16"/>
      <c r="IL157" s="16"/>
      <c r="IM157" s="16"/>
      <c r="IN157" s="16"/>
      <c r="IO157" s="16"/>
      <c r="IP157" s="16"/>
      <c r="IQ157" s="16"/>
      <c r="IR157" s="16"/>
      <c r="IS157" s="16"/>
      <c r="IT157" s="16"/>
    </row>
    <row r="158" spans="1:254">
      <c r="D158" s="116" t="s">
        <v>5</v>
      </c>
      <c r="E158" s="116"/>
      <c r="F158" s="116"/>
      <c r="I158" s="72" t="s">
        <v>369</v>
      </c>
      <c r="J158" s="75" t="s">
        <v>3</v>
      </c>
    </row>
    <row r="159" spans="1:254">
      <c r="D159" s="116" t="s">
        <v>6</v>
      </c>
      <c r="E159" s="116"/>
      <c r="F159" s="116"/>
      <c r="I159" s="68" t="s">
        <v>367</v>
      </c>
    </row>
    <row r="160" spans="1:254" s="105" customFormat="1">
      <c r="C160" s="73"/>
      <c r="H160" s="73"/>
      <c r="I160" s="106"/>
      <c r="J160" s="107"/>
    </row>
  </sheetData>
  <phoneticPr fontId="0" type="noConversion"/>
  <printOptions horizontalCentered="1"/>
  <pageMargins left="0.19685039370078741" right="0.19685039370078741" top="0.79" bottom="0.36" header="0.51181102362204722" footer="0.21"/>
  <pageSetup paperSize="9" scale="82" firstPageNumber="2" orientation="landscape" useFirstPageNumber="1" r:id="rId1"/>
  <headerFooter alignWithMargins="0">
    <oddHeader>&amp;L&amp;"Arial,Fett"&amp;12IAFP 2013 - 2016
&amp;R&amp;"Arial,Fett"Zusammenstellung nach  Produktegruppen</oddHeader>
  </headerFooter>
  <rowBreaks count="6" manualBreakCount="6">
    <brk id="32" max="16383" man="1"/>
    <brk id="55" max="16383" man="1"/>
    <brk id="76" max="16383" man="1"/>
    <brk id="84" max="16383" man="1"/>
    <brk id="100" max="16383" man="1"/>
    <brk id="129" max="16383" man="1"/>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7511"/>
  <sheetViews>
    <sheetView view="pageBreakPreview" zoomScaleNormal="100" zoomScaleSheetLayoutView="100" workbookViewId="0"/>
  </sheetViews>
  <sheetFormatPr baseColWidth="10" defaultRowHeight="12.75"/>
  <cols>
    <col min="1" max="1" width="19.85546875" style="517" customWidth="1"/>
    <col min="2" max="250" width="11.42578125" style="517"/>
    <col min="251" max="251" width="19.85546875" style="517" customWidth="1"/>
    <col min="252" max="506" width="11.42578125" style="517"/>
    <col min="507" max="507" width="19.85546875" style="517" customWidth="1"/>
    <col min="508" max="762" width="11.42578125" style="517"/>
    <col min="763" max="763" width="19.85546875" style="517" customWidth="1"/>
    <col min="764" max="1018" width="11.42578125" style="517"/>
    <col min="1019" max="1019" width="19.85546875" style="517" customWidth="1"/>
    <col min="1020" max="1274" width="11.42578125" style="517"/>
    <col min="1275" max="1275" width="19.85546875" style="517" customWidth="1"/>
    <col min="1276" max="1530" width="11.42578125" style="517"/>
    <col min="1531" max="1531" width="19.85546875" style="517" customWidth="1"/>
    <col min="1532" max="1786" width="11.42578125" style="517"/>
    <col min="1787" max="1787" width="19.85546875" style="517" customWidth="1"/>
    <col min="1788" max="2042" width="11.42578125" style="517"/>
    <col min="2043" max="2043" width="19.85546875" style="517" customWidth="1"/>
    <col min="2044" max="2298" width="11.42578125" style="517"/>
    <col min="2299" max="2299" width="19.85546875" style="517" customWidth="1"/>
    <col min="2300" max="2554" width="11.42578125" style="517"/>
    <col min="2555" max="2555" width="19.85546875" style="517" customWidth="1"/>
    <col min="2556" max="2810" width="11.42578125" style="517"/>
    <col min="2811" max="2811" width="19.85546875" style="517" customWidth="1"/>
    <col min="2812" max="3066" width="11.42578125" style="517"/>
    <col min="3067" max="3067" width="19.85546875" style="517" customWidth="1"/>
    <col min="3068" max="3322" width="11.42578125" style="517"/>
    <col min="3323" max="3323" width="19.85546875" style="517" customWidth="1"/>
    <col min="3324" max="3578" width="11.42578125" style="517"/>
    <col min="3579" max="3579" width="19.85546875" style="517" customWidth="1"/>
    <col min="3580" max="3834" width="11.42578125" style="517"/>
    <col min="3835" max="3835" width="19.85546875" style="517" customWidth="1"/>
    <col min="3836" max="4090" width="11.42578125" style="517"/>
    <col min="4091" max="4091" width="19.85546875" style="517" customWidth="1"/>
    <col min="4092" max="4346" width="11.42578125" style="517"/>
    <col min="4347" max="4347" width="19.85546875" style="517" customWidth="1"/>
    <col min="4348" max="4602" width="11.42578125" style="517"/>
    <col min="4603" max="4603" width="19.85546875" style="517" customWidth="1"/>
    <col min="4604" max="4858" width="11.42578125" style="517"/>
    <col min="4859" max="4859" width="19.85546875" style="517" customWidth="1"/>
    <col min="4860" max="5114" width="11.42578125" style="517"/>
    <col min="5115" max="5115" width="19.85546875" style="517" customWidth="1"/>
    <col min="5116" max="5370" width="11.42578125" style="517"/>
    <col min="5371" max="5371" width="19.85546875" style="517" customWidth="1"/>
    <col min="5372" max="5626" width="11.42578125" style="517"/>
    <col min="5627" max="5627" width="19.85546875" style="517" customWidth="1"/>
    <col min="5628" max="5882" width="11.42578125" style="517"/>
    <col min="5883" max="5883" width="19.85546875" style="517" customWidth="1"/>
    <col min="5884" max="6138" width="11.42578125" style="517"/>
    <col min="6139" max="6139" width="19.85546875" style="517" customWidth="1"/>
    <col min="6140" max="6394" width="11.42578125" style="517"/>
    <col min="6395" max="6395" width="19.85546875" style="517" customWidth="1"/>
    <col min="6396" max="6650" width="11.42578125" style="517"/>
    <col min="6651" max="6651" width="19.85546875" style="517" customWidth="1"/>
    <col min="6652" max="6906" width="11.42578125" style="517"/>
    <col min="6907" max="6907" width="19.85546875" style="517" customWidth="1"/>
    <col min="6908" max="7162" width="11.42578125" style="517"/>
    <col min="7163" max="7163" width="19.85546875" style="517" customWidth="1"/>
    <col min="7164" max="7418" width="11.42578125" style="517"/>
    <col min="7419" max="7419" width="19.85546875" style="517" customWidth="1"/>
    <col min="7420" max="7674" width="11.42578125" style="517"/>
    <col min="7675" max="7675" width="19.85546875" style="517" customWidth="1"/>
    <col min="7676" max="7930" width="11.42578125" style="517"/>
    <col min="7931" max="7931" width="19.85546875" style="517" customWidth="1"/>
    <col min="7932" max="8186" width="11.42578125" style="517"/>
    <col min="8187" max="8187" width="19.85546875" style="517" customWidth="1"/>
    <col min="8188" max="8442" width="11.42578125" style="517"/>
    <col min="8443" max="8443" width="19.85546875" style="517" customWidth="1"/>
    <col min="8444" max="8698" width="11.42578125" style="517"/>
    <col min="8699" max="8699" width="19.85546875" style="517" customWidth="1"/>
    <col min="8700" max="8954" width="11.42578125" style="517"/>
    <col min="8955" max="8955" width="19.85546875" style="517" customWidth="1"/>
    <col min="8956" max="9210" width="11.42578125" style="517"/>
    <col min="9211" max="9211" width="19.85546875" style="517" customWidth="1"/>
    <col min="9212" max="9466" width="11.42578125" style="517"/>
    <col min="9467" max="9467" width="19.85546875" style="517" customWidth="1"/>
    <col min="9468" max="9722" width="11.42578125" style="517"/>
    <col min="9723" max="9723" width="19.85546875" style="517" customWidth="1"/>
    <col min="9724" max="9978" width="11.42578125" style="517"/>
    <col min="9979" max="9979" width="19.85546875" style="517" customWidth="1"/>
    <col min="9980" max="10234" width="11.42578125" style="517"/>
    <col min="10235" max="10235" width="19.85546875" style="517" customWidth="1"/>
    <col min="10236" max="10490" width="11.42578125" style="517"/>
    <col min="10491" max="10491" width="19.85546875" style="517" customWidth="1"/>
    <col min="10492" max="10746" width="11.42578125" style="517"/>
    <col min="10747" max="10747" width="19.85546875" style="517" customWidth="1"/>
    <col min="10748" max="11002" width="11.42578125" style="517"/>
    <col min="11003" max="11003" width="19.85546875" style="517" customWidth="1"/>
    <col min="11004" max="11258" width="11.42578125" style="517"/>
    <col min="11259" max="11259" width="19.85546875" style="517" customWidth="1"/>
    <col min="11260" max="11514" width="11.42578125" style="517"/>
    <col min="11515" max="11515" width="19.85546875" style="517" customWidth="1"/>
    <col min="11516" max="11770" width="11.42578125" style="517"/>
    <col min="11771" max="11771" width="19.85546875" style="517" customWidth="1"/>
    <col min="11772" max="12026" width="11.42578125" style="517"/>
    <col min="12027" max="12027" width="19.85546875" style="517" customWidth="1"/>
    <col min="12028" max="12282" width="11.42578125" style="517"/>
    <col min="12283" max="12283" width="19.85546875" style="517" customWidth="1"/>
    <col min="12284" max="12538" width="11.42578125" style="517"/>
    <col min="12539" max="12539" width="19.85546875" style="517" customWidth="1"/>
    <col min="12540" max="12794" width="11.42578125" style="517"/>
    <col min="12795" max="12795" width="19.85546875" style="517" customWidth="1"/>
    <col min="12796" max="13050" width="11.42578125" style="517"/>
    <col min="13051" max="13051" width="19.85546875" style="517" customWidth="1"/>
    <col min="13052" max="13306" width="11.42578125" style="517"/>
    <col min="13307" max="13307" width="19.85546875" style="517" customWidth="1"/>
    <col min="13308" max="13562" width="11.42578125" style="517"/>
    <col min="13563" max="13563" width="19.85546875" style="517" customWidth="1"/>
    <col min="13564" max="13818" width="11.42578125" style="517"/>
    <col min="13819" max="13819" width="19.85546875" style="517" customWidth="1"/>
    <col min="13820" max="14074" width="11.42578125" style="517"/>
    <col min="14075" max="14075" width="19.85546875" style="517" customWidth="1"/>
    <col min="14076" max="14330" width="11.42578125" style="517"/>
    <col min="14331" max="14331" width="19.85546875" style="517" customWidth="1"/>
    <col min="14332" max="14586" width="11.42578125" style="517"/>
    <col min="14587" max="14587" width="19.85546875" style="517" customWidth="1"/>
    <col min="14588" max="14842" width="11.42578125" style="517"/>
    <col min="14843" max="14843" width="19.85546875" style="517" customWidth="1"/>
    <col min="14844" max="15098" width="11.42578125" style="517"/>
    <col min="15099" max="15099" width="19.85546875" style="517" customWidth="1"/>
    <col min="15100" max="15354" width="11.42578125" style="517"/>
    <col min="15355" max="15355" width="19.85546875" style="517" customWidth="1"/>
    <col min="15356" max="15610" width="11.42578125" style="517"/>
    <col min="15611" max="15611" width="19.85546875" style="517" customWidth="1"/>
    <col min="15612" max="15866" width="11.42578125" style="517"/>
    <col min="15867" max="15867" width="19.85546875" style="517" customWidth="1"/>
    <col min="15868" max="16122" width="11.42578125" style="517"/>
    <col min="16123" max="16123" width="19.85546875" style="517" customWidth="1"/>
    <col min="16124" max="16384" width="11.42578125" style="517"/>
  </cols>
  <sheetData>
    <row r="1" spans="1:8" s="421" customFormat="1" ht="11.25">
      <c r="A1" s="421" t="s">
        <v>391</v>
      </c>
      <c r="D1" s="421" t="s">
        <v>472</v>
      </c>
    </row>
    <row r="2" spans="1:8" s="422" customFormat="1" ht="11.25"/>
    <row r="3" spans="1:8" s="421" customFormat="1" ht="11.25" customHeight="1">
      <c r="A3" s="423" t="s">
        <v>392</v>
      </c>
      <c r="D3" s="421" t="s">
        <v>139</v>
      </c>
    </row>
    <row r="4" spans="1:8" s="421" customFormat="1" ht="7.5" customHeight="1">
      <c r="A4" s="423"/>
    </row>
    <row r="5" spans="1:8" s="421" customFormat="1" ht="11.25">
      <c r="A5" s="424" t="s">
        <v>393</v>
      </c>
      <c r="D5" s="583" t="s">
        <v>586</v>
      </c>
      <c r="E5" s="583"/>
      <c r="F5" s="583"/>
      <c r="G5" s="583"/>
      <c r="H5" s="583"/>
    </row>
    <row r="6" spans="1:8" s="421" customFormat="1" ht="7.5" customHeight="1"/>
    <row r="7" spans="1:8" s="422" customFormat="1" ht="11.25">
      <c r="A7" s="421" t="s">
        <v>170</v>
      </c>
      <c r="B7" s="421"/>
      <c r="C7" s="421"/>
      <c r="D7" s="422" t="s">
        <v>585</v>
      </c>
      <c r="E7" s="422" t="s">
        <v>586</v>
      </c>
    </row>
    <row r="8" spans="1:8" s="422" customFormat="1" ht="7.5" customHeight="1"/>
    <row r="9" spans="1:8" s="427" customFormat="1" ht="11.25">
      <c r="A9" s="425" t="s">
        <v>587</v>
      </c>
      <c r="B9" s="425"/>
      <c r="C9" s="425"/>
      <c r="D9" s="426" t="s">
        <v>588</v>
      </c>
      <c r="E9" s="584" t="s">
        <v>191</v>
      </c>
      <c r="F9" s="584"/>
      <c r="G9" s="584"/>
      <c r="H9" s="584"/>
    </row>
    <row r="10" spans="1:8" s="427" customFormat="1" ht="11.25">
      <c r="A10" s="425"/>
      <c r="B10" s="425"/>
      <c r="C10" s="425"/>
      <c r="D10" s="426"/>
      <c r="E10" s="584"/>
      <c r="F10" s="584"/>
      <c r="G10" s="584"/>
      <c r="H10" s="584"/>
    </row>
    <row r="11" spans="1:8" s="427" customFormat="1" ht="11.25"/>
    <row r="12" spans="1:8" s="422" customFormat="1" ht="11.25"/>
    <row r="13" spans="1:8" s="422" customFormat="1" ht="11.25">
      <c r="A13" s="421" t="s">
        <v>589</v>
      </c>
      <c r="B13" s="421"/>
      <c r="C13" s="421"/>
    </row>
    <row r="14" spans="1:8" s="429" customFormat="1" ht="11.25">
      <c r="A14" s="428"/>
      <c r="B14" s="428"/>
      <c r="C14" s="428"/>
    </row>
    <row r="15" spans="1:8" s="429" customFormat="1" ht="11.25">
      <c r="A15" s="428"/>
      <c r="B15" s="428"/>
      <c r="C15" s="428"/>
    </row>
    <row r="16" spans="1:8" s="429" customFormat="1" ht="11.25">
      <c r="A16" s="428"/>
      <c r="B16" s="428"/>
      <c r="C16" s="428"/>
    </row>
    <row r="17" spans="1:8" s="429" customFormat="1" ht="11.25">
      <c r="A17" s="428"/>
      <c r="B17" s="428"/>
      <c r="C17" s="428"/>
    </row>
    <row r="18" spans="1:8" s="429" customFormat="1" ht="11.25">
      <c r="A18" s="428"/>
      <c r="B18" s="428"/>
      <c r="C18" s="428"/>
    </row>
    <row r="19" spans="1:8" s="429" customFormat="1" ht="11.25">
      <c r="A19" s="428"/>
      <c r="B19" s="428"/>
      <c r="C19" s="428"/>
    </row>
    <row r="20" spans="1:8" s="422" customFormat="1" ht="9" customHeight="1">
      <c r="A20" s="430"/>
      <c r="B20" s="430"/>
      <c r="C20" s="430"/>
      <c r="D20" s="430"/>
      <c r="E20" s="430"/>
      <c r="F20" s="430"/>
      <c r="G20" s="430"/>
      <c r="H20" s="430"/>
    </row>
    <row r="21" spans="1:8" s="422" customFormat="1" ht="22.5" customHeight="1">
      <c r="A21" s="585" t="s">
        <v>590</v>
      </c>
      <c r="B21" s="585"/>
      <c r="C21" s="585"/>
      <c r="D21" s="586"/>
      <c r="E21" s="586"/>
      <c r="F21" s="586"/>
      <c r="G21" s="586"/>
      <c r="H21" s="586"/>
    </row>
    <row r="22" spans="1:8" s="429" customFormat="1" ht="11.25">
      <c r="A22" s="431"/>
      <c r="B22" s="431"/>
      <c r="C22" s="431"/>
      <c r="D22" s="432"/>
      <c r="E22" s="432"/>
      <c r="F22" s="432"/>
      <c r="G22" s="432"/>
      <c r="H22" s="432"/>
    </row>
    <row r="23" spans="1:8" s="429" customFormat="1" ht="11.25">
      <c r="A23" s="431"/>
      <c r="B23" s="431"/>
      <c r="C23" s="431"/>
      <c r="D23" s="432"/>
      <c r="E23" s="432"/>
      <c r="F23" s="432"/>
      <c r="G23" s="432"/>
      <c r="H23" s="432"/>
    </row>
    <row r="24" spans="1:8" s="429" customFormat="1" ht="11.25">
      <c r="A24" s="431"/>
      <c r="B24" s="431"/>
      <c r="C24" s="431"/>
      <c r="D24" s="432"/>
      <c r="E24" s="432"/>
      <c r="F24" s="432"/>
      <c r="G24" s="432"/>
      <c r="H24" s="432"/>
    </row>
    <row r="25" spans="1:8" s="429" customFormat="1" ht="11.25">
      <c r="A25" s="431"/>
      <c r="B25" s="431"/>
      <c r="C25" s="431"/>
      <c r="D25" s="432"/>
      <c r="E25" s="432"/>
      <c r="F25" s="432"/>
      <c r="G25" s="432"/>
      <c r="H25" s="432"/>
    </row>
    <row r="26" spans="1:8" s="429" customFormat="1" ht="10.5" customHeight="1">
      <c r="A26" s="431"/>
      <c r="B26" s="431"/>
      <c r="C26" s="431"/>
      <c r="D26" s="432"/>
      <c r="E26" s="432"/>
      <c r="F26" s="432"/>
      <c r="G26" s="432"/>
      <c r="H26" s="432"/>
    </row>
    <row r="27" spans="1:8" s="429" customFormat="1" ht="11.25" hidden="1">
      <c r="A27" s="431"/>
      <c r="B27" s="431"/>
      <c r="C27" s="431"/>
      <c r="D27" s="432"/>
      <c r="E27" s="432"/>
      <c r="F27" s="432"/>
      <c r="G27" s="432"/>
      <c r="H27" s="432"/>
    </row>
    <row r="28" spans="1:8" s="429" customFormat="1" ht="3.75" hidden="1" customHeight="1">
      <c r="A28" s="431"/>
      <c r="B28" s="431"/>
      <c r="C28" s="431"/>
      <c r="D28" s="432"/>
      <c r="E28" s="432"/>
      <c r="F28" s="432"/>
      <c r="G28" s="432"/>
      <c r="H28" s="432"/>
    </row>
    <row r="29" spans="1:8" s="429" customFormat="1" ht="11.25" hidden="1">
      <c r="A29" s="431"/>
      <c r="B29" s="431"/>
      <c r="C29" s="431"/>
      <c r="D29" s="432"/>
      <c r="E29" s="432"/>
      <c r="F29" s="432"/>
      <c r="G29" s="432"/>
      <c r="H29" s="432"/>
    </row>
    <row r="30" spans="1:8" s="429" customFormat="1" ht="11.25" hidden="1">
      <c r="A30" s="431"/>
      <c r="B30" s="431"/>
      <c r="C30" s="431"/>
      <c r="D30" s="432"/>
      <c r="E30" s="432"/>
      <c r="F30" s="432"/>
      <c r="G30" s="432"/>
      <c r="H30" s="432"/>
    </row>
    <row r="31" spans="1:8" s="422" customFormat="1" ht="9" customHeight="1"/>
    <row r="32" spans="1:8" s="422" customFormat="1" ht="11.25">
      <c r="A32" s="421" t="s">
        <v>591</v>
      </c>
      <c r="B32" s="421"/>
      <c r="C32" s="421"/>
    </row>
    <row r="33" spans="1:8" s="429" customFormat="1" ht="11.25">
      <c r="A33" s="428"/>
      <c r="B33" s="428"/>
      <c r="C33" s="428"/>
    </row>
    <row r="34" spans="1:8" s="429" customFormat="1" ht="11.25">
      <c r="A34" s="428"/>
      <c r="B34" s="428"/>
      <c r="C34" s="428"/>
    </row>
    <row r="35" spans="1:8" s="429" customFormat="1" ht="2.25" customHeight="1">
      <c r="A35" s="428"/>
      <c r="B35" s="428"/>
      <c r="C35" s="428"/>
    </row>
    <row r="36" spans="1:8" s="429" customFormat="1" ht="6" hidden="1" customHeight="1">
      <c r="A36" s="428"/>
      <c r="B36" s="428"/>
      <c r="C36" s="428"/>
    </row>
    <row r="37" spans="1:8" s="429" customFormat="1" ht="3" customHeight="1">
      <c r="A37" s="428"/>
      <c r="B37" s="428"/>
      <c r="C37" s="428"/>
    </row>
    <row r="38" spans="1:8" s="422" customFormat="1" ht="9" customHeight="1"/>
    <row r="39" spans="1:8" s="422" customFormat="1" ht="11.25">
      <c r="A39" s="433" t="s">
        <v>592</v>
      </c>
      <c r="B39" s="434"/>
      <c r="C39" s="434"/>
      <c r="D39" s="434"/>
      <c r="E39" s="434"/>
      <c r="F39" s="434"/>
      <c r="G39" s="434"/>
      <c r="H39" s="434"/>
    </row>
    <row r="40" spans="1:8" s="429" customFormat="1" ht="11.25">
      <c r="A40" s="435"/>
      <c r="B40" s="436"/>
      <c r="C40" s="436"/>
      <c r="D40" s="436"/>
      <c r="E40" s="436"/>
      <c r="F40" s="436"/>
      <c r="G40" s="436"/>
      <c r="H40" s="436"/>
    </row>
    <row r="41" spans="1:8" s="429" customFormat="1" ht="11.25">
      <c r="A41" s="435"/>
      <c r="B41" s="436"/>
      <c r="C41" s="436"/>
      <c r="D41" s="436"/>
      <c r="E41" s="436"/>
      <c r="F41" s="436"/>
      <c r="G41" s="436"/>
      <c r="H41" s="436"/>
    </row>
    <row r="42" spans="1:8" s="422" customFormat="1" ht="11.25">
      <c r="A42" s="437"/>
      <c r="B42" s="437"/>
      <c r="C42" s="437"/>
      <c r="D42" s="437"/>
      <c r="E42" s="437"/>
      <c r="F42" s="437"/>
      <c r="G42" s="437"/>
      <c r="H42" s="437"/>
    </row>
    <row r="43" spans="1:8" s="422" customFormat="1" ht="11.25">
      <c r="A43" s="421" t="s">
        <v>593</v>
      </c>
      <c r="B43" s="421"/>
      <c r="C43" s="421"/>
    </row>
    <row r="44" spans="1:8" s="422" customFormat="1" ht="11.25">
      <c r="A44" s="438"/>
      <c r="B44" s="439" t="s">
        <v>132</v>
      </c>
      <c r="C44" s="439" t="s">
        <v>473</v>
      </c>
      <c r="D44" s="439" t="s">
        <v>474</v>
      </c>
      <c r="E44" s="439" t="s">
        <v>375</v>
      </c>
      <c r="F44" s="439" t="s">
        <v>9</v>
      </c>
      <c r="G44" s="439" t="s">
        <v>131</v>
      </c>
      <c r="H44" s="439" t="s">
        <v>424</v>
      </c>
    </row>
    <row r="45" spans="1:8" s="422" customFormat="1" ht="11.25">
      <c r="A45" s="439" t="s">
        <v>394</v>
      </c>
      <c r="B45" s="438">
        <v>840512.65</v>
      </c>
      <c r="C45" s="438">
        <v>779603.35</v>
      </c>
      <c r="D45" s="438">
        <v>909687.24999999988</v>
      </c>
      <c r="E45" s="438">
        <v>914734.70959999994</v>
      </c>
      <c r="F45" s="438">
        <v>914734.70959999994</v>
      </c>
      <c r="G45" s="438">
        <v>921813.75303999998</v>
      </c>
      <c r="H45" s="438">
        <v>924341.98283999984</v>
      </c>
    </row>
    <row r="46" spans="1:8" s="422" customFormat="1" ht="11.25">
      <c r="A46" s="439" t="s">
        <v>395</v>
      </c>
      <c r="B46" s="438">
        <v>0</v>
      </c>
      <c r="C46" s="438">
        <v>-3198.3</v>
      </c>
      <c r="D46" s="438">
        <v>0</v>
      </c>
      <c r="E46" s="438">
        <v>0</v>
      </c>
      <c r="F46" s="438">
        <v>0</v>
      </c>
      <c r="G46" s="438">
        <v>0</v>
      </c>
      <c r="H46" s="438">
        <v>0</v>
      </c>
    </row>
    <row r="47" spans="1:8" s="422" customFormat="1" ht="11.25">
      <c r="A47" s="439" t="s">
        <v>396</v>
      </c>
      <c r="B47" s="438">
        <v>840512.65</v>
      </c>
      <c r="C47" s="438">
        <v>776405.04999999993</v>
      </c>
      <c r="D47" s="438">
        <v>909687.24999999988</v>
      </c>
      <c r="E47" s="438">
        <v>914734.70959999994</v>
      </c>
      <c r="F47" s="438">
        <v>914734.70959999994</v>
      </c>
      <c r="G47" s="438">
        <v>921813.75303999998</v>
      </c>
      <c r="H47" s="438">
        <v>924341.98283999984</v>
      </c>
    </row>
    <row r="48" spans="1:8" s="442" customFormat="1" ht="11.25">
      <c r="A48" s="440" t="s">
        <v>397</v>
      </c>
      <c r="B48" s="441">
        <v>0</v>
      </c>
      <c r="C48" s="441">
        <v>4.1024708269917004E-3</v>
      </c>
      <c r="D48" s="441">
        <v>0</v>
      </c>
      <c r="E48" s="441">
        <v>0</v>
      </c>
      <c r="F48" s="441">
        <v>0</v>
      </c>
      <c r="G48" s="441">
        <v>0</v>
      </c>
      <c r="H48" s="441">
        <v>0</v>
      </c>
    </row>
    <row r="49" spans="1:8" s="422" customFormat="1" ht="11.25"/>
    <row r="50" spans="1:8" s="422" customFormat="1" ht="11.25">
      <c r="A50" s="443" t="s">
        <v>594</v>
      </c>
      <c r="B50" s="443"/>
      <c r="C50" s="444"/>
    </row>
    <row r="51" spans="1:8" s="422" customFormat="1" ht="11.25">
      <c r="A51" s="445" t="s">
        <v>595</v>
      </c>
      <c r="B51" s="446"/>
      <c r="C51" s="447"/>
      <c r="D51" s="439" t="s">
        <v>474</v>
      </c>
      <c r="E51" s="439" t="s">
        <v>375</v>
      </c>
      <c r="F51" s="439" t="s">
        <v>9</v>
      </c>
      <c r="G51" s="439" t="s">
        <v>131</v>
      </c>
      <c r="H51" s="439" t="s">
        <v>424</v>
      </c>
    </row>
    <row r="52" spans="1:8" s="422" customFormat="1" ht="11.25">
      <c r="A52" s="448" t="s">
        <v>596</v>
      </c>
      <c r="B52" s="449"/>
      <c r="C52" s="449"/>
      <c r="D52" s="438"/>
      <c r="E52" s="438"/>
      <c r="F52" s="438"/>
      <c r="G52" s="438"/>
      <c r="H52" s="438"/>
    </row>
    <row r="53" spans="1:8" s="422" customFormat="1" ht="11.25">
      <c r="A53" s="448"/>
      <c r="B53" s="449"/>
      <c r="C53" s="449"/>
      <c r="D53" s="438"/>
      <c r="E53" s="438"/>
      <c r="F53" s="438"/>
      <c r="G53" s="438"/>
      <c r="H53" s="438"/>
    </row>
    <row r="54" spans="1:8" s="422" customFormat="1" ht="11.25">
      <c r="A54" s="448"/>
      <c r="B54" s="449"/>
      <c r="C54" s="449"/>
      <c r="D54" s="438"/>
      <c r="E54" s="438"/>
      <c r="F54" s="438"/>
      <c r="G54" s="438"/>
      <c r="H54" s="438"/>
    </row>
    <row r="55" spans="1:8" s="422" customFormat="1" ht="11.25"/>
    <row r="56" spans="1:8" s="422" customFormat="1" ht="11.25">
      <c r="A56" s="421" t="s">
        <v>423</v>
      </c>
      <c r="B56" s="421"/>
      <c r="C56" s="421"/>
    </row>
    <row r="57" spans="1:8" s="422" customFormat="1" ht="11.25">
      <c r="A57" s="450"/>
      <c r="B57" s="439" t="s">
        <v>132</v>
      </c>
      <c r="C57" s="439" t="s">
        <v>473</v>
      </c>
      <c r="D57" s="439" t="s">
        <v>474</v>
      </c>
      <c r="E57" s="439" t="s">
        <v>375</v>
      </c>
      <c r="F57" s="439" t="s">
        <v>9</v>
      </c>
      <c r="G57" s="439" t="s">
        <v>131</v>
      </c>
      <c r="H57" s="439" t="s">
        <v>424</v>
      </c>
    </row>
    <row r="58" spans="1:8" s="422" customFormat="1" ht="11.25">
      <c r="A58" s="451" t="s">
        <v>398</v>
      </c>
      <c r="B58" s="438">
        <v>0</v>
      </c>
      <c r="C58" s="438">
        <v>0</v>
      </c>
      <c r="D58" s="438">
        <v>0</v>
      </c>
      <c r="E58" s="438">
        <v>0</v>
      </c>
      <c r="F58" s="438">
        <v>0</v>
      </c>
      <c r="G58" s="438">
        <v>0</v>
      </c>
      <c r="H58" s="438">
        <v>0</v>
      </c>
    </row>
    <row r="59" spans="1:8" s="422" customFormat="1" ht="11.25">
      <c r="A59" s="451" t="s">
        <v>399</v>
      </c>
      <c r="B59" s="438">
        <v>0</v>
      </c>
      <c r="C59" s="438">
        <v>0</v>
      </c>
      <c r="D59" s="438">
        <v>0</v>
      </c>
      <c r="E59" s="438">
        <v>0</v>
      </c>
      <c r="F59" s="438">
        <v>0</v>
      </c>
      <c r="G59" s="438">
        <v>0</v>
      </c>
      <c r="H59" s="438">
        <v>0</v>
      </c>
    </row>
    <row r="60" spans="1:8" s="422" customFormat="1" ht="11.25">
      <c r="A60" s="451" t="s">
        <v>400</v>
      </c>
      <c r="B60" s="438">
        <v>0</v>
      </c>
      <c r="C60" s="438">
        <v>0</v>
      </c>
      <c r="D60" s="438">
        <v>0</v>
      </c>
      <c r="E60" s="438">
        <v>0</v>
      </c>
      <c r="F60" s="438">
        <v>0</v>
      </c>
      <c r="G60" s="438">
        <v>0</v>
      </c>
      <c r="H60" s="438">
        <v>0</v>
      </c>
    </row>
    <row r="61" spans="1:8" s="422" customFormat="1" ht="11.25">
      <c r="A61" s="451" t="s">
        <v>401</v>
      </c>
      <c r="B61" s="438">
        <v>0</v>
      </c>
      <c r="C61" s="438">
        <v>0</v>
      </c>
      <c r="D61" s="438">
        <v>0</v>
      </c>
      <c r="E61" s="438">
        <v>0</v>
      </c>
      <c r="F61" s="438">
        <v>0</v>
      </c>
      <c r="G61" s="438">
        <v>0</v>
      </c>
      <c r="H61" s="438">
        <v>0</v>
      </c>
    </row>
    <row r="62" spans="1:8" s="422" customFormat="1" ht="11.25"/>
    <row r="63" spans="1:8" s="422" customFormat="1" ht="11.25">
      <c r="A63" s="421" t="s">
        <v>597</v>
      </c>
      <c r="B63" s="421"/>
      <c r="C63" s="421"/>
    </row>
    <row r="64" spans="1:8" s="429" customFormat="1" ht="11.25">
      <c r="A64" s="428"/>
      <c r="B64" s="428"/>
      <c r="C64" s="428"/>
    </row>
    <row r="65" spans="1:8" s="429" customFormat="1" ht="11.25">
      <c r="A65" s="428"/>
      <c r="B65" s="428"/>
      <c r="C65" s="428"/>
    </row>
    <row r="66" spans="1:8" s="429" customFormat="1" ht="11.25">
      <c r="A66" s="428"/>
      <c r="B66" s="428"/>
      <c r="C66" s="428"/>
    </row>
    <row r="67" spans="1:8" s="422" customFormat="1" ht="11.25"/>
    <row r="68" spans="1:8" s="422" customFormat="1" ht="11.25">
      <c r="A68" s="421" t="s">
        <v>598</v>
      </c>
      <c r="B68" s="421"/>
      <c r="C68" s="421"/>
    </row>
    <row r="69" spans="1:8" s="422" customFormat="1" ht="11.25">
      <c r="A69" s="452" t="s">
        <v>599</v>
      </c>
      <c r="B69" s="447"/>
      <c r="C69" s="447"/>
      <c r="D69" s="447"/>
      <c r="E69" s="439" t="s">
        <v>375</v>
      </c>
      <c r="F69" s="439" t="s">
        <v>9</v>
      </c>
      <c r="G69" s="439" t="s">
        <v>131</v>
      </c>
      <c r="H69" s="439" t="s">
        <v>424</v>
      </c>
    </row>
    <row r="70" spans="1:8" s="422" customFormat="1" ht="11.25">
      <c r="A70" s="448"/>
      <c r="B70" s="449"/>
      <c r="C70" s="449"/>
      <c r="D70" s="449"/>
      <c r="E70" s="438">
        <v>0</v>
      </c>
      <c r="F70" s="438">
        <v>0</v>
      </c>
      <c r="G70" s="438">
        <v>0</v>
      </c>
      <c r="H70" s="438">
        <v>0</v>
      </c>
    </row>
    <row r="71" spans="1:8" s="422" customFormat="1" ht="11.25">
      <c r="A71" s="448"/>
      <c r="B71" s="449"/>
      <c r="C71" s="449"/>
      <c r="D71" s="449"/>
      <c r="E71" s="438">
        <v>0</v>
      </c>
      <c r="F71" s="438">
        <v>0</v>
      </c>
      <c r="G71" s="438">
        <v>0</v>
      </c>
      <c r="H71" s="438">
        <v>0</v>
      </c>
    </row>
    <row r="72" spans="1:8" s="422" customFormat="1" ht="11.25">
      <c r="A72" s="448"/>
      <c r="B72" s="449"/>
      <c r="C72" s="449"/>
      <c r="D72" s="449"/>
      <c r="E72" s="438">
        <v>0</v>
      </c>
      <c r="F72" s="438">
        <v>0</v>
      </c>
      <c r="G72" s="438">
        <v>0</v>
      </c>
      <c r="H72" s="438">
        <v>0</v>
      </c>
    </row>
    <row r="73" spans="1:8" s="421" customFormat="1" ht="11.25">
      <c r="A73" s="421" t="s">
        <v>391</v>
      </c>
      <c r="D73" s="421" t="s">
        <v>472</v>
      </c>
    </row>
    <row r="74" spans="1:8" s="422" customFormat="1" ht="11.25"/>
    <row r="75" spans="1:8" s="421" customFormat="1" ht="11.25" customHeight="1">
      <c r="A75" s="423" t="s">
        <v>392</v>
      </c>
      <c r="D75" s="421" t="s">
        <v>139</v>
      </c>
    </row>
    <row r="76" spans="1:8" s="421" customFormat="1" ht="7.5" customHeight="1">
      <c r="A76" s="423"/>
    </row>
    <row r="77" spans="1:8" s="421" customFormat="1" ht="11.25">
      <c r="A77" s="424" t="s">
        <v>393</v>
      </c>
      <c r="D77" s="583" t="s">
        <v>586</v>
      </c>
      <c r="E77" s="583"/>
      <c r="F77" s="583"/>
      <c r="G77" s="583"/>
      <c r="H77" s="583"/>
    </row>
    <row r="78" spans="1:8" s="421" customFormat="1" ht="7.5" customHeight="1"/>
    <row r="79" spans="1:8" s="422" customFormat="1" ht="11.25">
      <c r="A79" s="421" t="s">
        <v>170</v>
      </c>
      <c r="B79" s="421"/>
      <c r="C79" s="421"/>
      <c r="D79" s="422" t="s">
        <v>188</v>
      </c>
      <c r="E79" s="422" t="s">
        <v>600</v>
      </c>
    </row>
    <row r="80" spans="1:8" s="422" customFormat="1" ht="7.5" customHeight="1"/>
    <row r="81" spans="1:8" s="427" customFormat="1" ht="11.25">
      <c r="A81" s="425" t="s">
        <v>587</v>
      </c>
      <c r="B81" s="425"/>
      <c r="C81" s="425"/>
      <c r="D81" s="426" t="s">
        <v>601</v>
      </c>
      <c r="E81" s="584" t="s">
        <v>602</v>
      </c>
      <c r="F81" s="584"/>
      <c r="G81" s="584"/>
      <c r="H81" s="584"/>
    </row>
    <row r="82" spans="1:8" s="427" customFormat="1" ht="11.25">
      <c r="A82" s="425"/>
      <c r="B82" s="425"/>
      <c r="C82" s="425"/>
      <c r="D82" s="426" t="s">
        <v>603</v>
      </c>
      <c r="E82" s="584" t="s">
        <v>171</v>
      </c>
      <c r="F82" s="584"/>
      <c r="G82" s="584"/>
      <c r="H82" s="584"/>
    </row>
    <row r="83" spans="1:8" s="427" customFormat="1" ht="11.25">
      <c r="A83" s="425"/>
      <c r="B83" s="425"/>
      <c r="C83" s="425"/>
      <c r="D83" s="426"/>
      <c r="E83" s="584"/>
      <c r="F83" s="584"/>
      <c r="G83" s="584"/>
      <c r="H83" s="584"/>
    </row>
    <row r="84" spans="1:8" s="427" customFormat="1" ht="11.25"/>
    <row r="85" spans="1:8" s="422" customFormat="1" ht="11.25"/>
    <row r="86" spans="1:8" s="422" customFormat="1" ht="11.25">
      <c r="A86" s="421" t="s">
        <v>589</v>
      </c>
      <c r="B86" s="421"/>
      <c r="C86" s="421"/>
    </row>
    <row r="87" spans="1:8" s="429" customFormat="1" ht="11.25">
      <c r="A87" s="428"/>
      <c r="B87" s="428"/>
      <c r="C87" s="428"/>
    </row>
    <row r="88" spans="1:8" s="429" customFormat="1" ht="11.25">
      <c r="A88" s="428"/>
      <c r="B88" s="428"/>
      <c r="C88" s="428"/>
    </row>
    <row r="89" spans="1:8" s="429" customFormat="1" ht="11.25">
      <c r="A89" s="428"/>
      <c r="B89" s="428"/>
      <c r="C89" s="428"/>
    </row>
    <row r="90" spans="1:8" s="429" customFormat="1" ht="11.25">
      <c r="A90" s="428"/>
      <c r="B90" s="428"/>
      <c r="C90" s="428"/>
    </row>
    <row r="91" spans="1:8" s="429" customFormat="1" ht="0.75" customHeight="1">
      <c r="A91" s="428"/>
      <c r="B91" s="428"/>
      <c r="C91" s="428"/>
    </row>
    <row r="92" spans="1:8" s="429" customFormat="1" ht="11.25" hidden="1">
      <c r="A92" s="428"/>
      <c r="B92" s="428"/>
      <c r="C92" s="428"/>
    </row>
    <row r="93" spans="1:8" s="422" customFormat="1" ht="9" hidden="1" customHeight="1">
      <c r="A93" s="430"/>
      <c r="B93" s="430"/>
      <c r="C93" s="430"/>
      <c r="D93" s="430"/>
      <c r="E93" s="430"/>
      <c r="F93" s="430"/>
      <c r="G93" s="430"/>
      <c r="H93" s="430"/>
    </row>
    <row r="94" spans="1:8" s="422" customFormat="1" ht="22.5" customHeight="1">
      <c r="A94" s="585" t="s">
        <v>590</v>
      </c>
      <c r="B94" s="585"/>
      <c r="C94" s="585"/>
      <c r="D94" s="586"/>
      <c r="E94" s="586"/>
      <c r="F94" s="586"/>
      <c r="G94" s="586"/>
      <c r="H94" s="586"/>
    </row>
    <row r="95" spans="1:8" s="429" customFormat="1" ht="11.25">
      <c r="A95" s="431"/>
      <c r="B95" s="431"/>
      <c r="C95" s="431"/>
      <c r="D95" s="432"/>
      <c r="E95" s="432"/>
      <c r="F95" s="432"/>
      <c r="G95" s="432"/>
      <c r="H95" s="432"/>
    </row>
    <row r="96" spans="1:8" s="429" customFormat="1" ht="11.25">
      <c r="A96" s="431"/>
      <c r="B96" s="431"/>
      <c r="C96" s="431"/>
      <c r="D96" s="432"/>
      <c r="E96" s="432"/>
      <c r="F96" s="432"/>
      <c r="G96" s="432"/>
      <c r="H96" s="432"/>
    </row>
    <row r="97" spans="1:8" s="429" customFormat="1" ht="11.25">
      <c r="A97" s="431"/>
      <c r="B97" s="431"/>
      <c r="C97" s="431"/>
      <c r="D97" s="432"/>
      <c r="E97" s="432"/>
      <c r="F97" s="432"/>
      <c r="G97" s="432"/>
      <c r="H97" s="432"/>
    </row>
    <row r="98" spans="1:8" s="429" customFormat="1" ht="11.25">
      <c r="A98" s="431"/>
      <c r="B98" s="431"/>
      <c r="C98" s="431"/>
      <c r="D98" s="432"/>
      <c r="E98" s="432"/>
      <c r="F98" s="432"/>
      <c r="G98" s="432"/>
      <c r="H98" s="432"/>
    </row>
    <row r="99" spans="1:8" s="422" customFormat="1" ht="9" customHeight="1"/>
    <row r="100" spans="1:8" s="422" customFormat="1" ht="32.25" customHeight="1">
      <c r="A100" s="421" t="s">
        <v>591</v>
      </c>
      <c r="B100" s="421"/>
      <c r="C100" s="421"/>
    </row>
    <row r="101" spans="1:8" s="429" customFormat="1" ht="11.25" customHeight="1">
      <c r="A101" s="428"/>
      <c r="B101" s="428"/>
      <c r="C101" s="428"/>
    </row>
    <row r="102" spans="1:8" s="429" customFormat="1" ht="11.25">
      <c r="A102" s="428"/>
      <c r="B102" s="428"/>
      <c r="C102" s="428"/>
    </row>
    <row r="103" spans="1:8" s="429" customFormat="1" ht="9.75" customHeight="1">
      <c r="A103" s="428"/>
      <c r="B103" s="428"/>
      <c r="C103" s="428"/>
    </row>
    <row r="104" spans="1:8" s="429" customFormat="1" ht="11.25" hidden="1">
      <c r="A104" s="428"/>
      <c r="B104" s="428"/>
      <c r="C104" s="428"/>
    </row>
    <row r="105" spans="1:8" s="429" customFormat="1" ht="11.25">
      <c r="A105" s="428"/>
      <c r="B105" s="428"/>
      <c r="C105" s="428"/>
    </row>
    <row r="106" spans="1:8" s="422" customFormat="1" ht="9" customHeight="1"/>
    <row r="107" spans="1:8" s="422" customFormat="1" ht="11.25">
      <c r="A107" s="433" t="s">
        <v>592</v>
      </c>
      <c r="B107" s="434"/>
      <c r="C107" s="434"/>
      <c r="D107" s="434"/>
      <c r="E107" s="434"/>
      <c r="F107" s="434"/>
      <c r="G107" s="434"/>
      <c r="H107" s="434"/>
    </row>
    <row r="108" spans="1:8" s="429" customFormat="1" ht="11.25">
      <c r="A108" s="435"/>
      <c r="B108" s="436"/>
      <c r="C108" s="436"/>
      <c r="D108" s="436"/>
      <c r="E108" s="436"/>
      <c r="F108" s="436"/>
      <c r="G108" s="436"/>
      <c r="H108" s="436"/>
    </row>
    <row r="109" spans="1:8" s="429" customFormat="1" ht="11.25">
      <c r="A109" s="435"/>
      <c r="B109" s="436"/>
      <c r="C109" s="436"/>
      <c r="D109" s="436"/>
      <c r="E109" s="436"/>
      <c r="F109" s="436"/>
      <c r="G109" s="436"/>
      <c r="H109" s="436"/>
    </row>
    <row r="110" spans="1:8" s="422" customFormat="1" ht="11.25">
      <c r="A110" s="437"/>
      <c r="B110" s="437"/>
      <c r="C110" s="437"/>
      <c r="D110" s="437"/>
      <c r="E110" s="437"/>
      <c r="F110" s="437"/>
      <c r="G110" s="437"/>
      <c r="H110" s="437"/>
    </row>
    <row r="111" spans="1:8" s="422" customFormat="1" ht="11.25">
      <c r="A111" s="421" t="s">
        <v>593</v>
      </c>
      <c r="B111" s="421"/>
      <c r="C111" s="421"/>
    </row>
    <row r="112" spans="1:8" s="422" customFormat="1" ht="11.25">
      <c r="A112" s="438"/>
      <c r="B112" s="439" t="s">
        <v>132</v>
      </c>
      <c r="C112" s="439" t="s">
        <v>473</v>
      </c>
      <c r="D112" s="439" t="s">
        <v>474</v>
      </c>
      <c r="E112" s="439" t="s">
        <v>375</v>
      </c>
      <c r="F112" s="439" t="s">
        <v>9</v>
      </c>
      <c r="G112" s="439" t="s">
        <v>131</v>
      </c>
      <c r="H112" s="439" t="s">
        <v>424</v>
      </c>
    </row>
    <row r="113" spans="1:8" s="422" customFormat="1" ht="11.25">
      <c r="A113" s="439" t="s">
        <v>394</v>
      </c>
      <c r="B113" s="438">
        <v>957085.21000000008</v>
      </c>
      <c r="C113" s="438">
        <v>927780.91</v>
      </c>
      <c r="D113" s="438">
        <v>940199.64999999991</v>
      </c>
      <c r="E113" s="438">
        <v>941117.61540000001</v>
      </c>
      <c r="F113" s="438">
        <v>941117.61540000001</v>
      </c>
      <c r="G113" s="438">
        <v>941014.16696000006</v>
      </c>
      <c r="H113" s="438">
        <v>944548.64965999988</v>
      </c>
    </row>
    <row r="114" spans="1:8" s="422" customFormat="1" ht="11.25">
      <c r="A114" s="439" t="s">
        <v>395</v>
      </c>
      <c r="B114" s="438">
        <v>-8984.9500000000007</v>
      </c>
      <c r="C114" s="438">
        <v>-10883</v>
      </c>
      <c r="D114" s="438">
        <v>-7577.7</v>
      </c>
      <c r="E114" s="438">
        <v>-7577.7</v>
      </c>
      <c r="F114" s="438">
        <v>-7577.7</v>
      </c>
      <c r="G114" s="438">
        <v>-7577.7</v>
      </c>
      <c r="H114" s="438">
        <v>-7577.7</v>
      </c>
    </row>
    <row r="115" spans="1:8" s="422" customFormat="1" ht="11.25">
      <c r="A115" s="439" t="s">
        <v>396</v>
      </c>
      <c r="B115" s="438">
        <v>948100.26000000013</v>
      </c>
      <c r="C115" s="438">
        <v>916897.91</v>
      </c>
      <c r="D115" s="438">
        <v>932621.95</v>
      </c>
      <c r="E115" s="438">
        <v>933539.91540000006</v>
      </c>
      <c r="F115" s="438">
        <v>933539.91540000006</v>
      </c>
      <c r="G115" s="438">
        <v>933436.46696000011</v>
      </c>
      <c r="H115" s="438">
        <v>936970.94965999993</v>
      </c>
    </row>
    <row r="116" spans="1:8" s="442" customFormat="1" ht="11.25">
      <c r="A116" s="440" t="s">
        <v>397</v>
      </c>
      <c r="B116" s="441">
        <v>9.3878266074135658E-3</v>
      </c>
      <c r="C116" s="441">
        <v>1.1730140039203868E-2</v>
      </c>
      <c r="D116" s="441">
        <v>8.0596711560145771E-3</v>
      </c>
      <c r="E116" s="441">
        <v>8.0518097589526855E-3</v>
      </c>
      <c r="F116" s="441">
        <v>8.0518097589526855E-3</v>
      </c>
      <c r="G116" s="441">
        <v>8.0526949179523955E-3</v>
      </c>
      <c r="H116" s="441">
        <v>8.0225618899859436E-3</v>
      </c>
    </row>
    <row r="117" spans="1:8" s="422" customFormat="1" ht="11.25"/>
    <row r="118" spans="1:8" s="422" customFormat="1" ht="11.25">
      <c r="A118" s="443" t="s">
        <v>594</v>
      </c>
      <c r="B118" s="443"/>
      <c r="C118" s="444"/>
    </row>
    <row r="119" spans="1:8" s="422" customFormat="1" ht="11.25">
      <c r="A119" s="445" t="s">
        <v>595</v>
      </c>
      <c r="B119" s="446"/>
      <c r="C119" s="447"/>
      <c r="D119" s="439" t="s">
        <v>474</v>
      </c>
      <c r="E119" s="439" t="s">
        <v>375</v>
      </c>
      <c r="F119" s="439" t="s">
        <v>9</v>
      </c>
      <c r="G119" s="439" t="s">
        <v>131</v>
      </c>
      <c r="H119" s="439" t="s">
        <v>424</v>
      </c>
    </row>
    <row r="120" spans="1:8" s="422" customFormat="1" ht="11.25">
      <c r="A120" s="448" t="s">
        <v>596</v>
      </c>
      <c r="B120" s="449"/>
      <c r="C120" s="449"/>
      <c r="D120" s="438"/>
      <c r="E120" s="438"/>
      <c r="F120" s="438"/>
      <c r="G120" s="438"/>
      <c r="H120" s="438"/>
    </row>
    <row r="121" spans="1:8" s="422" customFormat="1" ht="11.25">
      <c r="A121" s="448"/>
      <c r="B121" s="449"/>
      <c r="C121" s="449"/>
      <c r="D121" s="438"/>
      <c r="E121" s="438"/>
      <c r="F121" s="438"/>
      <c r="G121" s="438"/>
      <c r="H121" s="438"/>
    </row>
    <row r="122" spans="1:8" s="422" customFormat="1" ht="11.25">
      <c r="A122" s="448"/>
      <c r="B122" s="449"/>
      <c r="C122" s="449"/>
      <c r="D122" s="438"/>
      <c r="E122" s="438"/>
      <c r="F122" s="438"/>
      <c r="G122" s="438"/>
      <c r="H122" s="438"/>
    </row>
    <row r="123" spans="1:8" s="422" customFormat="1" ht="11.25"/>
    <row r="124" spans="1:8" s="422" customFormat="1" ht="11.25">
      <c r="A124" s="421" t="s">
        <v>423</v>
      </c>
      <c r="B124" s="421"/>
      <c r="C124" s="421"/>
    </row>
    <row r="125" spans="1:8" s="422" customFormat="1" ht="11.25">
      <c r="A125" s="450"/>
      <c r="B125" s="439" t="s">
        <v>132</v>
      </c>
      <c r="C125" s="439" t="s">
        <v>473</v>
      </c>
      <c r="D125" s="439" t="s">
        <v>474</v>
      </c>
      <c r="E125" s="439" t="s">
        <v>375</v>
      </c>
      <c r="F125" s="439" t="s">
        <v>9</v>
      </c>
      <c r="G125" s="439" t="s">
        <v>131</v>
      </c>
      <c r="H125" s="439" t="s">
        <v>424</v>
      </c>
    </row>
    <row r="126" spans="1:8" s="422" customFormat="1" ht="11.25">
      <c r="A126" s="451" t="s">
        <v>398</v>
      </c>
      <c r="B126" s="438">
        <v>0</v>
      </c>
      <c r="C126" s="438">
        <v>0</v>
      </c>
      <c r="D126" s="438">
        <v>0</v>
      </c>
      <c r="E126" s="438">
        <v>0</v>
      </c>
      <c r="F126" s="438">
        <v>0</v>
      </c>
      <c r="G126" s="438">
        <v>0</v>
      </c>
      <c r="H126" s="438">
        <v>0</v>
      </c>
    </row>
    <row r="127" spans="1:8" s="422" customFormat="1" ht="11.25">
      <c r="A127" s="451" t="s">
        <v>399</v>
      </c>
      <c r="B127" s="438">
        <v>0</v>
      </c>
      <c r="C127" s="438">
        <v>0</v>
      </c>
      <c r="D127" s="438">
        <v>0</v>
      </c>
      <c r="E127" s="438">
        <v>0</v>
      </c>
      <c r="F127" s="438">
        <v>0</v>
      </c>
      <c r="G127" s="438">
        <v>0</v>
      </c>
      <c r="H127" s="438">
        <v>0</v>
      </c>
    </row>
    <row r="128" spans="1:8" s="422" customFormat="1" ht="11.25">
      <c r="A128" s="451" t="s">
        <v>400</v>
      </c>
      <c r="B128" s="438">
        <v>0</v>
      </c>
      <c r="C128" s="438">
        <v>0</v>
      </c>
      <c r="D128" s="438">
        <v>0</v>
      </c>
      <c r="E128" s="438">
        <v>0</v>
      </c>
      <c r="F128" s="438">
        <v>0</v>
      </c>
      <c r="G128" s="438">
        <v>0</v>
      </c>
      <c r="H128" s="438">
        <v>0</v>
      </c>
    </row>
    <row r="129" spans="1:8" s="422" customFormat="1" ht="11.25">
      <c r="A129" s="451" t="s">
        <v>401</v>
      </c>
      <c r="B129" s="438">
        <v>0</v>
      </c>
      <c r="C129" s="438">
        <v>0</v>
      </c>
      <c r="D129" s="438">
        <v>0</v>
      </c>
      <c r="E129" s="438">
        <v>0</v>
      </c>
      <c r="F129" s="438">
        <v>0</v>
      </c>
      <c r="G129" s="438">
        <v>0</v>
      </c>
      <c r="H129" s="438">
        <v>0</v>
      </c>
    </row>
    <row r="130" spans="1:8" s="422" customFormat="1" ht="11.25"/>
    <row r="131" spans="1:8" s="422" customFormat="1" ht="11.25">
      <c r="A131" s="421" t="s">
        <v>597</v>
      </c>
      <c r="B131" s="421"/>
      <c r="C131" s="421"/>
    </row>
    <row r="132" spans="1:8" s="429" customFormat="1" ht="11.25">
      <c r="A132" s="428"/>
      <c r="B132" s="428"/>
      <c r="C132" s="428"/>
    </row>
    <row r="133" spans="1:8" s="429" customFormat="1" ht="11.25">
      <c r="A133" s="428"/>
      <c r="B133" s="428"/>
      <c r="C133" s="428"/>
    </row>
    <row r="134" spans="1:8" s="429" customFormat="1" ht="11.25">
      <c r="A134" s="428"/>
      <c r="B134" s="428"/>
      <c r="C134" s="428"/>
    </row>
    <row r="135" spans="1:8" s="422" customFormat="1" ht="11.25"/>
    <row r="136" spans="1:8" s="422" customFormat="1" ht="11.25">
      <c r="A136" s="421" t="s">
        <v>598</v>
      </c>
      <c r="B136" s="421"/>
      <c r="C136" s="421"/>
    </row>
    <row r="137" spans="1:8" s="422" customFormat="1" ht="11.25">
      <c r="A137" s="452" t="s">
        <v>599</v>
      </c>
      <c r="B137" s="447"/>
      <c r="C137" s="447"/>
      <c r="D137" s="447"/>
      <c r="E137" s="439" t="s">
        <v>375</v>
      </c>
      <c r="F137" s="439" t="s">
        <v>9</v>
      </c>
      <c r="G137" s="439" t="s">
        <v>131</v>
      </c>
      <c r="H137" s="439" t="s">
        <v>424</v>
      </c>
    </row>
    <row r="138" spans="1:8" s="422" customFormat="1" ht="11.25">
      <c r="A138" s="448"/>
      <c r="B138" s="449"/>
      <c r="C138" s="449"/>
      <c r="D138" s="449"/>
      <c r="E138" s="438">
        <v>0</v>
      </c>
      <c r="F138" s="438">
        <v>0</v>
      </c>
      <c r="G138" s="438">
        <v>0</v>
      </c>
      <c r="H138" s="438">
        <v>0</v>
      </c>
    </row>
    <row r="139" spans="1:8" s="422" customFormat="1" ht="11.25">
      <c r="A139" s="448"/>
      <c r="B139" s="449"/>
      <c r="C139" s="449"/>
      <c r="D139" s="449"/>
      <c r="E139" s="438">
        <v>0</v>
      </c>
      <c r="F139" s="438">
        <v>0</v>
      </c>
      <c r="G139" s="438">
        <v>0</v>
      </c>
      <c r="H139" s="438">
        <v>0</v>
      </c>
    </row>
    <row r="140" spans="1:8" s="422" customFormat="1" ht="11.25">
      <c r="A140" s="448"/>
      <c r="B140" s="449"/>
      <c r="C140" s="449"/>
      <c r="D140" s="449"/>
      <c r="E140" s="438">
        <v>0</v>
      </c>
      <c r="F140" s="438">
        <v>0</v>
      </c>
      <c r="G140" s="438">
        <v>0</v>
      </c>
      <c r="H140" s="438">
        <v>0</v>
      </c>
    </row>
    <row r="141" spans="1:8" s="421" customFormat="1" ht="11.25">
      <c r="A141" s="421" t="s">
        <v>391</v>
      </c>
      <c r="D141" s="421" t="s">
        <v>472</v>
      </c>
    </row>
    <row r="142" spans="1:8" s="422" customFormat="1" ht="11.25"/>
    <row r="143" spans="1:8" s="421" customFormat="1" ht="11.25" customHeight="1">
      <c r="A143" s="423" t="s">
        <v>392</v>
      </c>
      <c r="D143" s="421" t="s">
        <v>139</v>
      </c>
    </row>
    <row r="144" spans="1:8" s="421" customFormat="1" ht="7.5" customHeight="1">
      <c r="A144" s="423"/>
    </row>
    <row r="145" spans="1:8" s="421" customFormat="1" ht="11.25">
      <c r="A145" s="424" t="s">
        <v>393</v>
      </c>
      <c r="D145" s="583" t="s">
        <v>21</v>
      </c>
      <c r="E145" s="583"/>
      <c r="F145" s="583"/>
      <c r="G145" s="583"/>
      <c r="H145" s="583"/>
    </row>
    <row r="146" spans="1:8" s="421" customFormat="1" ht="7.5" customHeight="1"/>
    <row r="147" spans="1:8" s="422" customFormat="1" ht="11.25">
      <c r="A147" s="421" t="s">
        <v>170</v>
      </c>
      <c r="B147" s="421"/>
      <c r="C147" s="421"/>
      <c r="D147" s="422" t="s">
        <v>186</v>
      </c>
      <c r="E147" s="422" t="s">
        <v>187</v>
      </c>
    </row>
    <row r="148" spans="1:8" s="422" customFormat="1" ht="7.5" customHeight="1"/>
    <row r="149" spans="1:8" s="427" customFormat="1" ht="11.25">
      <c r="A149" s="425" t="s">
        <v>587</v>
      </c>
      <c r="B149" s="425"/>
      <c r="C149" s="425"/>
      <c r="D149" s="426" t="s">
        <v>604</v>
      </c>
      <c r="E149" s="584" t="s">
        <v>605</v>
      </c>
      <c r="F149" s="584"/>
      <c r="G149" s="584"/>
      <c r="H149" s="584"/>
    </row>
    <row r="150" spans="1:8" s="427" customFormat="1" ht="11.25">
      <c r="A150" s="425"/>
      <c r="B150" s="425"/>
      <c r="C150" s="425"/>
      <c r="D150" s="426" t="s">
        <v>606</v>
      </c>
      <c r="E150" s="584" t="s">
        <v>607</v>
      </c>
      <c r="F150" s="584"/>
      <c r="G150" s="584"/>
      <c r="H150" s="584"/>
    </row>
    <row r="151" spans="1:8" s="427" customFormat="1" ht="11.25">
      <c r="A151" s="425"/>
      <c r="B151" s="425"/>
      <c r="C151" s="425"/>
      <c r="D151" s="426"/>
      <c r="E151" s="584"/>
      <c r="F151" s="584"/>
      <c r="G151" s="584"/>
      <c r="H151" s="584"/>
    </row>
    <row r="152" spans="1:8" s="427" customFormat="1" ht="11.25"/>
    <row r="153" spans="1:8" s="422" customFormat="1" ht="11.25"/>
    <row r="154" spans="1:8" s="422" customFormat="1" ht="11.25">
      <c r="A154" s="421" t="s">
        <v>589</v>
      </c>
      <c r="B154" s="421"/>
      <c r="C154" s="421"/>
    </row>
    <row r="155" spans="1:8" s="429" customFormat="1" ht="11.25">
      <c r="A155" s="428"/>
      <c r="B155" s="428"/>
      <c r="C155" s="428"/>
    </row>
    <row r="156" spans="1:8" s="429" customFormat="1" ht="11.25">
      <c r="A156" s="428"/>
      <c r="B156" s="428"/>
      <c r="C156" s="428"/>
    </row>
    <row r="157" spans="1:8" s="429" customFormat="1" ht="11.25">
      <c r="A157" s="428"/>
      <c r="B157" s="428"/>
      <c r="C157" s="428"/>
    </row>
    <row r="158" spans="1:8" s="429" customFormat="1" ht="11.25">
      <c r="A158" s="428"/>
      <c r="B158" s="428"/>
      <c r="C158" s="428"/>
    </row>
    <row r="159" spans="1:8" s="429" customFormat="1" ht="11.25">
      <c r="A159" s="428"/>
      <c r="B159" s="428"/>
      <c r="C159" s="428"/>
    </row>
    <row r="160" spans="1:8" s="429" customFormat="1" ht="11.25">
      <c r="A160" s="428"/>
      <c r="B160" s="428"/>
      <c r="C160" s="428"/>
    </row>
    <row r="161" spans="1:8" s="422" customFormat="1" ht="9" customHeight="1">
      <c r="A161" s="430"/>
      <c r="B161" s="430"/>
      <c r="C161" s="430"/>
      <c r="D161" s="430"/>
      <c r="E161" s="430"/>
      <c r="F161" s="430"/>
      <c r="G161" s="430"/>
      <c r="H161" s="430"/>
    </row>
    <row r="162" spans="1:8" s="422" customFormat="1" ht="22.5" customHeight="1">
      <c r="A162" s="585" t="s">
        <v>590</v>
      </c>
      <c r="B162" s="585"/>
      <c r="C162" s="585"/>
      <c r="D162" s="586"/>
      <c r="E162" s="586"/>
      <c r="F162" s="586"/>
      <c r="G162" s="586"/>
      <c r="H162" s="586"/>
    </row>
    <row r="163" spans="1:8" s="429" customFormat="1" ht="11.25">
      <c r="A163" s="431"/>
      <c r="B163" s="431"/>
      <c r="C163" s="431"/>
      <c r="D163" s="432"/>
      <c r="E163" s="432"/>
      <c r="F163" s="432"/>
      <c r="G163" s="432"/>
      <c r="H163" s="432"/>
    </row>
    <row r="164" spans="1:8" s="429" customFormat="1" ht="11.25">
      <c r="A164" s="431"/>
      <c r="B164" s="431"/>
      <c r="C164" s="431"/>
      <c r="D164" s="432"/>
      <c r="E164" s="432"/>
      <c r="F164" s="432"/>
      <c r="G164" s="432"/>
      <c r="H164" s="432"/>
    </row>
    <row r="165" spans="1:8" s="429" customFormat="1" ht="11.25">
      <c r="A165" s="431"/>
      <c r="B165" s="431"/>
      <c r="C165" s="431"/>
      <c r="D165" s="432"/>
      <c r="E165" s="432"/>
      <c r="F165" s="432"/>
      <c r="G165" s="432"/>
      <c r="H165" s="432"/>
    </row>
    <row r="166" spans="1:8" s="429" customFormat="1" ht="11.25">
      <c r="A166" s="431"/>
      <c r="B166" s="431"/>
      <c r="C166" s="431"/>
      <c r="D166" s="432"/>
      <c r="E166" s="432"/>
      <c r="F166" s="432"/>
      <c r="G166" s="432"/>
      <c r="H166" s="432"/>
    </row>
    <row r="167" spans="1:8" s="422" customFormat="1" ht="9" customHeight="1"/>
    <row r="168" spans="1:8" s="422" customFormat="1" ht="11.25">
      <c r="A168" s="421" t="s">
        <v>591</v>
      </c>
      <c r="B168" s="421"/>
      <c r="C168" s="421"/>
    </row>
    <row r="169" spans="1:8" s="429" customFormat="1" ht="11.25">
      <c r="A169" s="428"/>
      <c r="B169" s="428"/>
      <c r="C169" s="428"/>
    </row>
    <row r="170" spans="1:8" s="429" customFormat="1" ht="11.25">
      <c r="A170" s="428"/>
      <c r="B170" s="428"/>
      <c r="C170" s="428"/>
    </row>
    <row r="171" spans="1:8" s="429" customFormat="1" ht="11.25">
      <c r="A171" s="428"/>
      <c r="B171" s="428"/>
      <c r="C171" s="428"/>
    </row>
    <row r="172" spans="1:8" s="429" customFormat="1" ht="11.25">
      <c r="A172" s="428"/>
      <c r="B172" s="428"/>
      <c r="C172" s="428"/>
    </row>
    <row r="173" spans="1:8" s="429" customFormat="1" ht="11.25">
      <c r="A173" s="428"/>
      <c r="B173" s="428"/>
      <c r="C173" s="428"/>
    </row>
    <row r="174" spans="1:8" s="422" customFormat="1" ht="9" customHeight="1"/>
    <row r="175" spans="1:8" s="422" customFormat="1" ht="11.25">
      <c r="A175" s="433" t="s">
        <v>592</v>
      </c>
      <c r="B175" s="434"/>
      <c r="C175" s="434"/>
      <c r="D175" s="434"/>
      <c r="E175" s="434"/>
      <c r="F175" s="434"/>
      <c r="G175" s="434"/>
      <c r="H175" s="434"/>
    </row>
    <row r="176" spans="1:8" s="429" customFormat="1" ht="11.25">
      <c r="A176" s="435"/>
      <c r="B176" s="436"/>
      <c r="C176" s="436"/>
      <c r="D176" s="436"/>
      <c r="E176" s="436"/>
      <c r="F176" s="436"/>
      <c r="G176" s="436"/>
      <c r="H176" s="436"/>
    </row>
    <row r="177" spans="1:8" s="429" customFormat="1" ht="11.25">
      <c r="A177" s="435"/>
      <c r="B177" s="436"/>
      <c r="C177" s="436"/>
      <c r="D177" s="436"/>
      <c r="E177" s="436"/>
      <c r="F177" s="436"/>
      <c r="G177" s="436"/>
      <c r="H177" s="436"/>
    </row>
    <row r="178" spans="1:8" s="422" customFormat="1" ht="11.25">
      <c r="A178" s="437"/>
      <c r="B178" s="437"/>
      <c r="C178" s="437"/>
      <c r="D178" s="437"/>
      <c r="E178" s="437"/>
      <c r="F178" s="437"/>
      <c r="G178" s="437"/>
      <c r="H178" s="437"/>
    </row>
    <row r="179" spans="1:8" s="422" customFormat="1" ht="11.25">
      <c r="A179" s="421" t="s">
        <v>593</v>
      </c>
      <c r="B179" s="421"/>
      <c r="C179" s="421"/>
    </row>
    <row r="180" spans="1:8" s="422" customFormat="1" ht="11.25">
      <c r="A180" s="438"/>
      <c r="B180" s="439" t="s">
        <v>132</v>
      </c>
      <c r="C180" s="439" t="s">
        <v>473</v>
      </c>
      <c r="D180" s="439" t="s">
        <v>474</v>
      </c>
      <c r="E180" s="439" t="s">
        <v>375</v>
      </c>
      <c r="F180" s="439" t="s">
        <v>9</v>
      </c>
      <c r="G180" s="439" t="s">
        <v>131</v>
      </c>
      <c r="H180" s="439" t="s">
        <v>424</v>
      </c>
    </row>
    <row r="181" spans="1:8" s="422" customFormat="1" ht="11.25">
      <c r="A181" s="439" t="s">
        <v>394</v>
      </c>
      <c r="B181" s="438">
        <v>328040.57999999996</v>
      </c>
      <c r="C181" s="438">
        <v>382271.10000000003</v>
      </c>
      <c r="D181" s="438">
        <v>393506.34</v>
      </c>
      <c r="E181" s="438">
        <v>389380.35</v>
      </c>
      <c r="F181" s="438">
        <v>389380.35</v>
      </c>
      <c r="G181" s="438">
        <v>393558.44</v>
      </c>
      <c r="H181" s="438">
        <v>395050.61499999999</v>
      </c>
    </row>
    <row r="182" spans="1:8" s="422" customFormat="1" ht="11.25">
      <c r="A182" s="439" t="s">
        <v>395</v>
      </c>
      <c r="B182" s="438">
        <v>-2586.4</v>
      </c>
      <c r="C182" s="438">
        <v>-2909.4</v>
      </c>
      <c r="D182" s="438">
        <v>-2867.7</v>
      </c>
      <c r="E182" s="438">
        <v>-2868</v>
      </c>
      <c r="F182" s="438">
        <v>-2868</v>
      </c>
      <c r="G182" s="438">
        <v>-2868</v>
      </c>
      <c r="H182" s="438">
        <v>-2868</v>
      </c>
    </row>
    <row r="183" spans="1:8" s="422" customFormat="1" ht="11.25">
      <c r="A183" s="439" t="s">
        <v>396</v>
      </c>
      <c r="B183" s="438">
        <v>325454.17999999993</v>
      </c>
      <c r="C183" s="438">
        <v>379361.7</v>
      </c>
      <c r="D183" s="438">
        <v>390638.64</v>
      </c>
      <c r="E183" s="438">
        <v>386512.35</v>
      </c>
      <c r="F183" s="438">
        <v>386512.35</v>
      </c>
      <c r="G183" s="438">
        <v>390690.44</v>
      </c>
      <c r="H183" s="438">
        <v>392182.61499999999</v>
      </c>
    </row>
    <row r="184" spans="1:8" s="442" customFormat="1" ht="11.25">
      <c r="A184" s="440" t="s">
        <v>397</v>
      </c>
      <c r="B184" s="441">
        <v>7.8843904007242036E-3</v>
      </c>
      <c r="C184" s="441">
        <v>7.6108290686897331E-3</v>
      </c>
      <c r="D184" s="441">
        <v>7.2875572983144305E-3</v>
      </c>
      <c r="E184" s="441">
        <v>7.3655488778516945E-3</v>
      </c>
      <c r="F184" s="441">
        <v>7.3655488778516945E-3</v>
      </c>
      <c r="G184" s="441">
        <v>7.2873548335032528E-3</v>
      </c>
      <c r="H184" s="441">
        <v>7.2598292246678318E-3</v>
      </c>
    </row>
    <row r="185" spans="1:8" s="422" customFormat="1" ht="11.25"/>
    <row r="186" spans="1:8" s="422" customFormat="1" ht="11.25">
      <c r="A186" s="443" t="s">
        <v>594</v>
      </c>
      <c r="B186" s="443"/>
      <c r="C186" s="444"/>
    </row>
    <row r="187" spans="1:8" s="422" customFormat="1" ht="11.25">
      <c r="A187" s="445" t="s">
        <v>595</v>
      </c>
      <c r="B187" s="446"/>
      <c r="C187" s="447"/>
      <c r="D187" s="439" t="s">
        <v>474</v>
      </c>
      <c r="E187" s="439" t="s">
        <v>375</v>
      </c>
      <c r="F187" s="439" t="s">
        <v>9</v>
      </c>
      <c r="G187" s="439" t="s">
        <v>131</v>
      </c>
      <c r="H187" s="439" t="s">
        <v>424</v>
      </c>
    </row>
    <row r="188" spans="1:8" s="422" customFormat="1" ht="11.25">
      <c r="A188" s="448" t="s">
        <v>608</v>
      </c>
      <c r="B188" s="449"/>
      <c r="C188" s="449"/>
      <c r="D188" s="438" t="s">
        <v>609</v>
      </c>
      <c r="E188" s="438" t="s">
        <v>609</v>
      </c>
      <c r="F188" s="438" t="s">
        <v>609</v>
      </c>
      <c r="G188" s="438" t="s">
        <v>609</v>
      </c>
      <c r="H188" s="438" t="s">
        <v>609</v>
      </c>
    </row>
    <row r="189" spans="1:8" s="422" customFormat="1" ht="11.25">
      <c r="A189" s="448" t="s">
        <v>610</v>
      </c>
      <c r="B189" s="449"/>
      <c r="C189" s="449"/>
      <c r="D189" s="438" t="s">
        <v>611</v>
      </c>
      <c r="E189" s="438" t="s">
        <v>611</v>
      </c>
      <c r="F189" s="438" t="s">
        <v>611</v>
      </c>
      <c r="G189" s="438" t="s">
        <v>611</v>
      </c>
      <c r="H189" s="438" t="s">
        <v>611</v>
      </c>
    </row>
    <row r="190" spans="1:8" s="422" customFormat="1" ht="11.25">
      <c r="A190" s="448"/>
      <c r="B190" s="449"/>
      <c r="C190" s="449"/>
      <c r="D190" s="438"/>
      <c r="E190" s="438"/>
      <c r="F190" s="438"/>
      <c r="G190" s="438"/>
      <c r="H190" s="438"/>
    </row>
    <row r="191" spans="1:8" s="422" customFormat="1" ht="11.25"/>
    <row r="192" spans="1:8" s="422" customFormat="1" ht="11.25">
      <c r="A192" s="421" t="s">
        <v>423</v>
      </c>
      <c r="B192" s="421"/>
      <c r="C192" s="421"/>
    </row>
    <row r="193" spans="1:8" s="422" customFormat="1" ht="11.25">
      <c r="A193" s="450"/>
      <c r="B193" s="439" t="s">
        <v>132</v>
      </c>
      <c r="C193" s="439" t="s">
        <v>473</v>
      </c>
      <c r="D193" s="439" t="s">
        <v>474</v>
      </c>
      <c r="E193" s="439" t="s">
        <v>375</v>
      </c>
      <c r="F193" s="439" t="s">
        <v>9</v>
      </c>
      <c r="G193" s="439" t="s">
        <v>131</v>
      </c>
      <c r="H193" s="439" t="s">
        <v>424</v>
      </c>
    </row>
    <row r="194" spans="1:8" s="422" customFormat="1" ht="11.25">
      <c r="A194" s="451" t="s">
        <v>398</v>
      </c>
      <c r="B194" s="438">
        <v>0</v>
      </c>
      <c r="C194" s="438">
        <v>0</v>
      </c>
      <c r="D194" s="438">
        <v>0</v>
      </c>
      <c r="E194" s="438">
        <v>0</v>
      </c>
      <c r="F194" s="438">
        <v>0</v>
      </c>
      <c r="G194" s="438">
        <v>0</v>
      </c>
      <c r="H194" s="438">
        <v>0</v>
      </c>
    </row>
    <row r="195" spans="1:8" s="422" customFormat="1" ht="11.25">
      <c r="A195" s="451" t="s">
        <v>399</v>
      </c>
      <c r="B195" s="438">
        <v>0</v>
      </c>
      <c r="C195" s="438">
        <v>0</v>
      </c>
      <c r="D195" s="438">
        <v>0</v>
      </c>
      <c r="E195" s="438">
        <v>0</v>
      </c>
      <c r="F195" s="438">
        <v>0</v>
      </c>
      <c r="G195" s="438">
        <v>0</v>
      </c>
      <c r="H195" s="438">
        <v>0</v>
      </c>
    </row>
    <row r="196" spans="1:8" s="422" customFormat="1" ht="11.25">
      <c r="A196" s="451" t="s">
        <v>400</v>
      </c>
      <c r="B196" s="438">
        <v>0</v>
      </c>
      <c r="C196" s="438">
        <v>0</v>
      </c>
      <c r="D196" s="438">
        <v>0</v>
      </c>
      <c r="E196" s="438">
        <v>0</v>
      </c>
      <c r="F196" s="438">
        <v>0</v>
      </c>
      <c r="G196" s="438">
        <v>0</v>
      </c>
      <c r="H196" s="438">
        <v>0</v>
      </c>
    </row>
    <row r="197" spans="1:8" s="422" customFormat="1" ht="11.25">
      <c r="A197" s="451" t="s">
        <v>401</v>
      </c>
      <c r="B197" s="438">
        <v>0</v>
      </c>
      <c r="C197" s="438">
        <v>0</v>
      </c>
      <c r="D197" s="438">
        <v>0</v>
      </c>
      <c r="E197" s="438">
        <v>0</v>
      </c>
      <c r="F197" s="438">
        <v>0</v>
      </c>
      <c r="G197" s="438">
        <v>0</v>
      </c>
      <c r="H197" s="438">
        <v>0</v>
      </c>
    </row>
    <row r="198" spans="1:8" s="422" customFormat="1" ht="11.25"/>
    <row r="199" spans="1:8" s="422" customFormat="1" ht="11.25">
      <c r="A199" s="421" t="s">
        <v>597</v>
      </c>
      <c r="B199" s="421"/>
      <c r="C199" s="421"/>
    </row>
    <row r="200" spans="1:8" s="429" customFormat="1" ht="11.25">
      <c r="A200" s="428"/>
      <c r="B200" s="428"/>
      <c r="C200" s="428"/>
    </row>
    <row r="201" spans="1:8" s="429" customFormat="1" ht="11.25">
      <c r="A201" s="428"/>
      <c r="B201" s="428"/>
      <c r="C201" s="428"/>
    </row>
    <row r="202" spans="1:8" s="429" customFormat="1" ht="11.25">
      <c r="A202" s="428"/>
      <c r="B202" s="428"/>
      <c r="C202" s="428"/>
    </row>
    <row r="203" spans="1:8" s="422" customFormat="1" ht="11.25"/>
    <row r="204" spans="1:8" s="422" customFormat="1" ht="11.25">
      <c r="A204" s="421" t="s">
        <v>598</v>
      </c>
      <c r="B204" s="421"/>
      <c r="C204" s="421"/>
    </row>
    <row r="205" spans="1:8" s="422" customFormat="1" ht="11.25">
      <c r="A205" s="452" t="s">
        <v>599</v>
      </c>
      <c r="B205" s="447"/>
      <c r="C205" s="447"/>
      <c r="D205" s="447"/>
      <c r="E205" s="439" t="s">
        <v>375</v>
      </c>
      <c r="F205" s="439" t="s">
        <v>9</v>
      </c>
      <c r="G205" s="439" t="s">
        <v>131</v>
      </c>
      <c r="H205" s="439" t="s">
        <v>424</v>
      </c>
    </row>
    <row r="206" spans="1:8" s="422" customFormat="1" ht="11.25">
      <c r="A206" s="448"/>
      <c r="B206" s="449"/>
      <c r="C206" s="449"/>
      <c r="D206" s="449"/>
      <c r="E206" s="438">
        <v>0</v>
      </c>
      <c r="F206" s="438">
        <v>0</v>
      </c>
      <c r="G206" s="438">
        <v>0</v>
      </c>
      <c r="H206" s="438">
        <v>0</v>
      </c>
    </row>
    <row r="207" spans="1:8" s="422" customFormat="1" ht="11.25">
      <c r="A207" s="448"/>
      <c r="B207" s="449"/>
      <c r="C207" s="449"/>
      <c r="D207" s="449"/>
      <c r="E207" s="438">
        <v>0</v>
      </c>
      <c r="F207" s="438">
        <v>0</v>
      </c>
      <c r="G207" s="438">
        <v>0</v>
      </c>
      <c r="H207" s="438">
        <v>0</v>
      </c>
    </row>
    <row r="208" spans="1:8" s="422" customFormat="1" ht="11.25">
      <c r="A208" s="448"/>
      <c r="B208" s="449"/>
      <c r="C208" s="449"/>
      <c r="D208" s="449"/>
      <c r="E208" s="438">
        <v>0</v>
      </c>
      <c r="F208" s="438">
        <v>0</v>
      </c>
      <c r="G208" s="438">
        <v>0</v>
      </c>
      <c r="H208" s="438">
        <v>0</v>
      </c>
    </row>
    <row r="209" spans="1:8" s="421" customFormat="1" ht="11.25">
      <c r="A209" s="421" t="s">
        <v>391</v>
      </c>
      <c r="D209" s="421" t="s">
        <v>472</v>
      </c>
    </row>
    <row r="210" spans="1:8" s="422" customFormat="1" ht="11.25"/>
    <row r="211" spans="1:8" s="421" customFormat="1" ht="11.25" customHeight="1">
      <c r="A211" s="423" t="s">
        <v>392</v>
      </c>
      <c r="D211" s="421" t="s">
        <v>139</v>
      </c>
    </row>
    <row r="212" spans="1:8" s="421" customFormat="1" ht="7.5" customHeight="1">
      <c r="A212" s="423"/>
    </row>
    <row r="213" spans="1:8" s="421" customFormat="1" ht="11.25">
      <c r="A213" s="424" t="s">
        <v>393</v>
      </c>
      <c r="D213" s="583" t="s">
        <v>612</v>
      </c>
      <c r="E213" s="583"/>
      <c r="F213" s="583"/>
      <c r="G213" s="583"/>
      <c r="H213" s="583"/>
    </row>
    <row r="214" spans="1:8" s="421" customFormat="1" ht="7.5" customHeight="1"/>
    <row r="215" spans="1:8" s="422" customFormat="1" ht="11.25">
      <c r="A215" s="421" t="s">
        <v>170</v>
      </c>
      <c r="B215" s="421"/>
      <c r="C215" s="421"/>
      <c r="D215" s="422" t="s">
        <v>184</v>
      </c>
      <c r="E215" s="422" t="s">
        <v>612</v>
      </c>
    </row>
    <row r="216" spans="1:8" s="422" customFormat="1" ht="7.5" customHeight="1"/>
    <row r="217" spans="1:8" s="427" customFormat="1" ht="11.25">
      <c r="A217" s="425" t="s">
        <v>587</v>
      </c>
      <c r="B217" s="425"/>
      <c r="C217" s="425"/>
      <c r="D217" s="426" t="s">
        <v>613</v>
      </c>
      <c r="E217" s="584" t="s">
        <v>185</v>
      </c>
      <c r="F217" s="584"/>
      <c r="G217" s="584"/>
      <c r="H217" s="584"/>
    </row>
    <row r="218" spans="1:8" s="427" customFormat="1" ht="11.25">
      <c r="A218" s="425"/>
      <c r="B218" s="425"/>
      <c r="C218" s="425"/>
      <c r="D218" s="426" t="s">
        <v>614</v>
      </c>
      <c r="E218" s="584" t="s">
        <v>400</v>
      </c>
      <c r="F218" s="584"/>
      <c r="G218" s="584"/>
      <c r="H218" s="584"/>
    </row>
    <row r="219" spans="1:8" s="427" customFormat="1" ht="11.25">
      <c r="A219" s="425"/>
      <c r="B219" s="425"/>
      <c r="C219" s="425"/>
      <c r="D219" s="426"/>
      <c r="E219" s="584"/>
      <c r="F219" s="584"/>
      <c r="G219" s="584"/>
      <c r="H219" s="584"/>
    </row>
    <row r="220" spans="1:8" s="427" customFormat="1" ht="11.25"/>
    <row r="221" spans="1:8" s="422" customFormat="1" ht="11.25"/>
    <row r="222" spans="1:8" s="422" customFormat="1" ht="11.25">
      <c r="A222" s="421" t="s">
        <v>589</v>
      </c>
      <c r="B222" s="421"/>
      <c r="C222" s="421"/>
    </row>
    <row r="223" spans="1:8" s="429" customFormat="1" ht="11.25">
      <c r="A223" s="428"/>
      <c r="B223" s="428"/>
      <c r="C223" s="428"/>
    </row>
    <row r="224" spans="1:8" s="429" customFormat="1" ht="11.25">
      <c r="A224" s="428"/>
      <c r="B224" s="428"/>
      <c r="C224" s="428"/>
    </row>
    <row r="225" spans="1:8" s="429" customFormat="1" ht="11.25">
      <c r="A225" s="428"/>
      <c r="B225" s="428"/>
      <c r="C225" s="428"/>
    </row>
    <row r="226" spans="1:8" s="429" customFormat="1" ht="11.25">
      <c r="A226" s="428"/>
      <c r="B226" s="428"/>
      <c r="C226" s="428"/>
    </row>
    <row r="227" spans="1:8" s="429" customFormat="1" ht="11.25">
      <c r="A227" s="428"/>
      <c r="B227" s="428"/>
      <c r="C227" s="428"/>
    </row>
    <row r="228" spans="1:8" s="429" customFormat="1" ht="11.25">
      <c r="A228" s="428"/>
      <c r="B228" s="428"/>
      <c r="C228" s="428"/>
    </row>
    <row r="229" spans="1:8" s="422" customFormat="1" ht="9" customHeight="1">
      <c r="A229" s="430"/>
      <c r="B229" s="430"/>
      <c r="C229" s="430"/>
      <c r="D229" s="430"/>
      <c r="E229" s="430"/>
      <c r="F229" s="430"/>
      <c r="G229" s="430"/>
      <c r="H229" s="430"/>
    </row>
    <row r="230" spans="1:8" s="422" customFormat="1" ht="22.5" customHeight="1">
      <c r="A230" s="585" t="s">
        <v>590</v>
      </c>
      <c r="B230" s="585"/>
      <c r="C230" s="585"/>
      <c r="D230" s="586"/>
      <c r="E230" s="586"/>
      <c r="F230" s="586"/>
      <c r="G230" s="586"/>
      <c r="H230" s="586"/>
    </row>
    <row r="231" spans="1:8" s="429" customFormat="1" ht="11.25">
      <c r="A231" s="431"/>
      <c r="B231" s="431"/>
      <c r="C231" s="431"/>
      <c r="D231" s="432"/>
      <c r="E231" s="432"/>
      <c r="F231" s="432"/>
      <c r="G231" s="432"/>
      <c r="H231" s="432"/>
    </row>
    <row r="232" spans="1:8" s="429" customFormat="1" ht="11.25">
      <c r="A232" s="431"/>
      <c r="B232" s="431"/>
      <c r="C232" s="431"/>
      <c r="D232" s="432"/>
      <c r="E232" s="432"/>
      <c r="F232" s="432"/>
      <c r="G232" s="432"/>
      <c r="H232" s="432"/>
    </row>
    <row r="233" spans="1:8" s="429" customFormat="1" ht="11.25">
      <c r="A233" s="431"/>
      <c r="B233" s="431"/>
      <c r="C233" s="431"/>
      <c r="D233" s="432"/>
      <c r="E233" s="432"/>
      <c r="F233" s="432"/>
      <c r="G233" s="432"/>
      <c r="H233" s="432"/>
    </row>
    <row r="234" spans="1:8" s="429" customFormat="1" ht="29.25" customHeight="1">
      <c r="A234" s="431"/>
      <c r="B234" s="431"/>
      <c r="C234" s="431"/>
      <c r="D234" s="432"/>
      <c r="E234" s="432"/>
      <c r="F234" s="432"/>
      <c r="G234" s="432"/>
      <c r="H234" s="432"/>
    </row>
    <row r="235" spans="1:8" s="422" customFormat="1" ht="9" customHeight="1"/>
    <row r="236" spans="1:8" s="422" customFormat="1" ht="11.25">
      <c r="A236" s="421" t="s">
        <v>591</v>
      </c>
      <c r="B236" s="421"/>
      <c r="C236" s="421"/>
    </row>
    <row r="237" spans="1:8" s="429" customFormat="1" ht="11.25">
      <c r="A237" s="428"/>
      <c r="B237" s="428"/>
      <c r="C237" s="428"/>
    </row>
    <row r="238" spans="1:8" s="429" customFormat="1" ht="11.25">
      <c r="A238" s="428"/>
      <c r="B238" s="428"/>
      <c r="C238" s="428"/>
    </row>
    <row r="239" spans="1:8" s="429" customFormat="1" ht="11.25">
      <c r="A239" s="428"/>
      <c r="B239" s="428"/>
      <c r="C239" s="428"/>
    </row>
    <row r="240" spans="1:8" s="429" customFormat="1" ht="11.25">
      <c r="A240" s="428"/>
      <c r="B240" s="428"/>
      <c r="C240" s="428"/>
    </row>
    <row r="241" spans="1:8" s="429" customFormat="1" ht="11.25">
      <c r="A241" s="428"/>
      <c r="B241" s="428"/>
      <c r="C241" s="428"/>
    </row>
    <row r="242" spans="1:8" s="429" customFormat="1" ht="11.25">
      <c r="A242" s="428"/>
      <c r="B242" s="428"/>
      <c r="C242" s="428"/>
    </row>
    <row r="243" spans="1:8" s="429" customFormat="1" ht="24" customHeight="1">
      <c r="A243" s="428"/>
      <c r="B243" s="428"/>
      <c r="C243" s="428"/>
    </row>
    <row r="244" spans="1:8" s="422" customFormat="1" ht="9" customHeight="1"/>
    <row r="245" spans="1:8" s="422" customFormat="1" ht="11.25">
      <c r="A245" s="433" t="s">
        <v>592</v>
      </c>
      <c r="B245" s="434"/>
      <c r="C245" s="434"/>
      <c r="D245" s="434"/>
      <c r="E245" s="434"/>
      <c r="F245" s="434"/>
      <c r="G245" s="434"/>
      <c r="H245" s="434"/>
    </row>
    <row r="246" spans="1:8" s="429" customFormat="1" ht="11.25">
      <c r="A246" s="435"/>
      <c r="B246" s="436"/>
      <c r="C246" s="436"/>
      <c r="D246" s="436"/>
      <c r="E246" s="436"/>
      <c r="F246" s="436"/>
      <c r="G246" s="436"/>
      <c r="H246" s="436"/>
    </row>
    <row r="247" spans="1:8" s="429" customFormat="1" ht="11.25">
      <c r="A247" s="435"/>
      <c r="B247" s="436"/>
      <c r="C247" s="436"/>
      <c r="D247" s="436"/>
      <c r="E247" s="436"/>
      <c r="F247" s="436"/>
      <c r="G247" s="436"/>
      <c r="H247" s="436"/>
    </row>
    <row r="248" spans="1:8" s="422" customFormat="1" ht="11.25">
      <c r="A248" s="437"/>
      <c r="B248" s="437"/>
      <c r="C248" s="437"/>
      <c r="D248" s="437"/>
      <c r="E248" s="437"/>
      <c r="F248" s="437"/>
      <c r="G248" s="437"/>
      <c r="H248" s="437"/>
    </row>
    <row r="249" spans="1:8" s="422" customFormat="1" ht="11.25">
      <c r="A249" s="421" t="s">
        <v>593</v>
      </c>
      <c r="B249" s="421"/>
      <c r="C249" s="421"/>
    </row>
    <row r="250" spans="1:8" s="422" customFormat="1" ht="11.25">
      <c r="A250" s="438"/>
      <c r="B250" s="439" t="s">
        <v>132</v>
      </c>
      <c r="C250" s="439" t="s">
        <v>473</v>
      </c>
      <c r="D250" s="439" t="s">
        <v>474</v>
      </c>
      <c r="E250" s="439" t="s">
        <v>375</v>
      </c>
      <c r="F250" s="439" t="s">
        <v>9</v>
      </c>
      <c r="G250" s="439" t="s">
        <v>131</v>
      </c>
      <c r="H250" s="439" t="s">
        <v>424</v>
      </c>
    </row>
    <row r="251" spans="1:8" s="422" customFormat="1" ht="11.25">
      <c r="A251" s="439" t="s">
        <v>394</v>
      </c>
      <c r="B251" s="438">
        <v>3390936.64</v>
      </c>
      <c r="C251" s="438">
        <v>3267989.03</v>
      </c>
      <c r="D251" s="438">
        <v>3461815</v>
      </c>
      <c r="E251" s="438">
        <v>3898163.906</v>
      </c>
      <c r="F251" s="438">
        <v>3898163.906</v>
      </c>
      <c r="G251" s="438">
        <v>3928734.7344</v>
      </c>
      <c r="H251" s="438">
        <v>3845907.9003999997</v>
      </c>
    </row>
    <row r="252" spans="1:8" s="422" customFormat="1" ht="11.25">
      <c r="A252" s="439" t="s">
        <v>395</v>
      </c>
      <c r="B252" s="438">
        <v>-156009.95000000001</v>
      </c>
      <c r="C252" s="438">
        <v>-131956.45000000001</v>
      </c>
      <c r="D252" s="438">
        <v>-219051</v>
      </c>
      <c r="E252" s="438">
        <v>-219051</v>
      </c>
      <c r="F252" s="438">
        <v>-219051</v>
      </c>
      <c r="G252" s="438">
        <v>-219051</v>
      </c>
      <c r="H252" s="438">
        <v>-219051</v>
      </c>
    </row>
    <row r="253" spans="1:8" s="422" customFormat="1" ht="11.25">
      <c r="A253" s="439" t="s">
        <v>396</v>
      </c>
      <c r="B253" s="438">
        <v>3234926.69</v>
      </c>
      <c r="C253" s="438">
        <v>3136032.5799999996</v>
      </c>
      <c r="D253" s="438">
        <v>3242764</v>
      </c>
      <c r="E253" s="438">
        <v>3679112.906</v>
      </c>
      <c r="F253" s="438">
        <v>3679112.906</v>
      </c>
      <c r="G253" s="438">
        <v>3709683.7344</v>
      </c>
      <c r="H253" s="438">
        <v>3626856.9003999997</v>
      </c>
    </row>
    <row r="254" spans="1:8" s="442" customFormat="1" ht="11.25">
      <c r="A254" s="440" t="s">
        <v>397</v>
      </c>
      <c r="B254" s="441">
        <v>4.6007922460031575E-2</v>
      </c>
      <c r="C254" s="441">
        <v>4.0378486215420381E-2</v>
      </c>
      <c r="D254" s="441">
        <v>6.3276344923111141E-2</v>
      </c>
      <c r="E254" s="441">
        <v>5.6193378544919501E-2</v>
      </c>
      <c r="F254" s="441">
        <v>5.6193378544919501E-2</v>
      </c>
      <c r="G254" s="441">
        <v>5.5756118651124377E-2</v>
      </c>
      <c r="H254" s="441">
        <v>5.6956902160142021E-2</v>
      </c>
    </row>
    <row r="255" spans="1:8" s="422" customFormat="1" ht="11.25"/>
    <row r="256" spans="1:8" s="422" customFormat="1" ht="11.25">
      <c r="A256" s="443" t="s">
        <v>594</v>
      </c>
      <c r="B256" s="443"/>
      <c r="C256" s="444"/>
    </row>
    <row r="257" spans="1:8" s="422" customFormat="1" ht="11.25">
      <c r="A257" s="445" t="s">
        <v>595</v>
      </c>
      <c r="B257" s="446"/>
      <c r="C257" s="447"/>
      <c r="D257" s="439" t="s">
        <v>474</v>
      </c>
      <c r="E257" s="439" t="s">
        <v>375</v>
      </c>
      <c r="F257" s="439" t="s">
        <v>9</v>
      </c>
      <c r="G257" s="439" t="s">
        <v>131</v>
      </c>
      <c r="H257" s="439" t="s">
        <v>424</v>
      </c>
    </row>
    <row r="258" spans="1:8" s="422" customFormat="1" ht="11.25">
      <c r="A258" s="448" t="s">
        <v>596</v>
      </c>
      <c r="B258" s="449"/>
      <c r="C258" s="449"/>
      <c r="D258" s="438"/>
      <c r="E258" s="438"/>
      <c r="F258" s="438"/>
      <c r="G258" s="438"/>
      <c r="H258" s="438"/>
    </row>
    <row r="259" spans="1:8" s="422" customFormat="1" ht="11.25">
      <c r="A259" s="448"/>
      <c r="B259" s="449"/>
      <c r="C259" s="449"/>
      <c r="D259" s="438"/>
      <c r="E259" s="438"/>
      <c r="F259" s="438"/>
      <c r="G259" s="438"/>
      <c r="H259" s="438"/>
    </row>
    <row r="260" spans="1:8" s="422" customFormat="1" ht="11.25">
      <c r="A260" s="448"/>
      <c r="B260" s="449"/>
      <c r="C260" s="449"/>
      <c r="D260" s="438"/>
      <c r="E260" s="438"/>
      <c r="F260" s="438"/>
      <c r="G260" s="438"/>
      <c r="H260" s="438"/>
    </row>
    <row r="261" spans="1:8" s="422" customFormat="1" ht="11.25"/>
    <row r="262" spans="1:8" s="422" customFormat="1" ht="11.25">
      <c r="A262" s="421" t="s">
        <v>423</v>
      </c>
      <c r="B262" s="421"/>
      <c r="C262" s="421"/>
    </row>
    <row r="263" spans="1:8" s="422" customFormat="1" ht="11.25">
      <c r="A263" s="450"/>
      <c r="B263" s="439" t="s">
        <v>132</v>
      </c>
      <c r="C263" s="439" t="s">
        <v>473</v>
      </c>
      <c r="D263" s="439" t="s">
        <v>474</v>
      </c>
      <c r="E263" s="439" t="s">
        <v>375</v>
      </c>
      <c r="F263" s="439" t="s">
        <v>9</v>
      </c>
      <c r="G263" s="439" t="s">
        <v>131</v>
      </c>
      <c r="H263" s="439" t="s">
        <v>424</v>
      </c>
    </row>
    <row r="264" spans="1:8" s="422" customFormat="1" ht="11.25">
      <c r="A264" s="451" t="s">
        <v>398</v>
      </c>
      <c r="B264" s="438">
        <v>0</v>
      </c>
      <c r="C264" s="438">
        <v>0</v>
      </c>
      <c r="D264" s="438">
        <v>0</v>
      </c>
      <c r="E264" s="438">
        <v>0</v>
      </c>
      <c r="F264" s="438">
        <v>0</v>
      </c>
      <c r="G264" s="438">
        <v>0</v>
      </c>
      <c r="H264" s="438">
        <v>0</v>
      </c>
    </row>
    <row r="265" spans="1:8" s="422" customFormat="1" ht="11.25">
      <c r="A265" s="451" t="s">
        <v>399</v>
      </c>
      <c r="B265" s="438">
        <v>0</v>
      </c>
      <c r="C265" s="438">
        <v>0</v>
      </c>
      <c r="D265" s="438">
        <v>0</v>
      </c>
      <c r="E265" s="438">
        <v>0</v>
      </c>
      <c r="F265" s="438">
        <v>0</v>
      </c>
      <c r="G265" s="438">
        <v>0</v>
      </c>
      <c r="H265" s="438">
        <v>0</v>
      </c>
    </row>
    <row r="266" spans="1:8" s="422" customFormat="1" ht="11.25">
      <c r="A266" s="451" t="s">
        <v>400</v>
      </c>
      <c r="B266" s="438">
        <v>0</v>
      </c>
      <c r="C266" s="438">
        <v>0</v>
      </c>
      <c r="D266" s="438">
        <v>0</v>
      </c>
      <c r="E266" s="438">
        <v>0</v>
      </c>
      <c r="F266" s="438">
        <v>0</v>
      </c>
      <c r="G266" s="438">
        <v>0</v>
      </c>
      <c r="H266" s="438">
        <v>0</v>
      </c>
    </row>
    <row r="267" spans="1:8" s="422" customFormat="1" ht="11.25">
      <c r="A267" s="451" t="s">
        <v>401</v>
      </c>
      <c r="B267" s="438">
        <v>0</v>
      </c>
      <c r="C267" s="438">
        <v>0</v>
      </c>
      <c r="D267" s="438">
        <v>0</v>
      </c>
      <c r="E267" s="438">
        <v>0</v>
      </c>
      <c r="F267" s="438">
        <v>0</v>
      </c>
      <c r="G267" s="438">
        <v>0</v>
      </c>
      <c r="H267" s="438">
        <v>0</v>
      </c>
    </row>
    <row r="268" spans="1:8" s="422" customFormat="1" ht="11.25"/>
    <row r="269" spans="1:8" s="422" customFormat="1" ht="11.25">
      <c r="A269" s="421" t="s">
        <v>597</v>
      </c>
      <c r="B269" s="421"/>
      <c r="C269" s="421"/>
    </row>
    <row r="270" spans="1:8" s="429" customFormat="1" ht="11.25">
      <c r="A270" s="428"/>
      <c r="B270" s="428"/>
      <c r="C270" s="428"/>
    </row>
    <row r="271" spans="1:8" s="429" customFormat="1" ht="11.25">
      <c r="A271" s="428"/>
      <c r="B271" s="428"/>
      <c r="C271" s="428"/>
    </row>
    <row r="272" spans="1:8" s="429" customFormat="1" ht="11.25">
      <c r="A272" s="428"/>
      <c r="B272" s="428"/>
      <c r="C272" s="428"/>
    </row>
    <row r="273" spans="1:8" s="422" customFormat="1" ht="11.25"/>
    <row r="274" spans="1:8" s="422" customFormat="1" ht="11.25">
      <c r="A274" s="421" t="s">
        <v>598</v>
      </c>
      <c r="B274" s="421"/>
      <c r="C274" s="421"/>
    </row>
    <row r="275" spans="1:8" s="422" customFormat="1" ht="11.25">
      <c r="A275" s="452" t="s">
        <v>599</v>
      </c>
      <c r="B275" s="447"/>
      <c r="C275" s="447"/>
      <c r="D275" s="447"/>
      <c r="E275" s="439" t="s">
        <v>375</v>
      </c>
      <c r="F275" s="439" t="s">
        <v>9</v>
      </c>
      <c r="G275" s="439" t="s">
        <v>131</v>
      </c>
      <c r="H275" s="439" t="s">
        <v>424</v>
      </c>
    </row>
    <row r="276" spans="1:8" s="422" customFormat="1" ht="11.25">
      <c r="A276" s="448"/>
      <c r="B276" s="449"/>
      <c r="C276" s="449"/>
      <c r="D276" s="449"/>
      <c r="E276" s="438">
        <v>0</v>
      </c>
      <c r="F276" s="438">
        <v>0</v>
      </c>
      <c r="G276" s="438">
        <v>0</v>
      </c>
      <c r="H276" s="438">
        <v>0</v>
      </c>
    </row>
    <row r="277" spans="1:8" s="422" customFormat="1" ht="11.25">
      <c r="A277" s="448"/>
      <c r="B277" s="449"/>
      <c r="C277" s="449"/>
      <c r="D277" s="449"/>
      <c r="E277" s="438">
        <v>0</v>
      </c>
      <c r="F277" s="438">
        <v>0</v>
      </c>
      <c r="G277" s="438">
        <v>0</v>
      </c>
      <c r="H277" s="438">
        <v>0</v>
      </c>
    </row>
    <row r="278" spans="1:8" s="422" customFormat="1" ht="11.25">
      <c r="A278" s="448"/>
      <c r="B278" s="449"/>
      <c r="C278" s="449"/>
      <c r="D278" s="449"/>
      <c r="E278" s="438">
        <v>0</v>
      </c>
      <c r="F278" s="438">
        <v>0</v>
      </c>
      <c r="G278" s="438">
        <v>0</v>
      </c>
      <c r="H278" s="438">
        <v>0</v>
      </c>
    </row>
    <row r="279" spans="1:8" s="421" customFormat="1" ht="11.25">
      <c r="A279" s="421" t="s">
        <v>391</v>
      </c>
      <c r="D279" s="421" t="s">
        <v>472</v>
      </c>
    </row>
    <row r="280" spans="1:8" s="422" customFormat="1" ht="11.25"/>
    <row r="281" spans="1:8" s="421" customFormat="1" ht="11.25" customHeight="1">
      <c r="A281" s="423" t="s">
        <v>392</v>
      </c>
      <c r="D281" s="421" t="s">
        <v>139</v>
      </c>
    </row>
    <row r="282" spans="1:8" s="421" customFormat="1" ht="10.5" customHeight="1">
      <c r="A282" s="423"/>
    </row>
    <row r="283" spans="1:8" s="421" customFormat="1" ht="11.25">
      <c r="A283" s="424" t="s">
        <v>393</v>
      </c>
      <c r="D283" s="583" t="s">
        <v>140</v>
      </c>
      <c r="E283" s="583"/>
      <c r="F283" s="583"/>
      <c r="G283" s="583"/>
      <c r="H283" s="583"/>
    </row>
    <row r="284" spans="1:8" s="421" customFormat="1" ht="7.5" customHeight="1"/>
    <row r="285" spans="1:8" s="422" customFormat="1" ht="11.25">
      <c r="A285" s="421" t="s">
        <v>170</v>
      </c>
      <c r="B285" s="421"/>
      <c r="C285" s="421"/>
      <c r="D285" s="422" t="s">
        <v>183</v>
      </c>
      <c r="E285" s="422" t="s">
        <v>615</v>
      </c>
    </row>
    <row r="286" spans="1:8" s="422" customFormat="1" ht="7.5" customHeight="1"/>
    <row r="287" spans="1:8" s="427" customFormat="1" ht="11.25">
      <c r="A287" s="425" t="s">
        <v>587</v>
      </c>
      <c r="B287" s="425"/>
      <c r="C287" s="425"/>
      <c r="D287" s="426" t="s">
        <v>616</v>
      </c>
      <c r="E287" s="584" t="s">
        <v>617</v>
      </c>
      <c r="F287" s="584"/>
      <c r="G287" s="584"/>
      <c r="H287" s="584"/>
    </row>
    <row r="288" spans="1:8" s="427" customFormat="1" ht="11.25">
      <c r="A288" s="425"/>
      <c r="B288" s="425"/>
      <c r="C288" s="425"/>
      <c r="D288" s="426" t="s">
        <v>618</v>
      </c>
      <c r="E288" s="584" t="s">
        <v>619</v>
      </c>
      <c r="F288" s="584"/>
      <c r="G288" s="584"/>
      <c r="H288" s="584"/>
    </row>
    <row r="289" spans="1:8" s="427" customFormat="1" ht="11.25">
      <c r="A289" s="425"/>
      <c r="B289" s="425"/>
      <c r="C289" s="425"/>
      <c r="D289" s="426" t="s">
        <v>620</v>
      </c>
      <c r="E289" s="584" t="s">
        <v>621</v>
      </c>
      <c r="F289" s="584"/>
      <c r="G289" s="584"/>
      <c r="H289" s="584"/>
    </row>
    <row r="290" spans="1:8" s="427" customFormat="1" ht="11.25">
      <c r="A290" s="425"/>
      <c r="B290" s="425"/>
      <c r="C290" s="425"/>
      <c r="D290" s="426" t="s">
        <v>622</v>
      </c>
      <c r="E290" s="584" t="s">
        <v>623</v>
      </c>
      <c r="F290" s="584"/>
      <c r="G290" s="584"/>
      <c r="H290" s="584"/>
    </row>
    <row r="291" spans="1:8" s="427" customFormat="1" ht="11.25">
      <c r="A291" s="425"/>
      <c r="B291" s="425"/>
      <c r="C291" s="425"/>
      <c r="D291" s="426"/>
      <c r="E291" s="584"/>
      <c r="F291" s="584"/>
      <c r="G291" s="584"/>
      <c r="H291" s="584"/>
    </row>
    <row r="292" spans="1:8" s="427" customFormat="1" ht="11.25"/>
    <row r="293" spans="1:8" s="422" customFormat="1" ht="11.25"/>
    <row r="294" spans="1:8" s="422" customFormat="1" ht="11.25">
      <c r="A294" s="421" t="s">
        <v>589</v>
      </c>
      <c r="B294" s="421"/>
      <c r="C294" s="421"/>
    </row>
    <row r="295" spans="1:8" s="429" customFormat="1" ht="11.25">
      <c r="A295" s="428"/>
      <c r="B295" s="428"/>
      <c r="C295" s="428"/>
    </row>
    <row r="296" spans="1:8" s="429" customFormat="1" ht="9" customHeight="1">
      <c r="A296" s="428"/>
      <c r="B296" s="428"/>
      <c r="C296" s="428"/>
    </row>
    <row r="297" spans="1:8" s="429" customFormat="1" ht="11.25" hidden="1">
      <c r="A297" s="428"/>
      <c r="B297" s="428"/>
      <c r="C297" s="428"/>
    </row>
    <row r="298" spans="1:8" s="429" customFormat="1" ht="11.25" hidden="1">
      <c r="A298" s="428"/>
      <c r="B298" s="428"/>
      <c r="C298" s="428"/>
    </row>
    <row r="299" spans="1:8" s="429" customFormat="1" ht="11.25" hidden="1">
      <c r="A299" s="428"/>
      <c r="B299" s="428"/>
      <c r="C299" s="428"/>
    </row>
    <row r="300" spans="1:8" s="429" customFormat="1" ht="11.25" hidden="1">
      <c r="A300" s="428"/>
      <c r="B300" s="428"/>
      <c r="C300" s="428"/>
    </row>
    <row r="301" spans="1:8" s="422" customFormat="1" ht="9" customHeight="1">
      <c r="A301" s="430"/>
      <c r="B301" s="430"/>
      <c r="C301" s="430"/>
      <c r="D301" s="430"/>
      <c r="E301" s="430"/>
      <c r="F301" s="430"/>
      <c r="G301" s="430"/>
      <c r="H301" s="430"/>
    </row>
    <row r="302" spans="1:8" s="422" customFormat="1" ht="22.5" customHeight="1">
      <c r="A302" s="585" t="s">
        <v>590</v>
      </c>
      <c r="B302" s="585"/>
      <c r="C302" s="585"/>
      <c r="D302" s="586"/>
      <c r="E302" s="586"/>
      <c r="F302" s="586"/>
      <c r="G302" s="586"/>
      <c r="H302" s="586"/>
    </row>
    <row r="303" spans="1:8" s="429" customFormat="1" ht="23.25" customHeight="1">
      <c r="A303" s="431"/>
      <c r="B303" s="431"/>
      <c r="C303" s="431"/>
      <c r="D303" s="432"/>
      <c r="E303" s="432"/>
      <c r="F303" s="432"/>
      <c r="G303" s="432"/>
      <c r="H303" s="432"/>
    </row>
    <row r="304" spans="1:8" s="429" customFormat="1" ht="11.25">
      <c r="A304" s="431"/>
      <c r="B304" s="431"/>
      <c r="C304" s="431"/>
      <c r="D304" s="432"/>
      <c r="E304" s="432"/>
      <c r="F304" s="432"/>
      <c r="G304" s="432"/>
      <c r="H304" s="432"/>
    </row>
    <row r="305" spans="1:8" s="429" customFormat="1" ht="11.25">
      <c r="A305" s="431"/>
      <c r="B305" s="431"/>
      <c r="C305" s="431"/>
      <c r="D305" s="432"/>
      <c r="E305" s="432"/>
      <c r="F305" s="432"/>
      <c r="G305" s="432"/>
      <c r="H305" s="432"/>
    </row>
    <row r="306" spans="1:8" s="429" customFormat="1" ht="69.75" customHeight="1">
      <c r="A306" s="431"/>
      <c r="B306" s="431"/>
      <c r="C306" s="431"/>
      <c r="D306" s="432"/>
      <c r="E306" s="432"/>
      <c r="F306" s="432"/>
      <c r="G306" s="432"/>
      <c r="H306" s="432"/>
    </row>
    <row r="307" spans="1:8" s="422" customFormat="1" ht="9" customHeight="1"/>
    <row r="308" spans="1:8" s="422" customFormat="1" ht="11.25">
      <c r="A308" s="421" t="s">
        <v>591</v>
      </c>
      <c r="B308" s="421"/>
      <c r="C308" s="421"/>
    </row>
    <row r="309" spans="1:8" s="429" customFormat="1" ht="11.25">
      <c r="A309" s="428"/>
      <c r="B309" s="428"/>
      <c r="C309" s="428"/>
    </row>
    <row r="310" spans="1:8" s="429" customFormat="1" ht="11.25">
      <c r="A310" s="428"/>
      <c r="B310" s="428"/>
      <c r="C310" s="428"/>
    </row>
    <row r="311" spans="1:8" s="429" customFormat="1" ht="12" customHeight="1">
      <c r="A311" s="428"/>
      <c r="B311" s="428"/>
      <c r="C311" s="428"/>
    </row>
    <row r="312" spans="1:8" s="429" customFormat="1" ht="7.5" hidden="1" customHeight="1">
      <c r="A312" s="428"/>
      <c r="B312" s="428"/>
      <c r="C312" s="428"/>
    </row>
    <row r="313" spans="1:8" s="429" customFormat="1" ht="11.25" hidden="1">
      <c r="A313" s="428"/>
      <c r="B313" s="428"/>
      <c r="C313" s="428"/>
    </row>
    <row r="314" spans="1:8" s="429" customFormat="1" ht="27.75" hidden="1" customHeight="1">
      <c r="A314" s="428"/>
      <c r="B314" s="428"/>
      <c r="C314" s="428"/>
    </row>
    <row r="315" spans="1:8" s="422" customFormat="1" ht="9" customHeight="1"/>
    <row r="316" spans="1:8" s="422" customFormat="1" ht="11.25">
      <c r="A316" s="433" t="s">
        <v>592</v>
      </c>
      <c r="B316" s="434"/>
      <c r="C316" s="434"/>
      <c r="D316" s="434"/>
      <c r="E316" s="434"/>
      <c r="F316" s="434"/>
      <c r="G316" s="434"/>
      <c r="H316" s="434"/>
    </row>
    <row r="317" spans="1:8" s="429" customFormat="1" ht="11.25">
      <c r="A317" s="435"/>
      <c r="B317" s="436"/>
      <c r="C317" s="436"/>
      <c r="D317" s="436"/>
      <c r="E317" s="436"/>
      <c r="F317" s="436"/>
      <c r="G317" s="436"/>
      <c r="H317" s="436"/>
    </row>
    <row r="318" spans="1:8" s="429" customFormat="1" ht="11.25">
      <c r="A318" s="435"/>
      <c r="B318" s="436"/>
      <c r="C318" s="436"/>
      <c r="D318" s="436"/>
      <c r="E318" s="436"/>
      <c r="F318" s="436"/>
      <c r="G318" s="436"/>
      <c r="H318" s="436"/>
    </row>
    <row r="319" spans="1:8" s="422" customFormat="1" ht="11.25">
      <c r="A319" s="437"/>
      <c r="B319" s="437"/>
      <c r="C319" s="437"/>
      <c r="D319" s="437"/>
      <c r="E319" s="437"/>
      <c r="F319" s="437"/>
      <c r="G319" s="437"/>
      <c r="H319" s="437"/>
    </row>
    <row r="320" spans="1:8" s="422" customFormat="1" ht="11.25">
      <c r="A320" s="421" t="s">
        <v>593</v>
      </c>
      <c r="B320" s="421"/>
      <c r="C320" s="421"/>
    </row>
    <row r="321" spans="1:8" s="422" customFormat="1" ht="11.25">
      <c r="A321" s="438"/>
      <c r="B321" s="439" t="s">
        <v>132</v>
      </c>
      <c r="C321" s="439" t="s">
        <v>473</v>
      </c>
      <c r="D321" s="439" t="s">
        <v>474</v>
      </c>
      <c r="E321" s="439" t="s">
        <v>375</v>
      </c>
      <c r="F321" s="439" t="s">
        <v>9</v>
      </c>
      <c r="G321" s="439" t="s">
        <v>131</v>
      </c>
      <c r="H321" s="439" t="s">
        <v>424</v>
      </c>
    </row>
    <row r="322" spans="1:8" s="422" customFormat="1" ht="11.25">
      <c r="A322" s="439" t="s">
        <v>394</v>
      </c>
      <c r="B322" s="438">
        <v>1887004.9</v>
      </c>
      <c r="C322" s="438">
        <v>1951695.5999999999</v>
      </c>
      <c r="D322" s="438">
        <v>2021420.8699999999</v>
      </c>
      <c r="E322" s="438">
        <v>2009141.6222999999</v>
      </c>
      <c r="F322" s="438">
        <v>2001153.6222999999</v>
      </c>
      <c r="G322" s="438">
        <v>2020911.3635199999</v>
      </c>
      <c r="H322" s="438">
        <v>2027967.6996699998</v>
      </c>
    </row>
    <row r="323" spans="1:8" s="422" customFormat="1" ht="11.25">
      <c r="A323" s="439" t="s">
        <v>395</v>
      </c>
      <c r="B323" s="438">
        <v>-76239.960000000006</v>
      </c>
      <c r="C323" s="438">
        <v>-559217.53</v>
      </c>
      <c r="D323" s="438">
        <v>-66431</v>
      </c>
      <c r="E323" s="438">
        <v>-66431</v>
      </c>
      <c r="F323" s="438">
        <v>-66431</v>
      </c>
      <c r="G323" s="438">
        <v>-66431</v>
      </c>
      <c r="H323" s="438">
        <v>-66431</v>
      </c>
    </row>
    <row r="324" spans="1:8" s="422" customFormat="1" ht="11.25">
      <c r="A324" s="439" t="s">
        <v>396</v>
      </c>
      <c r="B324" s="438">
        <v>1810764.94</v>
      </c>
      <c r="C324" s="438">
        <v>1392478.0699999998</v>
      </c>
      <c r="D324" s="438">
        <v>1954989.8699999999</v>
      </c>
      <c r="E324" s="438">
        <v>1942710.6222999999</v>
      </c>
      <c r="F324" s="438">
        <v>1934722.6222999999</v>
      </c>
      <c r="G324" s="438">
        <v>1954480.3635199999</v>
      </c>
      <c r="H324" s="438">
        <v>1961536.6996699998</v>
      </c>
    </row>
    <row r="325" spans="1:8" s="442" customFormat="1" ht="11.25">
      <c r="A325" s="440" t="s">
        <v>397</v>
      </c>
      <c r="B325" s="441">
        <v>4.040262958511661E-2</v>
      </c>
      <c r="C325" s="441">
        <v>0.2865290724639642</v>
      </c>
      <c r="D325" s="441">
        <v>3.2863517432666065E-2</v>
      </c>
      <c r="E325" s="441">
        <v>3.306436901344563E-2</v>
      </c>
      <c r="F325" s="441">
        <v>3.3196351974042047E-2</v>
      </c>
      <c r="G325" s="441">
        <v>3.2871802890103628E-2</v>
      </c>
      <c r="H325" s="441">
        <v>3.2757425086607624E-2</v>
      </c>
    </row>
    <row r="326" spans="1:8" s="422" customFormat="1" ht="11.25"/>
    <row r="327" spans="1:8" s="422" customFormat="1" ht="11.25">
      <c r="A327" s="443" t="s">
        <v>594</v>
      </c>
      <c r="B327" s="443"/>
      <c r="C327" s="444"/>
    </row>
    <row r="328" spans="1:8" s="422" customFormat="1" ht="11.25">
      <c r="A328" s="445" t="s">
        <v>595</v>
      </c>
      <c r="B328" s="446"/>
      <c r="C328" s="447"/>
      <c r="D328" s="439" t="s">
        <v>474</v>
      </c>
      <c r="E328" s="439" t="s">
        <v>375</v>
      </c>
      <c r="F328" s="439" t="s">
        <v>9</v>
      </c>
      <c r="G328" s="439" t="s">
        <v>131</v>
      </c>
      <c r="H328" s="439" t="s">
        <v>424</v>
      </c>
    </row>
    <row r="329" spans="1:8" s="422" customFormat="1" ht="11.25">
      <c r="A329" s="448" t="s">
        <v>596</v>
      </c>
      <c r="B329" s="449"/>
      <c r="C329" s="449"/>
      <c r="D329" s="438"/>
      <c r="E329" s="438"/>
      <c r="F329" s="438"/>
      <c r="G329" s="438"/>
      <c r="H329" s="438"/>
    </row>
    <row r="330" spans="1:8" s="422" customFormat="1" ht="11.25">
      <c r="A330" s="448"/>
      <c r="B330" s="449"/>
      <c r="C330" s="449"/>
      <c r="D330" s="438"/>
      <c r="E330" s="438"/>
      <c r="F330" s="438"/>
      <c r="G330" s="438"/>
      <c r="H330" s="438"/>
    </row>
    <row r="331" spans="1:8" s="422" customFormat="1" ht="11.25">
      <c r="A331" s="448"/>
      <c r="B331" s="449"/>
      <c r="C331" s="449"/>
      <c r="D331" s="438"/>
      <c r="E331" s="438"/>
      <c r="F331" s="438"/>
      <c r="G331" s="438"/>
      <c r="H331" s="438"/>
    </row>
    <row r="332" spans="1:8" s="422" customFormat="1" ht="11.25"/>
    <row r="333" spans="1:8" s="422" customFormat="1" ht="11.25">
      <c r="A333" s="421" t="s">
        <v>423</v>
      </c>
      <c r="B333" s="421"/>
      <c r="C333" s="421"/>
    </row>
    <row r="334" spans="1:8" s="422" customFormat="1" ht="11.25">
      <c r="A334" s="450"/>
      <c r="B334" s="439" t="s">
        <v>132</v>
      </c>
      <c r="C334" s="439" t="s">
        <v>473</v>
      </c>
      <c r="D334" s="439" t="s">
        <v>474</v>
      </c>
      <c r="E334" s="439" t="s">
        <v>375</v>
      </c>
      <c r="F334" s="439" t="s">
        <v>9</v>
      </c>
      <c r="G334" s="439" t="s">
        <v>131</v>
      </c>
      <c r="H334" s="439" t="s">
        <v>424</v>
      </c>
    </row>
    <row r="335" spans="1:8" s="422" customFormat="1" ht="11.25">
      <c r="A335" s="451" t="s">
        <v>398</v>
      </c>
      <c r="B335" s="438">
        <v>0</v>
      </c>
      <c r="C335" s="438">
        <v>0</v>
      </c>
      <c r="D335" s="438">
        <v>0</v>
      </c>
      <c r="E335" s="438">
        <v>133000</v>
      </c>
      <c r="F335" s="438">
        <v>112500</v>
      </c>
      <c r="G335" s="438">
        <v>50000</v>
      </c>
      <c r="H335" s="438">
        <v>123750</v>
      </c>
    </row>
    <row r="336" spans="1:8" s="422" customFormat="1" ht="11.25">
      <c r="A336" s="451" t="s">
        <v>399</v>
      </c>
      <c r="B336" s="438">
        <v>0</v>
      </c>
      <c r="C336" s="438">
        <v>0</v>
      </c>
      <c r="D336" s="438">
        <v>0</v>
      </c>
      <c r="E336" s="438">
        <v>67000</v>
      </c>
      <c r="F336" s="438">
        <v>67500</v>
      </c>
      <c r="G336" s="438">
        <v>30000</v>
      </c>
      <c r="H336" s="438">
        <v>74250</v>
      </c>
    </row>
    <row r="337" spans="1:8" s="422" customFormat="1" ht="11.25">
      <c r="A337" s="451" t="s">
        <v>400</v>
      </c>
      <c r="B337" s="438">
        <v>0</v>
      </c>
      <c r="C337" s="438">
        <v>0</v>
      </c>
      <c r="D337" s="438">
        <v>0</v>
      </c>
      <c r="E337" s="438">
        <v>0</v>
      </c>
      <c r="F337" s="438">
        <v>0</v>
      </c>
      <c r="G337" s="438">
        <v>0</v>
      </c>
      <c r="H337" s="438">
        <v>0</v>
      </c>
    </row>
    <row r="338" spans="1:8" s="422" customFormat="1" ht="11.25">
      <c r="A338" s="451" t="s">
        <v>401</v>
      </c>
      <c r="B338" s="438">
        <v>0</v>
      </c>
      <c r="C338" s="438">
        <v>0</v>
      </c>
      <c r="D338" s="438">
        <v>0</v>
      </c>
      <c r="E338" s="438">
        <v>200000</v>
      </c>
      <c r="F338" s="438">
        <v>180000</v>
      </c>
      <c r="G338" s="438">
        <v>80000</v>
      </c>
      <c r="H338" s="438">
        <v>198000</v>
      </c>
    </row>
    <row r="339" spans="1:8" s="422" customFormat="1" ht="11.25"/>
    <row r="340" spans="1:8" s="422" customFormat="1" ht="11.25">
      <c r="A340" s="421" t="s">
        <v>597</v>
      </c>
      <c r="B340" s="421"/>
      <c r="C340" s="421"/>
    </row>
    <row r="341" spans="1:8" s="429" customFormat="1" ht="11.25">
      <c r="A341" s="428"/>
      <c r="B341" s="428"/>
      <c r="C341" s="428"/>
    </row>
    <row r="342" spans="1:8" s="429" customFormat="1" ht="11.25">
      <c r="A342" s="428"/>
      <c r="B342" s="428"/>
      <c r="C342" s="428"/>
    </row>
    <row r="343" spans="1:8" s="429" customFormat="1" ht="11.25">
      <c r="A343" s="428"/>
      <c r="B343" s="428"/>
      <c r="C343" s="428"/>
    </row>
    <row r="344" spans="1:8" s="422" customFormat="1" ht="11.25"/>
    <row r="345" spans="1:8" s="422" customFormat="1" ht="11.25">
      <c r="A345" s="421" t="s">
        <v>598</v>
      </c>
      <c r="B345" s="421"/>
      <c r="C345" s="421"/>
    </row>
    <row r="346" spans="1:8" s="422" customFormat="1" ht="11.25">
      <c r="A346" s="452" t="s">
        <v>599</v>
      </c>
      <c r="B346" s="447"/>
      <c r="C346" s="447"/>
      <c r="D346" s="447"/>
      <c r="E346" s="439" t="s">
        <v>375</v>
      </c>
      <c r="F346" s="439" t="s">
        <v>9</v>
      </c>
      <c r="G346" s="439" t="s">
        <v>131</v>
      </c>
      <c r="H346" s="439" t="s">
        <v>424</v>
      </c>
    </row>
    <row r="347" spans="1:8" s="422" customFormat="1" ht="11.25">
      <c r="A347" s="448"/>
      <c r="B347" s="449"/>
      <c r="C347" s="449"/>
      <c r="D347" s="449"/>
      <c r="E347" s="438">
        <v>0</v>
      </c>
      <c r="F347" s="438">
        <v>0</v>
      </c>
      <c r="G347" s="438">
        <v>0</v>
      </c>
      <c r="H347" s="438">
        <v>0</v>
      </c>
    </row>
    <row r="348" spans="1:8" s="422" customFormat="1" ht="11.25">
      <c r="A348" s="448"/>
      <c r="B348" s="449"/>
      <c r="C348" s="449"/>
      <c r="D348" s="449"/>
      <c r="E348" s="438">
        <v>0</v>
      </c>
      <c r="F348" s="438">
        <v>0</v>
      </c>
      <c r="G348" s="438">
        <v>0</v>
      </c>
      <c r="H348" s="438">
        <v>0</v>
      </c>
    </row>
    <row r="349" spans="1:8" s="422" customFormat="1" ht="11.25">
      <c r="A349" s="448"/>
      <c r="B349" s="449"/>
      <c r="C349" s="449"/>
      <c r="D349" s="449"/>
      <c r="E349" s="438">
        <v>0</v>
      </c>
      <c r="F349" s="438">
        <v>0</v>
      </c>
      <c r="G349" s="438">
        <v>0</v>
      </c>
      <c r="H349" s="438">
        <v>0</v>
      </c>
    </row>
    <row r="350" spans="1:8" s="421" customFormat="1" ht="11.25">
      <c r="A350" s="421" t="s">
        <v>391</v>
      </c>
      <c r="D350" s="421" t="s">
        <v>472</v>
      </c>
    </row>
    <row r="351" spans="1:8" s="422" customFormat="1" ht="11.25"/>
    <row r="352" spans="1:8" s="421" customFormat="1" ht="11.25" customHeight="1">
      <c r="A352" s="423" t="s">
        <v>392</v>
      </c>
      <c r="D352" s="421" t="s">
        <v>139</v>
      </c>
    </row>
    <row r="353" spans="1:8" s="421" customFormat="1" ht="7.5" customHeight="1">
      <c r="A353" s="423"/>
    </row>
    <row r="354" spans="1:8" s="421" customFormat="1" ht="11.25">
      <c r="A354" s="424" t="s">
        <v>393</v>
      </c>
      <c r="D354" s="583" t="s">
        <v>140</v>
      </c>
      <c r="E354" s="583"/>
      <c r="F354" s="583"/>
      <c r="G354" s="583"/>
      <c r="H354" s="583"/>
    </row>
    <row r="355" spans="1:8" s="421" customFormat="1" ht="7.5" customHeight="1"/>
    <row r="356" spans="1:8" s="422" customFormat="1" ht="11.25">
      <c r="A356" s="421" t="s">
        <v>170</v>
      </c>
      <c r="B356" s="421"/>
      <c r="C356" s="421"/>
      <c r="D356" s="422" t="s">
        <v>181</v>
      </c>
      <c r="E356" s="422" t="s">
        <v>624</v>
      </c>
    </row>
    <row r="357" spans="1:8" s="422" customFormat="1" ht="7.5" customHeight="1"/>
    <row r="358" spans="1:8" s="427" customFormat="1" ht="11.25">
      <c r="A358" s="425" t="s">
        <v>587</v>
      </c>
      <c r="B358" s="425"/>
      <c r="C358" s="425"/>
      <c r="D358" s="426" t="s">
        <v>625</v>
      </c>
      <c r="E358" s="584" t="s">
        <v>626</v>
      </c>
      <c r="F358" s="584"/>
      <c r="G358" s="584"/>
      <c r="H358" s="584"/>
    </row>
    <row r="359" spans="1:8" s="427" customFormat="1" ht="11.25">
      <c r="A359" s="425"/>
      <c r="B359" s="425"/>
      <c r="C359" s="425"/>
      <c r="D359" s="426"/>
      <c r="E359" s="584"/>
      <c r="F359" s="584"/>
      <c r="G359" s="584"/>
      <c r="H359" s="584"/>
    </row>
    <row r="360" spans="1:8" s="427" customFormat="1" ht="11.25"/>
    <row r="361" spans="1:8" s="422" customFormat="1" ht="11.25"/>
    <row r="362" spans="1:8" s="422" customFormat="1" ht="11.25">
      <c r="A362" s="421" t="s">
        <v>589</v>
      </c>
      <c r="B362" s="421"/>
      <c r="C362" s="421"/>
    </row>
    <row r="363" spans="1:8" s="429" customFormat="1" ht="11.25">
      <c r="A363" s="428"/>
      <c r="B363" s="428"/>
      <c r="C363" s="428"/>
    </row>
    <row r="364" spans="1:8" s="429" customFormat="1" ht="11.25">
      <c r="A364" s="428"/>
      <c r="B364" s="428"/>
      <c r="C364" s="428"/>
    </row>
    <row r="365" spans="1:8" s="429" customFormat="1" ht="11.25">
      <c r="A365" s="428"/>
      <c r="B365" s="428"/>
      <c r="C365" s="428"/>
    </row>
    <row r="366" spans="1:8" s="429" customFormat="1" ht="5.25" customHeight="1">
      <c r="A366" s="428"/>
      <c r="B366" s="428"/>
      <c r="C366" s="428"/>
    </row>
    <row r="367" spans="1:8" s="429" customFormat="1" ht="11.25" hidden="1">
      <c r="A367" s="428"/>
      <c r="B367" s="428"/>
      <c r="C367" s="428"/>
    </row>
    <row r="368" spans="1:8" s="429" customFormat="1" ht="11.25" hidden="1">
      <c r="A368" s="428"/>
      <c r="B368" s="428"/>
      <c r="C368" s="428"/>
    </row>
    <row r="369" spans="1:8" s="422" customFormat="1" ht="9" customHeight="1">
      <c r="A369" s="430"/>
      <c r="B369" s="430"/>
      <c r="C369" s="430"/>
      <c r="D369" s="430"/>
      <c r="E369" s="430"/>
      <c r="F369" s="430"/>
      <c r="G369" s="430"/>
      <c r="H369" s="430"/>
    </row>
    <row r="370" spans="1:8" s="422" customFormat="1" ht="22.5" customHeight="1">
      <c r="A370" s="585" t="s">
        <v>590</v>
      </c>
      <c r="B370" s="585"/>
      <c r="C370" s="585"/>
      <c r="D370" s="586"/>
      <c r="E370" s="586"/>
      <c r="F370" s="586"/>
      <c r="G370" s="586"/>
      <c r="H370" s="586"/>
    </row>
    <row r="371" spans="1:8" s="429" customFormat="1" ht="11.25">
      <c r="A371" s="431"/>
      <c r="B371" s="431"/>
      <c r="C371" s="431"/>
      <c r="D371" s="432"/>
      <c r="E371" s="432"/>
      <c r="F371" s="432"/>
      <c r="G371" s="432"/>
      <c r="H371" s="432"/>
    </row>
    <row r="372" spans="1:8" s="429" customFormat="1" ht="11.25">
      <c r="A372" s="431"/>
      <c r="B372" s="431"/>
      <c r="C372" s="431"/>
      <c r="D372" s="432"/>
      <c r="E372" s="432"/>
      <c r="F372" s="432"/>
      <c r="G372" s="432"/>
      <c r="H372" s="432"/>
    </row>
    <row r="373" spans="1:8" s="429" customFormat="1" ht="11.25">
      <c r="A373" s="431"/>
      <c r="B373" s="431"/>
      <c r="C373" s="431"/>
      <c r="D373" s="432"/>
      <c r="E373" s="432"/>
      <c r="F373" s="432"/>
      <c r="G373" s="432"/>
      <c r="H373" s="432"/>
    </row>
    <row r="374" spans="1:8" s="429" customFormat="1" ht="49.5" customHeight="1">
      <c r="A374" s="431"/>
      <c r="B374" s="431"/>
      <c r="C374" s="431"/>
      <c r="D374" s="432"/>
      <c r="E374" s="432"/>
      <c r="F374" s="432"/>
      <c r="G374" s="432"/>
      <c r="H374" s="432"/>
    </row>
    <row r="375" spans="1:8" s="422" customFormat="1" ht="9" customHeight="1"/>
    <row r="376" spans="1:8" s="422" customFormat="1" ht="11.25">
      <c r="A376" s="421" t="s">
        <v>591</v>
      </c>
      <c r="B376" s="421"/>
      <c r="C376" s="421"/>
    </row>
    <row r="377" spans="1:8" s="429" customFormat="1" ht="11.25">
      <c r="A377" s="428"/>
      <c r="B377" s="428"/>
      <c r="C377" s="428"/>
    </row>
    <row r="378" spans="1:8" s="429" customFormat="1" ht="11.25">
      <c r="A378" s="428"/>
      <c r="B378" s="428"/>
      <c r="C378" s="428"/>
    </row>
    <row r="379" spans="1:8" s="429" customFormat="1" ht="11.25">
      <c r="A379" s="428"/>
      <c r="B379" s="428"/>
      <c r="C379" s="428"/>
    </row>
    <row r="380" spans="1:8" s="429" customFormat="1" ht="11.25">
      <c r="A380" s="428"/>
      <c r="B380" s="428"/>
      <c r="C380" s="428"/>
    </row>
    <row r="381" spans="1:8" s="429" customFormat="1" ht="11.25">
      <c r="A381" s="428"/>
      <c r="B381" s="428"/>
      <c r="C381" s="428"/>
    </row>
    <row r="382" spans="1:8" s="422" customFormat="1" ht="9" customHeight="1"/>
    <row r="383" spans="1:8" s="422" customFormat="1" ht="11.25">
      <c r="A383" s="433" t="s">
        <v>592</v>
      </c>
      <c r="B383" s="434"/>
      <c r="C383" s="434"/>
      <c r="D383" s="434"/>
      <c r="E383" s="434"/>
      <c r="F383" s="434"/>
      <c r="G383" s="434"/>
      <c r="H383" s="434"/>
    </row>
    <row r="384" spans="1:8" s="429" customFormat="1" ht="11.25">
      <c r="A384" s="435"/>
      <c r="B384" s="436"/>
      <c r="C384" s="436"/>
      <c r="D384" s="436"/>
      <c r="E384" s="436"/>
      <c r="F384" s="436"/>
      <c r="G384" s="436"/>
      <c r="H384" s="436"/>
    </row>
    <row r="385" spans="1:8" s="429" customFormat="1" ht="11.25">
      <c r="A385" s="435"/>
      <c r="B385" s="436"/>
      <c r="C385" s="436"/>
      <c r="D385" s="436"/>
      <c r="E385" s="436"/>
      <c r="F385" s="436"/>
      <c r="G385" s="436"/>
      <c r="H385" s="436"/>
    </row>
    <row r="386" spans="1:8" s="422" customFormat="1" ht="11.25">
      <c r="A386" s="437"/>
      <c r="B386" s="437"/>
      <c r="C386" s="437"/>
      <c r="D386" s="437"/>
      <c r="E386" s="437"/>
      <c r="F386" s="437"/>
      <c r="G386" s="437"/>
      <c r="H386" s="437"/>
    </row>
    <row r="387" spans="1:8" s="422" customFormat="1" ht="11.25">
      <c r="A387" s="421" t="s">
        <v>593</v>
      </c>
      <c r="B387" s="421"/>
      <c r="C387" s="421"/>
    </row>
    <row r="388" spans="1:8" s="422" customFormat="1" ht="11.25">
      <c r="A388" s="438"/>
      <c r="B388" s="439" t="s">
        <v>132</v>
      </c>
      <c r="C388" s="439" t="s">
        <v>473</v>
      </c>
      <c r="D388" s="439" t="s">
        <v>474</v>
      </c>
      <c r="E388" s="439" t="s">
        <v>375</v>
      </c>
      <c r="F388" s="439" t="s">
        <v>9</v>
      </c>
      <c r="G388" s="439" t="s">
        <v>131</v>
      </c>
      <c r="H388" s="439" t="s">
        <v>424</v>
      </c>
    </row>
    <row r="389" spans="1:8" s="422" customFormat="1" ht="11.25">
      <c r="A389" s="439" t="s">
        <v>394</v>
      </c>
      <c r="B389" s="438">
        <v>1725217.3100000003</v>
      </c>
      <c r="C389" s="438">
        <v>1709971.9599999997</v>
      </c>
      <c r="D389" s="438">
        <v>1987185.32</v>
      </c>
      <c r="E389" s="438">
        <v>1575007.1601</v>
      </c>
      <c r="F389" s="438">
        <v>1987800.1601</v>
      </c>
      <c r="G389" s="438">
        <v>1796807.34024</v>
      </c>
      <c r="H389" s="438">
        <v>1980436.1902900001</v>
      </c>
    </row>
    <row r="390" spans="1:8" s="422" customFormat="1" ht="11.25">
      <c r="A390" s="439" t="s">
        <v>395</v>
      </c>
      <c r="B390" s="438">
        <v>-55866.64</v>
      </c>
      <c r="C390" s="438">
        <v>-83862.75</v>
      </c>
      <c r="D390" s="438">
        <v>-11266.1</v>
      </c>
      <c r="E390" s="438">
        <v>-48766.1</v>
      </c>
      <c r="F390" s="438">
        <v>-68766.100000000006</v>
      </c>
      <c r="G390" s="438">
        <v>-68766.100000000006</v>
      </c>
      <c r="H390" s="438">
        <v>-48766.1</v>
      </c>
    </row>
    <row r="391" spans="1:8" s="422" customFormat="1" ht="11.25">
      <c r="A391" s="439" t="s">
        <v>396</v>
      </c>
      <c r="B391" s="438">
        <v>1669350.6700000004</v>
      </c>
      <c r="C391" s="438">
        <v>1626109.2099999997</v>
      </c>
      <c r="D391" s="438">
        <v>1975919.22</v>
      </c>
      <c r="E391" s="438">
        <v>1526241.0600999999</v>
      </c>
      <c r="F391" s="438">
        <v>1919034.0600999999</v>
      </c>
      <c r="G391" s="438">
        <v>1728041.24024</v>
      </c>
      <c r="H391" s="438">
        <v>1931670.09029</v>
      </c>
    </row>
    <row r="392" spans="1:8" s="442" customFormat="1" ht="11.25">
      <c r="A392" s="440" t="s">
        <v>397</v>
      </c>
      <c r="B392" s="441">
        <v>3.2382378542213902E-2</v>
      </c>
      <c r="C392" s="441">
        <v>4.9043348055835961E-2</v>
      </c>
      <c r="D392" s="441">
        <v>5.6693756171668983E-3</v>
      </c>
      <c r="E392" s="441">
        <v>3.0962462416300223E-2</v>
      </c>
      <c r="F392" s="441">
        <v>3.4594071064236454E-2</v>
      </c>
      <c r="G392" s="441">
        <v>3.8271270636514039E-2</v>
      </c>
      <c r="H392" s="441">
        <v>2.4623918831163685E-2</v>
      </c>
    </row>
    <row r="393" spans="1:8" s="422" customFormat="1" ht="11.25"/>
    <row r="394" spans="1:8" s="422" customFormat="1" ht="11.25">
      <c r="A394" s="443" t="s">
        <v>594</v>
      </c>
      <c r="B394" s="443"/>
      <c r="C394" s="444"/>
    </row>
    <row r="395" spans="1:8" s="422" customFormat="1" ht="11.25">
      <c r="A395" s="445" t="s">
        <v>595</v>
      </c>
      <c r="B395" s="446"/>
      <c r="C395" s="447"/>
      <c r="D395" s="439" t="s">
        <v>474</v>
      </c>
      <c r="E395" s="439" t="s">
        <v>375</v>
      </c>
      <c r="F395" s="439" t="s">
        <v>9</v>
      </c>
      <c r="G395" s="439" t="s">
        <v>131</v>
      </c>
      <c r="H395" s="439" t="s">
        <v>424</v>
      </c>
    </row>
    <row r="396" spans="1:8" s="422" customFormat="1" ht="11.25">
      <c r="A396" s="448" t="s">
        <v>596</v>
      </c>
      <c r="B396" s="449"/>
      <c r="C396" s="449"/>
      <c r="D396" s="438"/>
      <c r="E396" s="438"/>
      <c r="F396" s="438"/>
      <c r="G396" s="438"/>
      <c r="H396" s="438"/>
    </row>
    <row r="397" spans="1:8" s="422" customFormat="1" ht="11.25">
      <c r="A397" s="448"/>
      <c r="B397" s="449"/>
      <c r="C397" s="449"/>
      <c r="D397" s="438"/>
      <c r="E397" s="438"/>
      <c r="F397" s="438"/>
      <c r="G397" s="438"/>
      <c r="H397" s="438"/>
    </row>
    <row r="398" spans="1:8" s="422" customFormat="1" ht="11.25">
      <c r="A398" s="448"/>
      <c r="B398" s="449"/>
      <c r="C398" s="449"/>
      <c r="D398" s="438"/>
      <c r="E398" s="438"/>
      <c r="F398" s="438"/>
      <c r="G398" s="438"/>
      <c r="H398" s="438"/>
    </row>
    <row r="399" spans="1:8" s="422" customFormat="1" ht="11.25"/>
    <row r="400" spans="1:8" s="422" customFormat="1" ht="11.25">
      <c r="A400" s="421" t="s">
        <v>423</v>
      </c>
      <c r="B400" s="421"/>
      <c r="C400" s="421"/>
    </row>
    <row r="401" spans="1:8" s="422" customFormat="1" ht="11.25">
      <c r="A401" s="450"/>
      <c r="B401" s="439" t="s">
        <v>132</v>
      </c>
      <c r="C401" s="439" t="s">
        <v>473</v>
      </c>
      <c r="D401" s="439" t="s">
        <v>474</v>
      </c>
      <c r="E401" s="439" t="s">
        <v>375</v>
      </c>
      <c r="F401" s="439" t="s">
        <v>9</v>
      </c>
      <c r="G401" s="439" t="s">
        <v>131</v>
      </c>
      <c r="H401" s="439" t="s">
        <v>424</v>
      </c>
    </row>
    <row r="402" spans="1:8" s="422" customFormat="1" ht="11.25">
      <c r="A402" s="451" t="s">
        <v>398</v>
      </c>
      <c r="B402" s="438">
        <v>18916.05</v>
      </c>
      <c r="C402" s="438">
        <v>6000</v>
      </c>
      <c r="D402" s="438">
        <v>0</v>
      </c>
      <c r="E402" s="438">
        <v>80000</v>
      </c>
      <c r="F402" s="438">
        <v>80000</v>
      </c>
      <c r="G402" s="438">
        <v>0</v>
      </c>
      <c r="H402" s="438">
        <v>0</v>
      </c>
    </row>
    <row r="403" spans="1:8" s="422" customFormat="1" ht="11.25">
      <c r="A403" s="451" t="s">
        <v>399</v>
      </c>
      <c r="B403" s="438">
        <v>0</v>
      </c>
      <c r="C403" s="438">
        <v>0</v>
      </c>
      <c r="D403" s="438">
        <v>20000</v>
      </c>
      <c r="E403" s="438">
        <v>30000</v>
      </c>
      <c r="F403" s="438">
        <v>30000</v>
      </c>
      <c r="G403" s="438">
        <v>0</v>
      </c>
      <c r="H403" s="438">
        <v>0</v>
      </c>
    </row>
    <row r="404" spans="1:8" s="422" customFormat="1" ht="11.25">
      <c r="A404" s="451" t="s">
        <v>400</v>
      </c>
      <c r="B404" s="438">
        <v>0</v>
      </c>
      <c r="C404" s="438">
        <v>0</v>
      </c>
      <c r="D404" s="438">
        <v>0</v>
      </c>
      <c r="E404" s="438">
        <v>0</v>
      </c>
      <c r="F404" s="438">
        <v>0</v>
      </c>
      <c r="G404" s="438">
        <v>0</v>
      </c>
      <c r="H404" s="438">
        <v>0</v>
      </c>
    </row>
    <row r="405" spans="1:8" s="422" customFormat="1" ht="11.25">
      <c r="A405" s="451" t="s">
        <v>401</v>
      </c>
      <c r="B405" s="438">
        <v>18916.05</v>
      </c>
      <c r="C405" s="438">
        <v>6000</v>
      </c>
      <c r="D405" s="438">
        <v>20000</v>
      </c>
      <c r="E405" s="438">
        <v>110000</v>
      </c>
      <c r="F405" s="438">
        <v>110000</v>
      </c>
      <c r="G405" s="438">
        <v>0</v>
      </c>
      <c r="H405" s="438">
        <v>0</v>
      </c>
    </row>
    <row r="406" spans="1:8" s="422" customFormat="1" ht="11.25"/>
    <row r="407" spans="1:8" s="422" customFormat="1" ht="11.25">
      <c r="A407" s="421" t="s">
        <v>597</v>
      </c>
      <c r="B407" s="421"/>
      <c r="C407" s="421"/>
    </row>
    <row r="408" spans="1:8" s="429" customFormat="1" ht="11.25">
      <c r="A408" s="428"/>
      <c r="B408" s="428"/>
      <c r="C408" s="428"/>
    </row>
    <row r="409" spans="1:8" s="429" customFormat="1" ht="11.25">
      <c r="A409" s="428"/>
      <c r="B409" s="428"/>
      <c r="C409" s="428"/>
    </row>
    <row r="410" spans="1:8" s="429" customFormat="1" ht="24.75" customHeight="1">
      <c r="A410" s="428"/>
      <c r="B410" s="428"/>
      <c r="C410" s="428"/>
    </row>
    <row r="411" spans="1:8" s="422" customFormat="1" ht="11.25"/>
    <row r="412" spans="1:8" s="422" customFormat="1" ht="11.25">
      <c r="A412" s="421" t="s">
        <v>598</v>
      </c>
      <c r="B412" s="421"/>
      <c r="C412" s="421"/>
    </row>
    <row r="413" spans="1:8" s="422" customFormat="1" ht="11.25">
      <c r="A413" s="452" t="s">
        <v>599</v>
      </c>
      <c r="B413" s="447"/>
      <c r="C413" s="447"/>
      <c r="D413" s="447"/>
      <c r="E413" s="439" t="s">
        <v>375</v>
      </c>
      <c r="F413" s="439" t="s">
        <v>9</v>
      </c>
      <c r="G413" s="439" t="s">
        <v>131</v>
      </c>
      <c r="H413" s="439" t="s">
        <v>424</v>
      </c>
    </row>
    <row r="414" spans="1:8" s="422" customFormat="1" ht="11.25">
      <c r="A414" s="448"/>
      <c r="B414" s="449"/>
      <c r="C414" s="449"/>
      <c r="D414" s="449"/>
      <c r="E414" s="438">
        <v>0</v>
      </c>
      <c r="F414" s="438">
        <v>0</v>
      </c>
      <c r="G414" s="438">
        <v>0</v>
      </c>
      <c r="H414" s="438">
        <v>0</v>
      </c>
    </row>
    <row r="415" spans="1:8" s="422" customFormat="1" ht="11.25">
      <c r="A415" s="448"/>
      <c r="B415" s="449"/>
      <c r="C415" s="449"/>
      <c r="D415" s="449"/>
      <c r="E415" s="438">
        <v>0</v>
      </c>
      <c r="F415" s="438">
        <v>0</v>
      </c>
      <c r="G415" s="438">
        <v>0</v>
      </c>
      <c r="H415" s="438">
        <v>0</v>
      </c>
    </row>
    <row r="416" spans="1:8" s="422" customFormat="1" ht="11.25">
      <c r="A416" s="448"/>
      <c r="B416" s="449"/>
      <c r="C416" s="449"/>
      <c r="D416" s="449"/>
      <c r="E416" s="438">
        <v>0</v>
      </c>
      <c r="F416" s="438">
        <v>0</v>
      </c>
      <c r="G416" s="438">
        <v>0</v>
      </c>
      <c r="H416" s="438">
        <v>0</v>
      </c>
    </row>
    <row r="417" spans="1:8" s="422" customFormat="1" ht="11.25">
      <c r="A417" s="448"/>
      <c r="B417" s="449"/>
      <c r="C417" s="449"/>
      <c r="D417" s="449"/>
      <c r="E417" s="438">
        <v>0</v>
      </c>
      <c r="F417" s="438">
        <v>0</v>
      </c>
      <c r="G417" s="438">
        <v>0</v>
      </c>
      <c r="H417" s="438">
        <v>0</v>
      </c>
    </row>
    <row r="418" spans="1:8" s="421" customFormat="1" ht="11.25">
      <c r="A418" s="421" t="s">
        <v>391</v>
      </c>
      <c r="D418" s="421" t="s">
        <v>472</v>
      </c>
    </row>
    <row r="419" spans="1:8" s="422" customFormat="1" ht="11.25"/>
    <row r="420" spans="1:8" s="421" customFormat="1" ht="11.25" customHeight="1">
      <c r="A420" s="423" t="s">
        <v>392</v>
      </c>
      <c r="D420" s="421" t="s">
        <v>139</v>
      </c>
    </row>
    <row r="421" spans="1:8" s="421" customFormat="1" ht="7.5" customHeight="1">
      <c r="A421" s="423"/>
    </row>
    <row r="422" spans="1:8" s="421" customFormat="1" ht="11.25">
      <c r="A422" s="424" t="s">
        <v>393</v>
      </c>
      <c r="D422" s="583" t="s">
        <v>140</v>
      </c>
      <c r="E422" s="583"/>
      <c r="F422" s="583"/>
      <c r="G422" s="583"/>
      <c r="H422" s="583"/>
    </row>
    <row r="423" spans="1:8" s="421" customFormat="1" ht="12.75" customHeight="1"/>
    <row r="424" spans="1:8" s="422" customFormat="1" ht="11.25">
      <c r="A424" s="421" t="s">
        <v>170</v>
      </c>
      <c r="B424" s="421"/>
      <c r="C424" s="421"/>
      <c r="D424" s="422" t="s">
        <v>179</v>
      </c>
      <c r="E424" s="422" t="s">
        <v>180</v>
      </c>
    </row>
    <row r="425" spans="1:8" s="422" customFormat="1" ht="7.5" customHeight="1"/>
    <row r="426" spans="1:8" s="427" customFormat="1" ht="11.25">
      <c r="A426" s="425" t="s">
        <v>587</v>
      </c>
      <c r="B426" s="425"/>
      <c r="C426" s="425"/>
      <c r="D426" s="426" t="s">
        <v>627</v>
      </c>
      <c r="E426" s="584" t="s">
        <v>628</v>
      </c>
      <c r="F426" s="584"/>
      <c r="G426" s="584"/>
      <c r="H426" s="584"/>
    </row>
    <row r="427" spans="1:8" s="427" customFormat="1" ht="11.25">
      <c r="A427" s="425"/>
      <c r="B427" s="425"/>
      <c r="C427" s="425"/>
      <c r="D427" s="426" t="s">
        <v>629</v>
      </c>
      <c r="E427" s="584" t="s">
        <v>630</v>
      </c>
      <c r="F427" s="584"/>
      <c r="G427" s="584"/>
      <c r="H427" s="584"/>
    </row>
    <row r="428" spans="1:8" s="427" customFormat="1" ht="11.25">
      <c r="A428" s="425"/>
      <c r="B428" s="425"/>
      <c r="C428" s="425"/>
      <c r="D428" s="426"/>
      <c r="E428" s="584"/>
      <c r="F428" s="584"/>
      <c r="G428" s="584"/>
      <c r="H428" s="584"/>
    </row>
    <row r="429" spans="1:8" s="427" customFormat="1" ht="11.25"/>
    <row r="430" spans="1:8" s="422" customFormat="1" ht="11.25"/>
    <row r="431" spans="1:8" s="422" customFormat="1" ht="11.25">
      <c r="A431" s="421" t="s">
        <v>589</v>
      </c>
      <c r="B431" s="421"/>
      <c r="C431" s="421"/>
    </row>
    <row r="432" spans="1:8" s="429" customFormat="1" ht="11.25">
      <c r="A432" s="428"/>
      <c r="B432" s="428"/>
      <c r="C432" s="428"/>
    </row>
    <row r="433" spans="1:8" s="429" customFormat="1" ht="11.25">
      <c r="A433" s="428"/>
      <c r="B433" s="428"/>
      <c r="C433" s="428"/>
    </row>
    <row r="434" spans="1:8" s="429" customFormat="1" ht="3.75" customHeight="1">
      <c r="A434" s="428"/>
      <c r="B434" s="428"/>
      <c r="C434" s="428"/>
    </row>
    <row r="435" spans="1:8" s="429" customFormat="1" ht="11.25" hidden="1">
      <c r="A435" s="428"/>
      <c r="B435" s="428"/>
      <c r="C435" s="428"/>
    </row>
    <row r="436" spans="1:8" s="429" customFormat="1" ht="11.25" hidden="1">
      <c r="A436" s="428"/>
      <c r="B436" s="428"/>
      <c r="C436" s="428"/>
    </row>
    <row r="437" spans="1:8" s="429" customFormat="1" ht="11.25" hidden="1">
      <c r="A437" s="428"/>
      <c r="B437" s="428"/>
      <c r="C437" s="428"/>
    </row>
    <row r="438" spans="1:8" s="422" customFormat="1" ht="9" customHeight="1">
      <c r="A438" s="430"/>
      <c r="B438" s="430"/>
      <c r="C438" s="430"/>
      <c r="D438" s="430"/>
      <c r="E438" s="430"/>
      <c r="F438" s="430"/>
      <c r="G438" s="430"/>
      <c r="H438" s="430"/>
    </row>
    <row r="439" spans="1:8" s="422" customFormat="1" ht="22.5" customHeight="1">
      <c r="A439" s="585" t="s">
        <v>590</v>
      </c>
      <c r="B439" s="585"/>
      <c r="C439" s="585"/>
      <c r="D439" s="586"/>
      <c r="E439" s="586"/>
      <c r="F439" s="586"/>
      <c r="G439" s="586"/>
      <c r="H439" s="586"/>
    </row>
    <row r="440" spans="1:8" s="429" customFormat="1" ht="11.25">
      <c r="A440" s="431"/>
      <c r="B440" s="431"/>
      <c r="C440" s="431"/>
      <c r="D440" s="432"/>
      <c r="E440" s="432"/>
      <c r="F440" s="432"/>
      <c r="G440" s="432"/>
      <c r="H440" s="432"/>
    </row>
    <row r="441" spans="1:8" s="429" customFormat="1" ht="9" customHeight="1">
      <c r="A441" s="431"/>
      <c r="B441" s="431"/>
      <c r="C441" s="431"/>
      <c r="D441" s="432"/>
      <c r="E441" s="432"/>
      <c r="F441" s="432"/>
      <c r="G441" s="432"/>
      <c r="H441" s="432"/>
    </row>
    <row r="442" spans="1:8" s="429" customFormat="1" ht="11.25" hidden="1">
      <c r="A442" s="431"/>
      <c r="B442" s="431"/>
      <c r="C442" s="431"/>
      <c r="D442" s="432"/>
      <c r="E442" s="432"/>
      <c r="F442" s="432"/>
      <c r="G442" s="432"/>
      <c r="H442" s="432"/>
    </row>
    <row r="443" spans="1:8" s="429" customFormat="1" ht="21" customHeight="1">
      <c r="A443" s="431"/>
      <c r="B443" s="431"/>
      <c r="C443" s="431"/>
      <c r="D443" s="432"/>
      <c r="E443" s="432"/>
      <c r="F443" s="432"/>
      <c r="G443" s="432"/>
      <c r="H443" s="432"/>
    </row>
    <row r="444" spans="1:8" s="422" customFormat="1" ht="21" customHeight="1"/>
    <row r="445" spans="1:8" s="422" customFormat="1" ht="83.25" customHeight="1">
      <c r="A445" s="421" t="s">
        <v>591</v>
      </c>
      <c r="B445" s="421"/>
      <c r="C445" s="421"/>
    </row>
    <row r="446" spans="1:8" s="429" customFormat="1" ht="11.25">
      <c r="A446" s="428"/>
      <c r="B446" s="428"/>
      <c r="C446" s="428"/>
    </row>
    <row r="447" spans="1:8" s="429" customFormat="1" ht="56.25" customHeight="1">
      <c r="A447" s="428"/>
      <c r="B447" s="428"/>
      <c r="C447" s="428"/>
    </row>
    <row r="448" spans="1:8" s="422" customFormat="1" ht="14.25" customHeight="1">
      <c r="A448" s="433" t="s">
        <v>592</v>
      </c>
      <c r="B448" s="434"/>
      <c r="C448" s="434"/>
      <c r="D448" s="434"/>
      <c r="E448" s="434"/>
      <c r="F448" s="434"/>
      <c r="G448" s="434"/>
      <c r="H448" s="434"/>
    </row>
    <row r="449" spans="1:8" s="429" customFormat="1" ht="11.25">
      <c r="A449" s="435"/>
      <c r="B449" s="436"/>
      <c r="C449" s="436"/>
      <c r="D449" s="436"/>
      <c r="E449" s="436"/>
      <c r="F449" s="436"/>
      <c r="G449" s="436"/>
      <c r="H449" s="436"/>
    </row>
    <row r="450" spans="1:8" s="429" customFormat="1" ht="20.25" customHeight="1">
      <c r="A450" s="435"/>
      <c r="B450" s="436"/>
      <c r="C450" s="436"/>
      <c r="D450" s="436"/>
      <c r="E450" s="436"/>
      <c r="F450" s="436"/>
      <c r="G450" s="436"/>
      <c r="H450" s="436"/>
    </row>
    <row r="451" spans="1:8" s="422" customFormat="1" ht="11.25">
      <c r="A451" s="437"/>
      <c r="B451" s="437"/>
      <c r="C451" s="437"/>
      <c r="D451" s="437"/>
      <c r="E451" s="437"/>
      <c r="F451" s="437"/>
      <c r="G451" s="437"/>
      <c r="H451" s="437"/>
    </row>
    <row r="452" spans="1:8" s="422" customFormat="1" ht="11.25">
      <c r="A452" s="421" t="s">
        <v>593</v>
      </c>
      <c r="B452" s="421"/>
      <c r="C452" s="421"/>
    </row>
    <row r="453" spans="1:8" s="422" customFormat="1" ht="11.25">
      <c r="A453" s="438"/>
      <c r="B453" s="439" t="s">
        <v>132</v>
      </c>
      <c r="C453" s="439" t="s">
        <v>473</v>
      </c>
      <c r="D453" s="439" t="s">
        <v>474</v>
      </c>
      <c r="E453" s="439" t="s">
        <v>375</v>
      </c>
      <c r="F453" s="439" t="s">
        <v>9</v>
      </c>
      <c r="G453" s="439" t="s">
        <v>131</v>
      </c>
      <c r="H453" s="439" t="s">
        <v>424</v>
      </c>
    </row>
    <row r="454" spans="1:8" s="422" customFormat="1" ht="11.25">
      <c r="A454" s="439" t="s">
        <v>394</v>
      </c>
      <c r="B454" s="438">
        <v>1280201.24</v>
      </c>
      <c r="C454" s="438">
        <v>1374871.99</v>
      </c>
      <c r="D454" s="438">
        <v>1370480.42</v>
      </c>
      <c r="E454" s="438">
        <v>1575577.3030000001</v>
      </c>
      <c r="F454" s="438">
        <v>1570171.3030000001</v>
      </c>
      <c r="G454" s="438">
        <v>1583287.2631999999</v>
      </c>
      <c r="H454" s="438">
        <v>1587971.5347</v>
      </c>
    </row>
    <row r="455" spans="1:8" s="422" customFormat="1" ht="11.25">
      <c r="A455" s="439" t="s">
        <v>395</v>
      </c>
      <c r="B455" s="438">
        <v>-55556.05</v>
      </c>
      <c r="C455" s="438">
        <v>-49785.45</v>
      </c>
      <c r="D455" s="438">
        <v>-45713.5</v>
      </c>
      <c r="E455" s="438">
        <v>-45713.5</v>
      </c>
      <c r="F455" s="438">
        <v>-45713.5</v>
      </c>
      <c r="G455" s="438">
        <v>-45713.5</v>
      </c>
      <c r="H455" s="438">
        <v>-45713.5</v>
      </c>
    </row>
    <row r="456" spans="1:8" s="422" customFormat="1" ht="11.25">
      <c r="A456" s="439" t="s">
        <v>396</v>
      </c>
      <c r="B456" s="438">
        <v>1224645.19</v>
      </c>
      <c r="C456" s="438">
        <v>1325086.54</v>
      </c>
      <c r="D456" s="438">
        <v>1324766.92</v>
      </c>
      <c r="E456" s="438">
        <v>1529863.8030000001</v>
      </c>
      <c r="F456" s="438">
        <v>1524457.8030000001</v>
      </c>
      <c r="G456" s="438">
        <v>1537573.7631999999</v>
      </c>
      <c r="H456" s="438">
        <v>1542258.0347</v>
      </c>
    </row>
    <row r="457" spans="1:8" s="442" customFormat="1" ht="11.25">
      <c r="A457" s="440" t="s">
        <v>397</v>
      </c>
      <c r="B457" s="441">
        <v>4.3396341343959331E-2</v>
      </c>
      <c r="C457" s="441">
        <v>3.6210971175578317E-2</v>
      </c>
      <c r="D457" s="441">
        <v>3.3355821311186633E-2</v>
      </c>
      <c r="E457" s="441">
        <v>2.9013809676591919E-2</v>
      </c>
      <c r="F457" s="441">
        <v>2.9113702379261988E-2</v>
      </c>
      <c r="G457" s="441">
        <v>2.887252431223878E-2</v>
      </c>
      <c r="H457" s="441">
        <v>2.8787354811518211E-2</v>
      </c>
    </row>
    <row r="458" spans="1:8" s="422" customFormat="1" ht="11.25"/>
    <row r="459" spans="1:8" s="422" customFormat="1" ht="11.25">
      <c r="A459" s="443" t="s">
        <v>594</v>
      </c>
      <c r="B459" s="443"/>
      <c r="C459" s="444"/>
    </row>
    <row r="460" spans="1:8" s="422" customFormat="1" ht="11.25">
      <c r="A460" s="445" t="s">
        <v>595</v>
      </c>
      <c r="B460" s="446"/>
      <c r="C460" s="447"/>
      <c r="D460" s="439" t="s">
        <v>474</v>
      </c>
      <c r="E460" s="439" t="s">
        <v>375</v>
      </c>
      <c r="F460" s="439" t="s">
        <v>9</v>
      </c>
      <c r="G460" s="439" t="s">
        <v>131</v>
      </c>
      <c r="H460" s="439" t="s">
        <v>424</v>
      </c>
    </row>
    <row r="461" spans="1:8" s="422" customFormat="1" ht="11.25">
      <c r="A461" s="448" t="s">
        <v>631</v>
      </c>
      <c r="B461" s="449"/>
      <c r="C461" s="449"/>
      <c r="D461" s="438">
        <v>1</v>
      </c>
      <c r="E461" s="438">
        <v>1</v>
      </c>
      <c r="F461" s="438">
        <v>1</v>
      </c>
      <c r="G461" s="438">
        <v>1</v>
      </c>
      <c r="H461" s="438">
        <v>1</v>
      </c>
    </row>
    <row r="462" spans="1:8" s="422" customFormat="1" ht="11.25">
      <c r="A462" s="448"/>
      <c r="B462" s="449"/>
      <c r="C462" s="449"/>
      <c r="D462" s="438"/>
      <c r="E462" s="438"/>
      <c r="F462" s="438"/>
      <c r="G462" s="438"/>
      <c r="H462" s="438"/>
    </row>
    <row r="463" spans="1:8" s="422" customFormat="1" ht="11.25">
      <c r="A463" s="448"/>
      <c r="B463" s="449"/>
      <c r="C463" s="449"/>
      <c r="D463" s="438"/>
      <c r="E463" s="438"/>
      <c r="F463" s="438"/>
      <c r="G463" s="438"/>
      <c r="H463" s="438"/>
    </row>
    <row r="464" spans="1:8" s="422" customFormat="1" ht="11.25"/>
    <row r="465" spans="1:8" s="422" customFormat="1" ht="11.25">
      <c r="A465" s="421" t="s">
        <v>423</v>
      </c>
      <c r="B465" s="421"/>
      <c r="C465" s="421"/>
    </row>
    <row r="466" spans="1:8" s="422" customFormat="1" ht="11.25">
      <c r="A466" s="450"/>
      <c r="B466" s="439" t="s">
        <v>132</v>
      </c>
      <c r="C466" s="439" t="s">
        <v>473</v>
      </c>
      <c r="D466" s="439" t="s">
        <v>474</v>
      </c>
      <c r="E466" s="439" t="s">
        <v>375</v>
      </c>
      <c r="F466" s="439" t="s">
        <v>9</v>
      </c>
      <c r="G466" s="439" t="s">
        <v>131</v>
      </c>
      <c r="H466" s="439" t="s">
        <v>424</v>
      </c>
    </row>
    <row r="467" spans="1:8" s="422" customFormat="1" ht="11.25">
      <c r="A467" s="451" t="s">
        <v>398</v>
      </c>
      <c r="B467" s="438">
        <v>4734.3999999999996</v>
      </c>
      <c r="C467" s="438">
        <v>74960.850000000006</v>
      </c>
      <c r="D467" s="438">
        <v>0</v>
      </c>
      <c r="E467" s="438">
        <v>0</v>
      </c>
      <c r="F467" s="438">
        <v>0</v>
      </c>
      <c r="G467" s="438">
        <v>0</v>
      </c>
      <c r="H467" s="438">
        <v>0</v>
      </c>
    </row>
    <row r="468" spans="1:8" s="422" customFormat="1" ht="11.25">
      <c r="A468" s="451" t="s">
        <v>399</v>
      </c>
      <c r="B468" s="438">
        <v>0</v>
      </c>
      <c r="C468" s="438">
        <v>0</v>
      </c>
      <c r="D468" s="438">
        <v>0</v>
      </c>
      <c r="E468" s="438">
        <v>0</v>
      </c>
      <c r="F468" s="438">
        <v>0</v>
      </c>
      <c r="G468" s="438">
        <v>0</v>
      </c>
      <c r="H468" s="438">
        <v>0</v>
      </c>
    </row>
    <row r="469" spans="1:8" s="422" customFormat="1" ht="11.25">
      <c r="A469" s="451" t="s">
        <v>400</v>
      </c>
      <c r="B469" s="438">
        <v>0</v>
      </c>
      <c r="C469" s="438">
        <v>0</v>
      </c>
      <c r="D469" s="438">
        <v>0</v>
      </c>
      <c r="E469" s="438">
        <v>0</v>
      </c>
      <c r="F469" s="438">
        <v>0</v>
      </c>
      <c r="G469" s="438">
        <v>0</v>
      </c>
      <c r="H469" s="438">
        <v>0</v>
      </c>
    </row>
    <row r="470" spans="1:8" s="422" customFormat="1" ht="11.25">
      <c r="A470" s="451" t="s">
        <v>401</v>
      </c>
      <c r="B470" s="438">
        <v>4734.3999999999996</v>
      </c>
      <c r="C470" s="438">
        <v>74960.850000000006</v>
      </c>
      <c r="D470" s="438">
        <v>0</v>
      </c>
      <c r="E470" s="438">
        <v>0</v>
      </c>
      <c r="F470" s="438">
        <v>0</v>
      </c>
      <c r="G470" s="438">
        <v>0</v>
      </c>
      <c r="H470" s="438">
        <v>0</v>
      </c>
    </row>
    <row r="471" spans="1:8" s="422" customFormat="1" ht="11.25"/>
    <row r="472" spans="1:8" s="422" customFormat="1" ht="11.25">
      <c r="A472" s="421" t="s">
        <v>597</v>
      </c>
      <c r="B472" s="421"/>
      <c r="C472" s="421"/>
    </row>
    <row r="473" spans="1:8" s="429" customFormat="1" ht="11.25">
      <c r="A473" s="428">
        <v>1</v>
      </c>
      <c r="B473" s="428"/>
      <c r="C473" s="428"/>
    </row>
    <row r="474" spans="1:8" s="429" customFormat="1" ht="11.25">
      <c r="A474" s="428"/>
      <c r="B474" s="428"/>
      <c r="C474" s="428"/>
    </row>
    <row r="475" spans="1:8" s="429" customFormat="1" ht="11.25">
      <c r="A475" s="428"/>
      <c r="B475" s="428"/>
      <c r="C475" s="428"/>
    </row>
    <row r="476" spans="1:8" s="422" customFormat="1" ht="11.25"/>
    <row r="477" spans="1:8" s="422" customFormat="1" ht="11.25">
      <c r="A477" s="421" t="s">
        <v>598</v>
      </c>
      <c r="B477" s="421"/>
      <c r="C477" s="421"/>
    </row>
    <row r="478" spans="1:8" s="422" customFormat="1" ht="11.25">
      <c r="A478" s="452" t="s">
        <v>599</v>
      </c>
      <c r="B478" s="447"/>
      <c r="C478" s="447"/>
      <c r="D478" s="447"/>
      <c r="E478" s="439" t="s">
        <v>375</v>
      </c>
      <c r="F478" s="439" t="s">
        <v>9</v>
      </c>
      <c r="G478" s="439" t="s">
        <v>131</v>
      </c>
      <c r="H478" s="439" t="s">
        <v>424</v>
      </c>
    </row>
    <row r="479" spans="1:8" s="422" customFormat="1" ht="11.25">
      <c r="A479" s="448" t="s">
        <v>166</v>
      </c>
      <c r="B479" s="449"/>
      <c r="C479" s="449"/>
      <c r="D479" s="449"/>
      <c r="E479" s="438">
        <v>181400</v>
      </c>
      <c r="F479" s="438">
        <v>181400</v>
      </c>
      <c r="G479" s="438">
        <v>183360</v>
      </c>
      <c r="H479" s="438">
        <v>184060</v>
      </c>
    </row>
    <row r="480" spans="1:8" s="422" customFormat="1" ht="11.25">
      <c r="A480" s="448"/>
      <c r="B480" s="449"/>
      <c r="C480" s="449"/>
      <c r="D480" s="449"/>
      <c r="E480" s="438">
        <v>0</v>
      </c>
      <c r="F480" s="438">
        <v>0</v>
      </c>
      <c r="G480" s="438">
        <v>0</v>
      </c>
      <c r="H480" s="438">
        <v>0</v>
      </c>
    </row>
    <row r="481" spans="1:8" s="422" customFormat="1" ht="11.25">
      <c r="A481" s="448"/>
      <c r="B481" s="449"/>
      <c r="C481" s="449"/>
      <c r="D481" s="449"/>
      <c r="E481" s="438">
        <v>0</v>
      </c>
      <c r="F481" s="438">
        <v>0</v>
      </c>
      <c r="G481" s="438">
        <v>0</v>
      </c>
      <c r="H481" s="438">
        <v>0</v>
      </c>
    </row>
    <row r="482" spans="1:8" s="422" customFormat="1" ht="11.25">
      <c r="A482" s="448"/>
      <c r="B482" s="449"/>
      <c r="C482" s="449"/>
      <c r="D482" s="449"/>
      <c r="E482" s="438">
        <v>0</v>
      </c>
      <c r="F482" s="438">
        <v>0</v>
      </c>
      <c r="G482" s="438">
        <v>0</v>
      </c>
      <c r="H482" s="438">
        <v>0</v>
      </c>
    </row>
    <row r="483" spans="1:8" s="421" customFormat="1" ht="11.25">
      <c r="A483" s="421" t="s">
        <v>391</v>
      </c>
      <c r="D483" s="421" t="s">
        <v>472</v>
      </c>
    </row>
    <row r="484" spans="1:8" s="422" customFormat="1" ht="11.25"/>
    <row r="485" spans="1:8" s="421" customFormat="1" ht="11.25" customHeight="1">
      <c r="A485" s="423" t="s">
        <v>392</v>
      </c>
      <c r="D485" s="421" t="s">
        <v>139</v>
      </c>
    </row>
    <row r="486" spans="1:8" s="421" customFormat="1" ht="7.5" customHeight="1">
      <c r="A486" s="423"/>
    </row>
    <row r="487" spans="1:8" s="421" customFormat="1" ht="11.25">
      <c r="A487" s="424" t="s">
        <v>393</v>
      </c>
      <c r="D487" s="583" t="s">
        <v>140</v>
      </c>
      <c r="E487" s="583"/>
      <c r="F487" s="583"/>
      <c r="G487" s="583"/>
      <c r="H487" s="583"/>
    </row>
    <row r="488" spans="1:8" s="421" customFormat="1" ht="7.5" customHeight="1"/>
    <row r="489" spans="1:8" s="422" customFormat="1" ht="11.25">
      <c r="A489" s="421" t="s">
        <v>170</v>
      </c>
      <c r="B489" s="421"/>
      <c r="C489" s="421"/>
      <c r="D489" s="422" t="s">
        <v>177</v>
      </c>
      <c r="E489" s="422" t="s">
        <v>632</v>
      </c>
    </row>
    <row r="490" spans="1:8" s="422" customFormat="1" ht="7.5" customHeight="1"/>
    <row r="491" spans="1:8" s="427" customFormat="1" ht="11.25">
      <c r="A491" s="425" t="s">
        <v>587</v>
      </c>
      <c r="B491" s="425"/>
      <c r="C491" s="425"/>
      <c r="D491" s="426" t="s">
        <v>633</v>
      </c>
      <c r="E491" s="584" t="s">
        <v>634</v>
      </c>
      <c r="F491" s="584"/>
      <c r="G491" s="584"/>
      <c r="H491" s="584"/>
    </row>
    <row r="492" spans="1:8" s="427" customFormat="1" ht="11.25">
      <c r="A492" s="425"/>
      <c r="B492" s="425"/>
      <c r="C492" s="425"/>
      <c r="D492" s="426" t="s">
        <v>635</v>
      </c>
      <c r="E492" s="584" t="s">
        <v>636</v>
      </c>
      <c r="F492" s="584"/>
      <c r="G492" s="584"/>
      <c r="H492" s="584"/>
    </row>
    <row r="493" spans="1:8" s="427" customFormat="1" ht="11.25">
      <c r="A493" s="425"/>
      <c r="B493" s="425"/>
      <c r="C493" s="425"/>
      <c r="D493" s="426"/>
      <c r="E493" s="584"/>
      <c r="F493" s="584"/>
      <c r="G493" s="584"/>
      <c r="H493" s="584"/>
    </row>
    <row r="494" spans="1:8" s="427" customFormat="1" ht="11.25"/>
    <row r="495" spans="1:8" s="422" customFormat="1" ht="11.25"/>
    <row r="496" spans="1:8" s="422" customFormat="1" ht="11.25">
      <c r="A496" s="421" t="s">
        <v>589</v>
      </c>
      <c r="B496" s="421"/>
      <c r="C496" s="421"/>
    </row>
    <row r="497" spans="1:8" s="429" customFormat="1" ht="11.25">
      <c r="A497" s="428"/>
      <c r="B497" s="428"/>
      <c r="C497" s="428"/>
    </row>
    <row r="498" spans="1:8" s="429" customFormat="1" ht="11.25">
      <c r="A498" s="428"/>
      <c r="B498" s="428"/>
      <c r="C498" s="428"/>
    </row>
    <row r="499" spans="1:8" s="429" customFormat="1" ht="11.25">
      <c r="A499" s="428"/>
      <c r="B499" s="428"/>
      <c r="C499" s="428"/>
    </row>
    <row r="500" spans="1:8" s="429" customFormat="1" ht="11.25">
      <c r="A500" s="428"/>
      <c r="B500" s="428"/>
      <c r="C500" s="428"/>
    </row>
    <row r="501" spans="1:8" s="429" customFormat="1" ht="11.25">
      <c r="A501" s="428"/>
      <c r="B501" s="428"/>
      <c r="C501" s="428"/>
    </row>
    <row r="502" spans="1:8" s="429" customFormat="1" ht="11.25">
      <c r="A502" s="428"/>
      <c r="B502" s="428"/>
      <c r="C502" s="428"/>
    </row>
    <row r="503" spans="1:8" s="422" customFormat="1" ht="9" customHeight="1">
      <c r="A503" s="430"/>
      <c r="B503" s="430"/>
      <c r="C503" s="430"/>
      <c r="D503" s="430"/>
      <c r="E503" s="430"/>
      <c r="F503" s="430"/>
      <c r="G503" s="430"/>
      <c r="H503" s="430"/>
    </row>
    <row r="504" spans="1:8" s="422" customFormat="1" ht="22.5" customHeight="1">
      <c r="A504" s="585" t="s">
        <v>590</v>
      </c>
      <c r="B504" s="585"/>
      <c r="C504" s="585"/>
      <c r="D504" s="586"/>
      <c r="E504" s="586"/>
      <c r="F504" s="586"/>
      <c r="G504" s="586"/>
      <c r="H504" s="586"/>
    </row>
    <row r="505" spans="1:8" s="429" customFormat="1" ht="11.25">
      <c r="A505" s="431"/>
      <c r="B505" s="431"/>
      <c r="C505" s="431"/>
      <c r="D505" s="432"/>
      <c r="E505" s="432"/>
      <c r="F505" s="432"/>
      <c r="G505" s="432"/>
      <c r="H505" s="432"/>
    </row>
    <row r="506" spans="1:8" s="429" customFormat="1" ht="11.25">
      <c r="A506" s="431"/>
      <c r="B506" s="431"/>
      <c r="C506" s="431"/>
      <c r="D506" s="432"/>
      <c r="E506" s="432"/>
      <c r="F506" s="432"/>
      <c r="G506" s="432"/>
      <c r="H506" s="432"/>
    </row>
    <row r="507" spans="1:8" s="429" customFormat="1" ht="11.25">
      <c r="A507" s="431"/>
      <c r="B507" s="431"/>
      <c r="C507" s="431"/>
      <c r="D507" s="432"/>
      <c r="E507" s="432"/>
      <c r="F507" s="432"/>
      <c r="G507" s="432"/>
      <c r="H507" s="432"/>
    </row>
    <row r="508" spans="1:8" s="429" customFormat="1" ht="11.25">
      <c r="A508" s="431"/>
      <c r="B508" s="431"/>
      <c r="C508" s="431"/>
      <c r="D508" s="432"/>
      <c r="E508" s="432"/>
      <c r="F508" s="432"/>
      <c r="G508" s="432"/>
      <c r="H508" s="432"/>
    </row>
    <row r="509" spans="1:8" s="429" customFormat="1" ht="11.25">
      <c r="A509" s="431"/>
      <c r="B509" s="431"/>
      <c r="C509" s="431"/>
      <c r="D509" s="432"/>
      <c r="E509" s="432"/>
      <c r="F509" s="432"/>
      <c r="G509" s="432"/>
      <c r="H509" s="432"/>
    </row>
    <row r="510" spans="1:8" s="429" customFormat="1" ht="11.25">
      <c r="A510" s="431"/>
      <c r="B510" s="431"/>
      <c r="C510" s="431"/>
      <c r="D510" s="432"/>
      <c r="E510" s="432"/>
      <c r="F510" s="432"/>
      <c r="G510" s="432"/>
      <c r="H510" s="432"/>
    </row>
    <row r="511" spans="1:8" s="422" customFormat="1" ht="9" customHeight="1"/>
    <row r="512" spans="1:8" s="422" customFormat="1" ht="11.25">
      <c r="A512" s="421" t="s">
        <v>591</v>
      </c>
      <c r="B512" s="421"/>
      <c r="C512" s="421"/>
    </row>
    <row r="513" spans="1:8" s="429" customFormat="1" ht="11.25">
      <c r="A513" s="428"/>
      <c r="B513" s="428"/>
      <c r="C513" s="428"/>
    </row>
    <row r="514" spans="1:8" s="429" customFormat="1" ht="11.25">
      <c r="A514" s="428"/>
      <c r="B514" s="428"/>
      <c r="C514" s="428"/>
    </row>
    <row r="515" spans="1:8" s="429" customFormat="1" ht="11.25">
      <c r="A515" s="428"/>
      <c r="B515" s="428"/>
      <c r="C515" s="428"/>
    </row>
    <row r="516" spans="1:8" s="429" customFormat="1" ht="11.25">
      <c r="A516" s="428"/>
      <c r="B516" s="428"/>
      <c r="C516" s="428"/>
    </row>
    <row r="517" spans="1:8" s="429" customFormat="1" ht="11.25">
      <c r="A517" s="428"/>
      <c r="B517" s="428"/>
      <c r="C517" s="428"/>
    </row>
    <row r="518" spans="1:8" s="422" customFormat="1" ht="9" customHeight="1"/>
    <row r="519" spans="1:8" s="422" customFormat="1" ht="11.25">
      <c r="A519" s="433" t="s">
        <v>592</v>
      </c>
      <c r="B519" s="434"/>
      <c r="C519" s="434"/>
      <c r="D519" s="434"/>
      <c r="E519" s="434"/>
      <c r="F519" s="434"/>
      <c r="G519" s="434"/>
      <c r="H519" s="434"/>
    </row>
    <row r="520" spans="1:8" s="429" customFormat="1" ht="11.25">
      <c r="A520" s="435"/>
      <c r="B520" s="436"/>
      <c r="C520" s="436"/>
      <c r="D520" s="436"/>
      <c r="E520" s="436"/>
      <c r="F520" s="436"/>
      <c r="G520" s="436"/>
      <c r="H520" s="436"/>
    </row>
    <row r="521" spans="1:8" s="429" customFormat="1" ht="11.25">
      <c r="A521" s="435"/>
      <c r="B521" s="436"/>
      <c r="C521" s="436"/>
      <c r="D521" s="436"/>
      <c r="E521" s="436"/>
      <c r="F521" s="436"/>
      <c r="G521" s="436"/>
      <c r="H521" s="436"/>
    </row>
    <row r="522" spans="1:8" s="422" customFormat="1" ht="11.25">
      <c r="A522" s="437"/>
      <c r="B522" s="437"/>
      <c r="C522" s="437"/>
      <c r="D522" s="437"/>
      <c r="E522" s="437"/>
      <c r="F522" s="437"/>
      <c r="G522" s="437"/>
      <c r="H522" s="437"/>
    </row>
    <row r="523" spans="1:8" s="422" customFormat="1" ht="11.25">
      <c r="A523" s="421" t="s">
        <v>593</v>
      </c>
      <c r="B523" s="421"/>
      <c r="C523" s="421"/>
    </row>
    <row r="524" spans="1:8" s="422" customFormat="1" ht="11.25">
      <c r="A524" s="438"/>
      <c r="B524" s="439" t="s">
        <v>132</v>
      </c>
      <c r="C524" s="439" t="s">
        <v>473</v>
      </c>
      <c r="D524" s="439" t="s">
        <v>474</v>
      </c>
      <c r="E524" s="439" t="s">
        <v>375</v>
      </c>
      <c r="F524" s="439" t="s">
        <v>9</v>
      </c>
      <c r="G524" s="439" t="s">
        <v>131</v>
      </c>
      <c r="H524" s="439" t="s">
        <v>424</v>
      </c>
    </row>
    <row r="525" spans="1:8" s="422" customFormat="1" ht="11.25">
      <c r="A525" s="439" t="s">
        <v>394</v>
      </c>
      <c r="B525" s="438">
        <v>794910.93</v>
      </c>
      <c r="C525" s="438">
        <v>0</v>
      </c>
      <c r="D525" s="438">
        <v>0</v>
      </c>
      <c r="E525" s="438">
        <v>0</v>
      </c>
      <c r="F525" s="438">
        <v>0</v>
      </c>
      <c r="G525" s="438">
        <v>0</v>
      </c>
      <c r="H525" s="438">
        <v>0</v>
      </c>
    </row>
    <row r="526" spans="1:8" s="422" customFormat="1" ht="11.25">
      <c r="A526" s="439" t="s">
        <v>395</v>
      </c>
      <c r="B526" s="438">
        <v>-575943.25</v>
      </c>
      <c r="C526" s="438">
        <v>0</v>
      </c>
      <c r="D526" s="438">
        <v>0</v>
      </c>
      <c r="E526" s="438">
        <v>0</v>
      </c>
      <c r="F526" s="438">
        <v>0</v>
      </c>
      <c r="G526" s="438">
        <v>0</v>
      </c>
      <c r="H526" s="438">
        <v>0</v>
      </c>
    </row>
    <row r="527" spans="1:8" s="422" customFormat="1" ht="11.25">
      <c r="A527" s="439" t="s">
        <v>396</v>
      </c>
      <c r="B527" s="438">
        <v>218967.68000000005</v>
      </c>
      <c r="C527" s="438">
        <v>0</v>
      </c>
      <c r="D527" s="438">
        <v>0</v>
      </c>
      <c r="E527" s="438">
        <v>0</v>
      </c>
      <c r="F527" s="438">
        <v>0</v>
      </c>
      <c r="G527" s="438">
        <v>0</v>
      </c>
      <c r="H527" s="438">
        <v>0</v>
      </c>
    </row>
    <row r="528" spans="1:8" s="442" customFormat="1" ht="11.25">
      <c r="A528" s="440" t="s">
        <v>397</v>
      </c>
      <c r="B528" s="441">
        <v>0.72453809384656465</v>
      </c>
      <c r="C528" s="441" t="s">
        <v>1413</v>
      </c>
      <c r="D528" s="441" t="s">
        <v>1413</v>
      </c>
      <c r="E528" s="441" t="s">
        <v>1413</v>
      </c>
      <c r="F528" s="441" t="s">
        <v>1413</v>
      </c>
      <c r="G528" s="441" t="s">
        <v>1413</v>
      </c>
      <c r="H528" s="441" t="s">
        <v>1413</v>
      </c>
    </row>
    <row r="529" spans="1:8" s="422" customFormat="1" ht="11.25"/>
    <row r="530" spans="1:8" s="422" customFormat="1" ht="11.25">
      <c r="A530" s="443" t="s">
        <v>594</v>
      </c>
      <c r="B530" s="443"/>
      <c r="C530" s="444"/>
    </row>
    <row r="531" spans="1:8" s="422" customFormat="1" ht="11.25">
      <c r="A531" s="445" t="s">
        <v>595</v>
      </c>
      <c r="B531" s="446"/>
      <c r="C531" s="447"/>
      <c r="D531" s="439" t="s">
        <v>474</v>
      </c>
      <c r="E531" s="439" t="s">
        <v>375</v>
      </c>
      <c r="F531" s="439" t="s">
        <v>9</v>
      </c>
      <c r="G531" s="439" t="s">
        <v>131</v>
      </c>
      <c r="H531" s="439" t="s">
        <v>424</v>
      </c>
    </row>
    <row r="532" spans="1:8" s="422" customFormat="1" ht="11.25">
      <c r="A532" s="448" t="s">
        <v>596</v>
      </c>
      <c r="B532" s="449"/>
      <c r="C532" s="449"/>
      <c r="D532" s="438"/>
      <c r="E532" s="438"/>
      <c r="F532" s="438"/>
      <c r="G532" s="438"/>
      <c r="H532" s="438"/>
    </row>
    <row r="533" spans="1:8" s="422" customFormat="1" ht="11.25">
      <c r="A533" s="448"/>
      <c r="B533" s="449"/>
      <c r="C533" s="449"/>
      <c r="D533" s="438"/>
      <c r="E533" s="438"/>
      <c r="F533" s="438"/>
      <c r="G533" s="438"/>
      <c r="H533" s="438"/>
    </row>
    <row r="534" spans="1:8" s="422" customFormat="1" ht="11.25">
      <c r="A534" s="448"/>
      <c r="B534" s="449"/>
      <c r="C534" s="449"/>
      <c r="D534" s="438"/>
      <c r="E534" s="438"/>
      <c r="F534" s="438"/>
      <c r="G534" s="438"/>
      <c r="H534" s="438"/>
    </row>
    <row r="535" spans="1:8" s="422" customFormat="1" ht="11.25"/>
    <row r="536" spans="1:8" s="422" customFormat="1" ht="11.25">
      <c r="A536" s="421" t="s">
        <v>423</v>
      </c>
      <c r="B536" s="421"/>
      <c r="C536" s="421"/>
    </row>
    <row r="537" spans="1:8" s="422" customFormat="1" ht="11.25">
      <c r="A537" s="450"/>
      <c r="B537" s="439" t="s">
        <v>132</v>
      </c>
      <c r="C537" s="439" t="s">
        <v>473</v>
      </c>
      <c r="D537" s="439" t="s">
        <v>474</v>
      </c>
      <c r="E537" s="439" t="s">
        <v>375</v>
      </c>
      <c r="F537" s="439" t="s">
        <v>9</v>
      </c>
      <c r="G537" s="439" t="s">
        <v>131</v>
      </c>
      <c r="H537" s="439" t="s">
        <v>424</v>
      </c>
    </row>
    <row r="538" spans="1:8" s="422" customFormat="1" ht="11.25">
      <c r="A538" s="451" t="s">
        <v>398</v>
      </c>
      <c r="B538" s="438">
        <v>0</v>
      </c>
      <c r="C538" s="438">
        <v>0</v>
      </c>
      <c r="D538" s="438">
        <v>0</v>
      </c>
      <c r="E538" s="438">
        <v>0</v>
      </c>
      <c r="F538" s="438">
        <v>0</v>
      </c>
      <c r="G538" s="438">
        <v>0</v>
      </c>
      <c r="H538" s="438">
        <v>0</v>
      </c>
    </row>
    <row r="539" spans="1:8" s="422" customFormat="1" ht="11.25">
      <c r="A539" s="451" t="s">
        <v>399</v>
      </c>
      <c r="B539" s="438">
        <v>0</v>
      </c>
      <c r="C539" s="438">
        <v>0</v>
      </c>
      <c r="D539" s="438">
        <v>0</v>
      </c>
      <c r="E539" s="438">
        <v>0</v>
      </c>
      <c r="F539" s="438">
        <v>0</v>
      </c>
      <c r="G539" s="438">
        <v>0</v>
      </c>
      <c r="H539" s="438">
        <v>0</v>
      </c>
    </row>
    <row r="540" spans="1:8" s="422" customFormat="1" ht="11.25">
      <c r="A540" s="451" t="s">
        <v>400</v>
      </c>
      <c r="B540" s="438">
        <v>0</v>
      </c>
      <c r="C540" s="438">
        <v>0</v>
      </c>
      <c r="D540" s="438">
        <v>0</v>
      </c>
      <c r="E540" s="438">
        <v>0</v>
      </c>
      <c r="F540" s="438">
        <v>0</v>
      </c>
      <c r="G540" s="438">
        <v>0</v>
      </c>
      <c r="H540" s="438">
        <v>0</v>
      </c>
    </row>
    <row r="541" spans="1:8" s="422" customFormat="1" ht="11.25">
      <c r="A541" s="451" t="s">
        <v>401</v>
      </c>
      <c r="B541" s="438">
        <v>0</v>
      </c>
      <c r="C541" s="438">
        <v>0</v>
      </c>
      <c r="D541" s="438">
        <v>0</v>
      </c>
      <c r="E541" s="438">
        <v>0</v>
      </c>
      <c r="F541" s="438">
        <v>0</v>
      </c>
      <c r="G541" s="438">
        <v>0</v>
      </c>
      <c r="H541" s="438">
        <v>0</v>
      </c>
    </row>
    <row r="542" spans="1:8" s="422" customFormat="1" ht="11.25"/>
    <row r="543" spans="1:8" s="422" customFormat="1" ht="11.25">
      <c r="A543" s="421" t="s">
        <v>597</v>
      </c>
      <c r="B543" s="421"/>
      <c r="C543" s="421"/>
    </row>
    <row r="544" spans="1:8" s="429" customFormat="1" ht="11.25">
      <c r="A544" s="428"/>
      <c r="B544" s="428"/>
      <c r="C544" s="428"/>
    </row>
    <row r="545" spans="1:8" s="429" customFormat="1" ht="11.25">
      <c r="A545" s="428"/>
      <c r="B545" s="428"/>
      <c r="C545" s="428"/>
    </row>
    <row r="546" spans="1:8" s="429" customFormat="1" ht="11.25">
      <c r="A546" s="428"/>
      <c r="B546" s="428"/>
      <c r="C546" s="428"/>
    </row>
    <row r="547" spans="1:8" s="422" customFormat="1" ht="11.25"/>
    <row r="548" spans="1:8" s="422" customFormat="1" ht="11.25">
      <c r="A548" s="421" t="s">
        <v>598</v>
      </c>
      <c r="B548" s="421"/>
      <c r="C548" s="421"/>
    </row>
    <row r="549" spans="1:8" s="422" customFormat="1" ht="11.25">
      <c r="A549" s="452" t="s">
        <v>599</v>
      </c>
      <c r="B549" s="447"/>
      <c r="C549" s="447"/>
      <c r="D549" s="447"/>
      <c r="E549" s="439" t="s">
        <v>375</v>
      </c>
      <c r="F549" s="439" t="s">
        <v>9</v>
      </c>
      <c r="G549" s="439" t="s">
        <v>131</v>
      </c>
      <c r="H549" s="439" t="s">
        <v>424</v>
      </c>
    </row>
    <row r="550" spans="1:8" s="422" customFormat="1" ht="11.25">
      <c r="A550" s="448"/>
      <c r="B550" s="449"/>
      <c r="C550" s="449"/>
      <c r="D550" s="449"/>
      <c r="E550" s="438">
        <v>0</v>
      </c>
      <c r="F550" s="438">
        <v>0</v>
      </c>
      <c r="G550" s="438">
        <v>0</v>
      </c>
      <c r="H550" s="438">
        <v>0</v>
      </c>
    </row>
    <row r="551" spans="1:8" s="422" customFormat="1" ht="11.25">
      <c r="A551" s="448"/>
      <c r="B551" s="449"/>
      <c r="C551" s="449"/>
      <c r="D551" s="449"/>
      <c r="E551" s="438">
        <v>0</v>
      </c>
      <c r="F551" s="438">
        <v>0</v>
      </c>
      <c r="G551" s="438">
        <v>0</v>
      </c>
      <c r="H551" s="438">
        <v>0</v>
      </c>
    </row>
    <row r="552" spans="1:8" s="422" customFormat="1" ht="11.25">
      <c r="A552" s="448"/>
      <c r="B552" s="449"/>
      <c r="C552" s="449"/>
      <c r="D552" s="449"/>
      <c r="E552" s="438">
        <v>0</v>
      </c>
      <c r="F552" s="438">
        <v>0</v>
      </c>
      <c r="G552" s="438">
        <v>0</v>
      </c>
      <c r="H552" s="438">
        <v>0</v>
      </c>
    </row>
    <row r="553" spans="1:8" s="421" customFormat="1" ht="11.25">
      <c r="A553" s="421" t="s">
        <v>391</v>
      </c>
      <c r="D553" s="421" t="s">
        <v>472</v>
      </c>
    </row>
    <row r="554" spans="1:8" s="422" customFormat="1" ht="11.25"/>
    <row r="555" spans="1:8" s="421" customFormat="1" ht="11.25" customHeight="1">
      <c r="A555" s="423" t="s">
        <v>392</v>
      </c>
      <c r="D555" s="421" t="s">
        <v>139</v>
      </c>
    </row>
    <row r="556" spans="1:8" s="421" customFormat="1" ht="7.5" customHeight="1">
      <c r="A556" s="423"/>
    </row>
    <row r="557" spans="1:8" s="421" customFormat="1" ht="11.25">
      <c r="A557" s="424" t="s">
        <v>393</v>
      </c>
      <c r="D557" s="583" t="s">
        <v>140</v>
      </c>
      <c r="E557" s="583"/>
      <c r="F557" s="583"/>
      <c r="G557" s="583"/>
      <c r="H557" s="583"/>
    </row>
    <row r="558" spans="1:8" s="421" customFormat="1" ht="7.5" customHeight="1"/>
    <row r="559" spans="1:8" s="422" customFormat="1" ht="11.25">
      <c r="A559" s="421" t="s">
        <v>170</v>
      </c>
      <c r="B559" s="421"/>
      <c r="C559" s="421"/>
      <c r="D559" s="422" t="s">
        <v>175</v>
      </c>
      <c r="E559" s="422" t="s">
        <v>637</v>
      </c>
    </row>
    <row r="560" spans="1:8" s="422" customFormat="1" ht="7.5" customHeight="1"/>
    <row r="561" spans="1:8" s="427" customFormat="1" ht="11.25">
      <c r="A561" s="425" t="s">
        <v>587</v>
      </c>
      <c r="B561" s="425"/>
      <c r="C561" s="425"/>
      <c r="D561" s="426" t="s">
        <v>638</v>
      </c>
      <c r="E561" s="584" t="s">
        <v>634</v>
      </c>
      <c r="F561" s="584"/>
      <c r="G561" s="584"/>
      <c r="H561" s="584"/>
    </row>
    <row r="562" spans="1:8" s="427" customFormat="1" ht="11.25">
      <c r="A562" s="425"/>
      <c r="B562" s="425"/>
      <c r="C562" s="425"/>
      <c r="D562" s="426" t="s">
        <v>639</v>
      </c>
      <c r="E562" s="584" t="s">
        <v>640</v>
      </c>
      <c r="F562" s="584"/>
      <c r="G562" s="584"/>
      <c r="H562" s="584"/>
    </row>
    <row r="563" spans="1:8" s="427" customFormat="1" ht="11.25">
      <c r="A563" s="425"/>
      <c r="B563" s="425"/>
      <c r="C563" s="425"/>
      <c r="D563" s="426"/>
      <c r="E563" s="584"/>
      <c r="F563" s="584"/>
      <c r="G563" s="584"/>
      <c r="H563" s="584"/>
    </row>
    <row r="564" spans="1:8" s="427" customFormat="1" ht="11.25"/>
    <row r="565" spans="1:8" s="422" customFormat="1" ht="11.25"/>
    <row r="566" spans="1:8" s="422" customFormat="1" ht="11.25">
      <c r="A566" s="421" t="s">
        <v>589</v>
      </c>
      <c r="B566" s="421"/>
      <c r="C566" s="421"/>
    </row>
    <row r="567" spans="1:8" s="429" customFormat="1" ht="11.25">
      <c r="A567" s="428"/>
      <c r="B567" s="428"/>
      <c r="C567" s="428"/>
    </row>
    <row r="568" spans="1:8" s="429" customFormat="1" ht="11.25">
      <c r="A568" s="428"/>
      <c r="B568" s="428"/>
      <c r="C568" s="428"/>
    </row>
    <row r="569" spans="1:8" s="429" customFormat="1" ht="11.25">
      <c r="A569" s="428"/>
      <c r="B569" s="428"/>
      <c r="C569" s="428"/>
    </row>
    <row r="570" spans="1:8" s="429" customFormat="1" ht="11.25">
      <c r="A570" s="428"/>
      <c r="B570" s="428"/>
      <c r="C570" s="428"/>
    </row>
    <row r="571" spans="1:8" s="429" customFormat="1" ht="11.25">
      <c r="A571" s="428"/>
      <c r="B571" s="428"/>
      <c r="C571" s="428"/>
    </row>
    <row r="572" spans="1:8" s="429" customFormat="1" ht="11.25">
      <c r="A572" s="428"/>
      <c r="B572" s="428"/>
      <c r="C572" s="428"/>
    </row>
    <row r="573" spans="1:8" s="422" customFormat="1" ht="9" customHeight="1">
      <c r="A573" s="430"/>
      <c r="B573" s="430"/>
      <c r="C573" s="430"/>
      <c r="D573" s="430"/>
      <c r="E573" s="430"/>
      <c r="F573" s="430"/>
      <c r="G573" s="430"/>
      <c r="H573" s="430"/>
    </row>
    <row r="574" spans="1:8" s="422" customFormat="1" ht="22.5" customHeight="1">
      <c r="A574" s="585" t="s">
        <v>590</v>
      </c>
      <c r="B574" s="585"/>
      <c r="C574" s="585"/>
      <c r="D574" s="586"/>
      <c r="E574" s="586"/>
      <c r="F574" s="586"/>
      <c r="G574" s="586"/>
      <c r="H574" s="586"/>
    </row>
    <row r="575" spans="1:8" s="429" customFormat="1" ht="11.25">
      <c r="A575" s="431"/>
      <c r="B575" s="431"/>
      <c r="C575" s="431"/>
      <c r="D575" s="432"/>
      <c r="E575" s="432"/>
      <c r="F575" s="432"/>
      <c r="G575" s="432"/>
      <c r="H575" s="432"/>
    </row>
    <row r="576" spans="1:8" s="429" customFormat="1" ht="11.25">
      <c r="A576" s="431"/>
      <c r="B576" s="431"/>
      <c r="C576" s="431"/>
      <c r="D576" s="432"/>
      <c r="E576" s="432"/>
      <c r="F576" s="432"/>
      <c r="G576" s="432"/>
      <c r="H576" s="432"/>
    </row>
    <row r="577" spans="1:8" s="429" customFormat="1" ht="11.25">
      <c r="A577" s="431"/>
      <c r="B577" s="431"/>
      <c r="C577" s="431"/>
      <c r="D577" s="432"/>
      <c r="E577" s="432"/>
      <c r="F577" s="432"/>
      <c r="G577" s="432"/>
      <c r="H577" s="432"/>
    </row>
    <row r="578" spans="1:8" s="429" customFormat="1" ht="11.25">
      <c r="A578" s="431"/>
      <c r="B578" s="431"/>
      <c r="C578" s="431"/>
      <c r="D578" s="432"/>
      <c r="E578" s="432"/>
      <c r="F578" s="432"/>
      <c r="G578" s="432"/>
      <c r="H578" s="432"/>
    </row>
    <row r="579" spans="1:8" s="429" customFormat="1" ht="11.25">
      <c r="A579" s="431"/>
      <c r="B579" s="431"/>
      <c r="C579" s="431"/>
      <c r="D579" s="432"/>
      <c r="E579" s="432"/>
      <c r="F579" s="432"/>
      <c r="G579" s="432"/>
      <c r="H579" s="432"/>
    </row>
    <row r="580" spans="1:8" s="429" customFormat="1" ht="11.25">
      <c r="A580" s="431"/>
      <c r="B580" s="431"/>
      <c r="C580" s="431"/>
      <c r="D580" s="432"/>
      <c r="E580" s="432"/>
      <c r="F580" s="432"/>
      <c r="G580" s="432"/>
      <c r="H580" s="432"/>
    </row>
    <row r="581" spans="1:8" s="422" customFormat="1" ht="9" customHeight="1"/>
    <row r="582" spans="1:8" s="422" customFormat="1" ht="11.25">
      <c r="A582" s="421" t="s">
        <v>591</v>
      </c>
      <c r="B582" s="421"/>
      <c r="C582" s="421"/>
    </row>
    <row r="583" spans="1:8" s="429" customFormat="1" ht="11.25">
      <c r="A583" s="428"/>
      <c r="B583" s="428"/>
      <c r="C583" s="428"/>
    </row>
    <row r="584" spans="1:8" s="429" customFormat="1" ht="11.25">
      <c r="A584" s="428"/>
      <c r="B584" s="428"/>
      <c r="C584" s="428"/>
    </row>
    <row r="585" spans="1:8" s="429" customFormat="1" ht="11.25">
      <c r="A585" s="428"/>
      <c r="B585" s="428"/>
      <c r="C585" s="428"/>
    </row>
    <row r="586" spans="1:8" s="429" customFormat="1" ht="11.25">
      <c r="A586" s="428"/>
      <c r="B586" s="428"/>
      <c r="C586" s="428"/>
    </row>
    <row r="587" spans="1:8" s="429" customFormat="1" ht="11.25">
      <c r="A587" s="428"/>
      <c r="B587" s="428"/>
      <c r="C587" s="428"/>
    </row>
    <row r="588" spans="1:8" s="422" customFormat="1" ht="9" customHeight="1"/>
    <row r="589" spans="1:8" s="422" customFormat="1" ht="11.25">
      <c r="A589" s="433" t="s">
        <v>592</v>
      </c>
      <c r="B589" s="434"/>
      <c r="C589" s="434"/>
      <c r="D589" s="434"/>
      <c r="E589" s="434"/>
      <c r="F589" s="434"/>
      <c r="G589" s="434"/>
      <c r="H589" s="434"/>
    </row>
    <row r="590" spans="1:8" s="429" customFormat="1" ht="11.25">
      <c r="A590" s="435"/>
      <c r="B590" s="436"/>
      <c r="C590" s="436"/>
      <c r="D590" s="436"/>
      <c r="E590" s="436"/>
      <c r="F590" s="436"/>
      <c r="G590" s="436"/>
      <c r="H590" s="436"/>
    </row>
    <row r="591" spans="1:8" s="429" customFormat="1" ht="11.25">
      <c r="A591" s="435"/>
      <c r="B591" s="436"/>
      <c r="C591" s="436"/>
      <c r="D591" s="436"/>
      <c r="E591" s="436"/>
      <c r="F591" s="436"/>
      <c r="G591" s="436"/>
      <c r="H591" s="436"/>
    </row>
    <row r="592" spans="1:8" s="422" customFormat="1" ht="11.25">
      <c r="A592" s="437"/>
      <c r="B592" s="437"/>
      <c r="C592" s="437"/>
      <c r="D592" s="437"/>
      <c r="E592" s="437"/>
      <c r="F592" s="437"/>
      <c r="G592" s="437"/>
      <c r="H592" s="437"/>
    </row>
    <row r="593" spans="1:8" s="422" customFormat="1" ht="11.25">
      <c r="A593" s="421" t="s">
        <v>593</v>
      </c>
      <c r="B593" s="421"/>
      <c r="C593" s="421"/>
    </row>
    <row r="594" spans="1:8" s="422" customFormat="1" ht="11.25">
      <c r="A594" s="438"/>
      <c r="B594" s="439" t="s">
        <v>132</v>
      </c>
      <c r="C594" s="439" t="s">
        <v>473</v>
      </c>
      <c r="D594" s="439" t="s">
        <v>474</v>
      </c>
      <c r="E594" s="439" t="s">
        <v>375</v>
      </c>
      <c r="F594" s="439" t="s">
        <v>9</v>
      </c>
      <c r="G594" s="439" t="s">
        <v>131</v>
      </c>
      <c r="H594" s="439" t="s">
        <v>424</v>
      </c>
    </row>
    <row r="595" spans="1:8" s="422" customFormat="1" ht="11.25">
      <c r="A595" s="439" t="s">
        <v>394</v>
      </c>
      <c r="B595" s="438">
        <v>629417.79</v>
      </c>
      <c r="C595" s="438">
        <v>0</v>
      </c>
      <c r="D595" s="438">
        <v>0</v>
      </c>
      <c r="E595" s="438">
        <v>0</v>
      </c>
      <c r="F595" s="438">
        <v>0</v>
      </c>
      <c r="G595" s="438">
        <v>0</v>
      </c>
      <c r="H595" s="438">
        <v>0</v>
      </c>
    </row>
    <row r="596" spans="1:8" s="422" customFormat="1" ht="11.25">
      <c r="A596" s="439" t="s">
        <v>395</v>
      </c>
      <c r="B596" s="438">
        <v>-234008.7</v>
      </c>
      <c r="C596" s="438">
        <v>0</v>
      </c>
      <c r="D596" s="438">
        <v>0</v>
      </c>
      <c r="E596" s="438">
        <v>0</v>
      </c>
      <c r="F596" s="438">
        <v>0</v>
      </c>
      <c r="G596" s="438">
        <v>0</v>
      </c>
      <c r="H596" s="438">
        <v>0</v>
      </c>
    </row>
    <row r="597" spans="1:8" s="422" customFormat="1" ht="11.25">
      <c r="A597" s="439" t="s">
        <v>396</v>
      </c>
      <c r="B597" s="438">
        <v>395409.09</v>
      </c>
      <c r="C597" s="438">
        <v>0</v>
      </c>
      <c r="D597" s="438">
        <v>0</v>
      </c>
      <c r="E597" s="438">
        <v>0</v>
      </c>
      <c r="F597" s="438">
        <v>0</v>
      </c>
      <c r="G597" s="438">
        <v>0</v>
      </c>
      <c r="H597" s="438">
        <v>0</v>
      </c>
    </row>
    <row r="598" spans="1:8" s="442" customFormat="1" ht="11.25">
      <c r="A598" s="440" t="s">
        <v>397</v>
      </c>
      <c r="B598" s="441">
        <v>0.37178596429567079</v>
      </c>
      <c r="C598" s="441" t="s">
        <v>1413</v>
      </c>
      <c r="D598" s="441" t="s">
        <v>1413</v>
      </c>
      <c r="E598" s="441" t="s">
        <v>1413</v>
      </c>
      <c r="F598" s="441" t="s">
        <v>1413</v>
      </c>
      <c r="G598" s="441" t="s">
        <v>1413</v>
      </c>
      <c r="H598" s="441" t="s">
        <v>1413</v>
      </c>
    </row>
    <row r="599" spans="1:8" s="422" customFormat="1" ht="11.25"/>
    <row r="600" spans="1:8" s="422" customFormat="1" ht="11.25">
      <c r="A600" s="443" t="s">
        <v>594</v>
      </c>
      <c r="B600" s="443"/>
      <c r="C600" s="444"/>
    </row>
    <row r="601" spans="1:8" s="422" customFormat="1" ht="11.25">
      <c r="A601" s="445" t="s">
        <v>595</v>
      </c>
      <c r="B601" s="446"/>
      <c r="C601" s="447"/>
      <c r="D601" s="439" t="s">
        <v>474</v>
      </c>
      <c r="E601" s="439" t="s">
        <v>375</v>
      </c>
      <c r="F601" s="439" t="s">
        <v>9</v>
      </c>
      <c r="G601" s="439" t="s">
        <v>131</v>
      </c>
      <c r="H601" s="439" t="s">
        <v>424</v>
      </c>
    </row>
    <row r="602" spans="1:8" s="422" customFormat="1" ht="11.25">
      <c r="A602" s="448" t="s">
        <v>596</v>
      </c>
      <c r="B602" s="449"/>
      <c r="C602" s="449"/>
      <c r="D602" s="438"/>
      <c r="E602" s="438"/>
      <c r="F602" s="438"/>
      <c r="G602" s="438"/>
      <c r="H602" s="438"/>
    </row>
    <row r="603" spans="1:8" s="422" customFormat="1" ht="11.25">
      <c r="A603" s="448"/>
      <c r="B603" s="449"/>
      <c r="C603" s="449"/>
      <c r="D603" s="438"/>
      <c r="E603" s="438"/>
      <c r="F603" s="438"/>
      <c r="G603" s="438"/>
      <c r="H603" s="438"/>
    </row>
    <row r="604" spans="1:8" s="422" customFormat="1" ht="11.25">
      <c r="A604" s="448"/>
      <c r="B604" s="449"/>
      <c r="C604" s="449"/>
      <c r="D604" s="438"/>
      <c r="E604" s="438"/>
      <c r="F604" s="438"/>
      <c r="G604" s="438"/>
      <c r="H604" s="438"/>
    </row>
    <row r="605" spans="1:8" s="422" customFormat="1" ht="11.25"/>
    <row r="606" spans="1:8" s="422" customFormat="1" ht="11.25">
      <c r="A606" s="421" t="s">
        <v>423</v>
      </c>
      <c r="B606" s="421"/>
      <c r="C606" s="421"/>
    </row>
    <row r="607" spans="1:8" s="422" customFormat="1" ht="11.25">
      <c r="A607" s="450"/>
      <c r="B607" s="439" t="s">
        <v>132</v>
      </c>
      <c r="C607" s="439" t="s">
        <v>473</v>
      </c>
      <c r="D607" s="439" t="s">
        <v>474</v>
      </c>
      <c r="E607" s="439" t="s">
        <v>375</v>
      </c>
      <c r="F607" s="439" t="s">
        <v>9</v>
      </c>
      <c r="G607" s="439" t="s">
        <v>131</v>
      </c>
      <c r="H607" s="439" t="s">
        <v>424</v>
      </c>
    </row>
    <row r="608" spans="1:8" s="422" customFormat="1" ht="11.25">
      <c r="A608" s="451" t="s">
        <v>398</v>
      </c>
      <c r="B608" s="438">
        <v>10017.549999999999</v>
      </c>
      <c r="C608" s="438">
        <v>0</v>
      </c>
      <c r="D608" s="438">
        <v>0</v>
      </c>
      <c r="E608" s="438">
        <v>0</v>
      </c>
      <c r="F608" s="438">
        <v>0</v>
      </c>
      <c r="G608" s="438">
        <v>0</v>
      </c>
      <c r="H608" s="438">
        <v>0</v>
      </c>
    </row>
    <row r="609" spans="1:8" s="422" customFormat="1" ht="11.25">
      <c r="A609" s="451" t="s">
        <v>399</v>
      </c>
      <c r="B609" s="438">
        <v>0</v>
      </c>
      <c r="C609" s="438">
        <v>0</v>
      </c>
      <c r="D609" s="438">
        <v>0</v>
      </c>
      <c r="E609" s="438">
        <v>0</v>
      </c>
      <c r="F609" s="438">
        <v>0</v>
      </c>
      <c r="G609" s="438">
        <v>0</v>
      </c>
      <c r="H609" s="438">
        <v>0</v>
      </c>
    </row>
    <row r="610" spans="1:8" s="422" customFormat="1" ht="11.25">
      <c r="A610" s="451" t="s">
        <v>400</v>
      </c>
      <c r="B610" s="438">
        <v>0</v>
      </c>
      <c r="C610" s="438">
        <v>0</v>
      </c>
      <c r="D610" s="438">
        <v>0</v>
      </c>
      <c r="E610" s="438">
        <v>0</v>
      </c>
      <c r="F610" s="438">
        <v>0</v>
      </c>
      <c r="G610" s="438">
        <v>0</v>
      </c>
      <c r="H610" s="438">
        <v>0</v>
      </c>
    </row>
    <row r="611" spans="1:8" s="422" customFormat="1" ht="11.25">
      <c r="A611" s="451" t="s">
        <v>401</v>
      </c>
      <c r="B611" s="438">
        <v>10017.549999999999</v>
      </c>
      <c r="C611" s="438">
        <v>0</v>
      </c>
      <c r="D611" s="438">
        <v>0</v>
      </c>
      <c r="E611" s="438">
        <v>0</v>
      </c>
      <c r="F611" s="438">
        <v>0</v>
      </c>
      <c r="G611" s="438">
        <v>0</v>
      </c>
      <c r="H611" s="438">
        <v>0</v>
      </c>
    </row>
    <row r="612" spans="1:8" s="422" customFormat="1" ht="11.25"/>
    <row r="613" spans="1:8" s="422" customFormat="1" ht="11.25">
      <c r="A613" s="421" t="s">
        <v>597</v>
      </c>
      <c r="B613" s="421"/>
      <c r="C613" s="421"/>
    </row>
    <row r="614" spans="1:8" s="429" customFormat="1" ht="11.25">
      <c r="A614" s="428"/>
      <c r="B614" s="428"/>
      <c r="C614" s="428"/>
    </row>
    <row r="615" spans="1:8" s="429" customFormat="1" ht="11.25">
      <c r="A615" s="428"/>
      <c r="B615" s="428"/>
      <c r="C615" s="428"/>
    </row>
    <row r="616" spans="1:8" s="429" customFormat="1" ht="11.25">
      <c r="A616" s="428"/>
      <c r="B616" s="428"/>
      <c r="C616" s="428"/>
    </row>
    <row r="617" spans="1:8" s="422" customFormat="1" ht="11.25"/>
    <row r="618" spans="1:8" s="422" customFormat="1" ht="11.25">
      <c r="A618" s="421" t="s">
        <v>598</v>
      </c>
      <c r="B618" s="421"/>
      <c r="C618" s="421"/>
    </row>
    <row r="619" spans="1:8" s="422" customFormat="1" ht="11.25">
      <c r="A619" s="452" t="s">
        <v>599</v>
      </c>
      <c r="B619" s="447"/>
      <c r="C619" s="447"/>
      <c r="D619" s="447"/>
      <c r="E619" s="439" t="s">
        <v>375</v>
      </c>
      <c r="F619" s="439" t="s">
        <v>9</v>
      </c>
      <c r="G619" s="439" t="s">
        <v>131</v>
      </c>
      <c r="H619" s="439" t="s">
        <v>424</v>
      </c>
    </row>
    <row r="620" spans="1:8" s="422" customFormat="1" ht="11.25">
      <c r="A620" s="448"/>
      <c r="B620" s="449"/>
      <c r="C620" s="449"/>
      <c r="D620" s="449"/>
      <c r="E620" s="438">
        <v>0</v>
      </c>
      <c r="F620" s="438">
        <v>0</v>
      </c>
      <c r="G620" s="438">
        <v>0</v>
      </c>
      <c r="H620" s="438">
        <v>0</v>
      </c>
    </row>
    <row r="621" spans="1:8" s="422" customFormat="1" ht="11.25">
      <c r="A621" s="448"/>
      <c r="B621" s="449"/>
      <c r="C621" s="449"/>
      <c r="D621" s="449"/>
      <c r="E621" s="438">
        <v>0</v>
      </c>
      <c r="F621" s="438">
        <v>0</v>
      </c>
      <c r="G621" s="438">
        <v>0</v>
      </c>
      <c r="H621" s="438">
        <v>0</v>
      </c>
    </row>
    <row r="622" spans="1:8" s="422" customFormat="1" ht="11.25">
      <c r="A622" s="448"/>
      <c r="B622" s="449"/>
      <c r="C622" s="449"/>
      <c r="D622" s="449"/>
      <c r="E622" s="438">
        <v>0</v>
      </c>
      <c r="F622" s="438">
        <v>0</v>
      </c>
      <c r="G622" s="438">
        <v>0</v>
      </c>
      <c r="H622" s="438">
        <v>0</v>
      </c>
    </row>
    <row r="623" spans="1:8" s="421" customFormat="1" ht="11.25">
      <c r="A623" s="421" t="s">
        <v>391</v>
      </c>
      <c r="D623" s="421" t="s">
        <v>472</v>
      </c>
    </row>
    <row r="624" spans="1:8" s="422" customFormat="1" ht="11.25"/>
    <row r="625" spans="1:8" s="421" customFormat="1" ht="11.25" customHeight="1">
      <c r="A625" s="423" t="s">
        <v>392</v>
      </c>
      <c r="D625" s="421" t="s">
        <v>139</v>
      </c>
    </row>
    <row r="626" spans="1:8" s="421" customFormat="1" ht="7.5" customHeight="1">
      <c r="A626" s="423"/>
    </row>
    <row r="627" spans="1:8" s="421" customFormat="1" ht="11.25">
      <c r="A627" s="424" t="s">
        <v>393</v>
      </c>
      <c r="D627" s="583" t="s">
        <v>641</v>
      </c>
      <c r="E627" s="583"/>
      <c r="F627" s="583"/>
      <c r="G627" s="583"/>
      <c r="H627" s="583"/>
    </row>
    <row r="628" spans="1:8" s="421" customFormat="1" ht="7.5" customHeight="1"/>
    <row r="629" spans="1:8" s="422" customFormat="1" ht="11.25">
      <c r="A629" s="421" t="s">
        <v>170</v>
      </c>
      <c r="B629" s="421"/>
      <c r="C629" s="421"/>
      <c r="D629" s="422" t="s">
        <v>174</v>
      </c>
      <c r="E629" s="422" t="s">
        <v>642</v>
      </c>
    </row>
    <row r="630" spans="1:8" s="422" customFormat="1" ht="7.5" customHeight="1"/>
    <row r="631" spans="1:8" s="427" customFormat="1" ht="11.25">
      <c r="A631" s="425" t="s">
        <v>587</v>
      </c>
      <c r="B631" s="425"/>
      <c r="C631" s="425"/>
      <c r="D631" s="426" t="s">
        <v>643</v>
      </c>
      <c r="E631" s="584" t="s">
        <v>644</v>
      </c>
      <c r="F631" s="584"/>
      <c r="G631" s="584"/>
      <c r="H631" s="584"/>
    </row>
    <row r="632" spans="1:8" s="427" customFormat="1" ht="11.25">
      <c r="A632" s="425"/>
      <c r="B632" s="425"/>
      <c r="C632" s="425"/>
      <c r="D632" s="426" t="s">
        <v>645</v>
      </c>
      <c r="E632" s="584" t="s">
        <v>646</v>
      </c>
      <c r="F632" s="584"/>
      <c r="G632" s="584"/>
      <c r="H632" s="584"/>
    </row>
    <row r="633" spans="1:8" s="427" customFormat="1" ht="11.25"/>
    <row r="634" spans="1:8" s="422" customFormat="1" ht="11.25"/>
    <row r="635" spans="1:8" s="422" customFormat="1" ht="11.25">
      <c r="A635" s="421" t="s">
        <v>589</v>
      </c>
      <c r="B635" s="421"/>
      <c r="C635" s="421"/>
    </row>
    <row r="636" spans="1:8" s="429" customFormat="1" ht="11.25">
      <c r="A636" s="428"/>
      <c r="B636" s="428"/>
      <c r="C636" s="428"/>
    </row>
    <row r="637" spans="1:8" s="429" customFormat="1" ht="11.25">
      <c r="A637" s="428"/>
      <c r="B637" s="428"/>
      <c r="C637" s="428"/>
    </row>
    <row r="638" spans="1:8" s="429" customFormat="1" ht="11.25">
      <c r="A638" s="428"/>
      <c r="B638" s="428"/>
      <c r="C638" s="428"/>
    </row>
    <row r="639" spans="1:8" s="429" customFormat="1" ht="11.25">
      <c r="A639" s="428"/>
      <c r="B639" s="428"/>
      <c r="C639" s="428"/>
    </row>
    <row r="640" spans="1:8" s="422" customFormat="1" ht="9" customHeight="1">
      <c r="A640" s="430"/>
      <c r="B640" s="430"/>
      <c r="C640" s="430"/>
      <c r="D640" s="430"/>
      <c r="E640" s="430"/>
      <c r="F640" s="430"/>
      <c r="G640" s="430"/>
      <c r="H640" s="430"/>
    </row>
    <row r="641" spans="1:8" s="422" customFormat="1" ht="22.5" customHeight="1">
      <c r="A641" s="585" t="s">
        <v>590</v>
      </c>
      <c r="B641" s="585"/>
      <c r="C641" s="585"/>
      <c r="D641" s="586"/>
      <c r="E641" s="586"/>
      <c r="F641" s="586"/>
      <c r="G641" s="586"/>
      <c r="H641" s="586"/>
    </row>
    <row r="642" spans="1:8" s="429" customFormat="1" ht="11.25">
      <c r="A642" s="431"/>
      <c r="B642" s="431"/>
      <c r="C642" s="431"/>
      <c r="D642" s="432"/>
      <c r="E642" s="432"/>
      <c r="F642" s="432"/>
      <c r="G642" s="432"/>
      <c r="H642" s="432"/>
    </row>
    <row r="643" spans="1:8" s="429" customFormat="1" ht="11.25">
      <c r="A643" s="431"/>
      <c r="B643" s="431"/>
      <c r="C643" s="431"/>
      <c r="D643" s="432"/>
      <c r="E643" s="432"/>
      <c r="F643" s="432"/>
      <c r="G643" s="432"/>
      <c r="H643" s="432"/>
    </row>
    <row r="644" spans="1:8" s="429" customFormat="1" ht="11.25">
      <c r="A644" s="431"/>
      <c r="B644" s="431"/>
      <c r="C644" s="431"/>
      <c r="D644" s="432"/>
      <c r="E644" s="432"/>
      <c r="F644" s="432"/>
      <c r="G644" s="432"/>
      <c r="H644" s="432"/>
    </row>
    <row r="645" spans="1:8" s="422" customFormat="1" ht="9" customHeight="1"/>
    <row r="646" spans="1:8" s="422" customFormat="1" ht="11.25">
      <c r="A646" s="421" t="s">
        <v>591</v>
      </c>
      <c r="B646" s="421"/>
      <c r="C646" s="421"/>
    </row>
    <row r="647" spans="1:8" s="429" customFormat="1" ht="11.25">
      <c r="A647" s="428"/>
      <c r="B647" s="428"/>
      <c r="C647" s="428"/>
    </row>
    <row r="648" spans="1:8" s="429" customFormat="1" ht="11.25">
      <c r="A648" s="428"/>
      <c r="B648" s="428"/>
      <c r="C648" s="428"/>
    </row>
    <row r="649" spans="1:8" s="429" customFormat="1" ht="11.25">
      <c r="A649" s="428"/>
      <c r="B649" s="428"/>
      <c r="C649" s="428"/>
    </row>
    <row r="650" spans="1:8" s="429" customFormat="1" ht="11.25">
      <c r="A650" s="428"/>
      <c r="B650" s="428"/>
      <c r="C650" s="428"/>
    </row>
    <row r="651" spans="1:8" s="429" customFormat="1" ht="11.25">
      <c r="A651" s="428"/>
      <c r="B651" s="428"/>
      <c r="C651" s="428"/>
    </row>
    <row r="652" spans="1:8" s="429" customFormat="1" ht="11.25">
      <c r="A652" s="428"/>
      <c r="B652" s="428"/>
      <c r="C652" s="428"/>
    </row>
    <row r="653" spans="1:8" s="429" customFormat="1" ht="11.25">
      <c r="A653" s="428"/>
      <c r="B653" s="428"/>
      <c r="C653" s="428"/>
    </row>
    <row r="654" spans="1:8" s="429" customFormat="1" ht="11.25">
      <c r="A654" s="428"/>
      <c r="B654" s="428"/>
      <c r="C654" s="428"/>
    </row>
    <row r="655" spans="1:8" s="422" customFormat="1" ht="9" customHeight="1"/>
    <row r="656" spans="1:8" s="422" customFormat="1" ht="11.25">
      <c r="A656" s="433" t="s">
        <v>592</v>
      </c>
      <c r="B656" s="434"/>
      <c r="C656" s="434"/>
      <c r="D656" s="434"/>
      <c r="E656" s="434"/>
      <c r="F656" s="434"/>
      <c r="G656" s="434"/>
      <c r="H656" s="434"/>
    </row>
    <row r="657" spans="1:8" s="429" customFormat="1" ht="11.25">
      <c r="A657" s="435"/>
      <c r="B657" s="436"/>
      <c r="C657" s="436"/>
      <c r="D657" s="436"/>
      <c r="E657" s="436"/>
      <c r="F657" s="436"/>
      <c r="G657" s="436"/>
      <c r="H657" s="436"/>
    </row>
    <row r="658" spans="1:8" s="429" customFormat="1" ht="11.25">
      <c r="A658" s="435"/>
      <c r="B658" s="436"/>
      <c r="C658" s="436"/>
      <c r="D658" s="436"/>
      <c r="E658" s="436"/>
      <c r="F658" s="436"/>
      <c r="G658" s="436"/>
      <c r="H658" s="436"/>
    </row>
    <row r="659" spans="1:8" s="422" customFormat="1" ht="11.25">
      <c r="A659" s="437"/>
      <c r="B659" s="437"/>
      <c r="C659" s="437"/>
      <c r="D659" s="437"/>
      <c r="E659" s="437"/>
      <c r="F659" s="437"/>
      <c r="G659" s="437"/>
      <c r="H659" s="437"/>
    </row>
    <row r="660" spans="1:8" s="422" customFormat="1" ht="11.25">
      <c r="A660" s="421" t="s">
        <v>593</v>
      </c>
      <c r="B660" s="421"/>
      <c r="C660" s="421"/>
    </row>
    <row r="661" spans="1:8" s="422" customFormat="1" ht="11.25">
      <c r="A661" s="438"/>
      <c r="B661" s="439" t="s">
        <v>132</v>
      </c>
      <c r="C661" s="439" t="s">
        <v>473</v>
      </c>
      <c r="D661" s="439" t="s">
        <v>474</v>
      </c>
      <c r="E661" s="439" t="s">
        <v>375</v>
      </c>
      <c r="F661" s="439" t="s">
        <v>9</v>
      </c>
      <c r="G661" s="439" t="s">
        <v>131</v>
      </c>
      <c r="H661" s="439" t="s">
        <v>424</v>
      </c>
    </row>
    <row r="662" spans="1:8" s="422" customFormat="1" ht="11.25">
      <c r="A662" s="439" t="s">
        <v>394</v>
      </c>
      <c r="B662" s="438">
        <v>910052.27999999991</v>
      </c>
      <c r="C662" s="438">
        <v>1021161.38</v>
      </c>
      <c r="D662" s="438">
        <v>1045030.67</v>
      </c>
      <c r="E662" s="438">
        <v>1040549.45</v>
      </c>
      <c r="F662" s="438">
        <v>1029549.45</v>
      </c>
      <c r="G662" s="438">
        <v>1040024.88</v>
      </c>
      <c r="H662" s="438">
        <v>1043766.105</v>
      </c>
    </row>
    <row r="663" spans="1:8" s="422" customFormat="1" ht="11.25">
      <c r="A663" s="439" t="s">
        <v>395</v>
      </c>
      <c r="B663" s="438">
        <v>-87762.15</v>
      </c>
      <c r="C663" s="438">
        <v>-33424.6</v>
      </c>
      <c r="D663" s="438">
        <v>-7077.7</v>
      </c>
      <c r="E663" s="438">
        <v>-7077.7</v>
      </c>
      <c r="F663" s="438">
        <v>-7077.7</v>
      </c>
      <c r="G663" s="438">
        <v>-7077.7</v>
      </c>
      <c r="H663" s="438">
        <v>-7077.7</v>
      </c>
    </row>
    <row r="664" spans="1:8" s="422" customFormat="1" ht="11.25">
      <c r="A664" s="439" t="s">
        <v>396</v>
      </c>
      <c r="B664" s="438">
        <v>822290.12999999989</v>
      </c>
      <c r="C664" s="438">
        <v>987736.78</v>
      </c>
      <c r="D664" s="438">
        <v>1037952.9700000001</v>
      </c>
      <c r="E664" s="438">
        <v>1033471.75</v>
      </c>
      <c r="F664" s="438">
        <v>1022471.75</v>
      </c>
      <c r="G664" s="438">
        <v>1032947.18</v>
      </c>
      <c r="H664" s="438">
        <v>1036688.405</v>
      </c>
    </row>
    <row r="665" spans="1:8" s="442" customFormat="1" ht="11.25">
      <c r="A665" s="440" t="s">
        <v>397</v>
      </c>
      <c r="B665" s="441">
        <v>9.6436382753746858E-2</v>
      </c>
      <c r="C665" s="441">
        <v>3.2731946834887157E-2</v>
      </c>
      <c r="D665" s="441">
        <v>6.7727198858192356E-3</v>
      </c>
      <c r="E665" s="441">
        <v>6.8018872144903833E-3</v>
      </c>
      <c r="F665" s="441">
        <v>6.8745605177099557E-3</v>
      </c>
      <c r="G665" s="441">
        <v>6.8053179650856043E-3</v>
      </c>
      <c r="H665" s="441">
        <v>6.7809253108482579E-3</v>
      </c>
    </row>
    <row r="666" spans="1:8" s="422" customFormat="1" ht="11.25"/>
    <row r="667" spans="1:8" s="422" customFormat="1" ht="11.25">
      <c r="A667" s="443" t="s">
        <v>594</v>
      </c>
      <c r="B667" s="443"/>
      <c r="C667" s="444"/>
    </row>
    <row r="668" spans="1:8" s="422" customFormat="1" ht="11.25">
      <c r="A668" s="587" t="s">
        <v>595</v>
      </c>
      <c r="B668" s="588"/>
      <c r="C668" s="589"/>
      <c r="D668" s="590"/>
      <c r="E668" s="439" t="s">
        <v>375</v>
      </c>
      <c r="F668" s="439" t="s">
        <v>9</v>
      </c>
      <c r="G668" s="439" t="s">
        <v>131</v>
      </c>
      <c r="H668" s="439" t="s">
        <v>424</v>
      </c>
    </row>
    <row r="669" spans="1:8" s="422" customFormat="1" ht="11.25">
      <c r="A669" s="591"/>
      <c r="B669" s="592"/>
      <c r="C669" s="592"/>
      <c r="D669" s="593"/>
      <c r="E669" s="438"/>
      <c r="F669" s="438"/>
      <c r="G669" s="438"/>
      <c r="H669" s="438"/>
    </row>
    <row r="670" spans="1:8" s="422" customFormat="1" ht="11.25">
      <c r="A670" s="591"/>
      <c r="B670" s="592"/>
      <c r="C670" s="592"/>
      <c r="D670" s="593"/>
      <c r="E670" s="438"/>
      <c r="F670" s="438"/>
      <c r="G670" s="438"/>
      <c r="H670" s="438"/>
    </row>
    <row r="671" spans="1:8" s="422" customFormat="1" ht="11.25">
      <c r="A671" s="591"/>
      <c r="B671" s="592"/>
      <c r="C671" s="592"/>
      <c r="D671" s="593"/>
      <c r="E671" s="438"/>
      <c r="F671" s="438"/>
      <c r="G671" s="438"/>
      <c r="H671" s="438"/>
    </row>
    <row r="672" spans="1:8" s="422" customFormat="1" ht="11.25"/>
    <row r="673" spans="1:8" s="422" customFormat="1" ht="11.25">
      <c r="A673" s="421" t="s">
        <v>423</v>
      </c>
      <c r="B673" s="421"/>
      <c r="C673" s="421"/>
    </row>
    <row r="674" spans="1:8" s="422" customFormat="1" ht="11.25">
      <c r="A674" s="450"/>
      <c r="B674" s="439" t="s">
        <v>132</v>
      </c>
      <c r="C674" s="439" t="s">
        <v>473</v>
      </c>
      <c r="D674" s="439" t="s">
        <v>474</v>
      </c>
      <c r="E674" s="439" t="s">
        <v>375</v>
      </c>
      <c r="F674" s="439" t="s">
        <v>9</v>
      </c>
      <c r="G674" s="439" t="s">
        <v>131</v>
      </c>
      <c r="H674" s="439" t="s">
        <v>424</v>
      </c>
    </row>
    <row r="675" spans="1:8" s="422" customFormat="1" ht="11.25">
      <c r="A675" s="451" t="s">
        <v>398</v>
      </c>
      <c r="B675" s="438">
        <v>0</v>
      </c>
      <c r="C675" s="438">
        <v>0</v>
      </c>
      <c r="D675" s="438">
        <v>0</v>
      </c>
      <c r="E675" s="438">
        <v>0</v>
      </c>
      <c r="F675" s="438">
        <v>0</v>
      </c>
      <c r="G675" s="438">
        <v>0</v>
      </c>
      <c r="H675" s="438">
        <v>0</v>
      </c>
    </row>
    <row r="676" spans="1:8" s="422" customFormat="1" ht="11.25">
      <c r="A676" s="451" t="s">
        <v>399</v>
      </c>
      <c r="B676" s="438">
        <v>0</v>
      </c>
      <c r="C676" s="438">
        <v>0</v>
      </c>
      <c r="D676" s="438">
        <v>0</v>
      </c>
      <c r="E676" s="438">
        <v>0</v>
      </c>
      <c r="F676" s="438">
        <v>0</v>
      </c>
      <c r="G676" s="438">
        <v>0</v>
      </c>
      <c r="H676" s="438">
        <v>0</v>
      </c>
    </row>
    <row r="677" spans="1:8" s="422" customFormat="1" ht="11.25">
      <c r="A677" s="451" t="s">
        <v>400</v>
      </c>
      <c r="B677" s="438">
        <v>0</v>
      </c>
      <c r="C677" s="438">
        <v>0</v>
      </c>
      <c r="D677" s="438">
        <v>0</v>
      </c>
      <c r="E677" s="438">
        <v>0</v>
      </c>
      <c r="F677" s="438">
        <v>0</v>
      </c>
      <c r="G677" s="438">
        <v>0</v>
      </c>
      <c r="H677" s="438">
        <v>0</v>
      </c>
    </row>
    <row r="678" spans="1:8" s="422" customFormat="1" ht="11.25">
      <c r="A678" s="451" t="s">
        <v>401</v>
      </c>
      <c r="B678" s="438">
        <v>0</v>
      </c>
      <c r="C678" s="438">
        <v>0</v>
      </c>
      <c r="D678" s="438">
        <v>0</v>
      </c>
      <c r="E678" s="438">
        <v>0</v>
      </c>
      <c r="F678" s="438">
        <v>0</v>
      </c>
      <c r="G678" s="438">
        <v>0</v>
      </c>
      <c r="H678" s="438">
        <v>0</v>
      </c>
    </row>
    <row r="679" spans="1:8" s="422" customFormat="1" ht="11.25"/>
    <row r="680" spans="1:8" s="422" customFormat="1" ht="11.25">
      <c r="A680" s="421" t="s">
        <v>597</v>
      </c>
      <c r="B680" s="421"/>
      <c r="C680" s="421"/>
    </row>
    <row r="681" spans="1:8" s="429" customFormat="1" ht="11.25">
      <c r="A681" s="428"/>
      <c r="B681" s="428"/>
      <c r="C681" s="428"/>
    </row>
    <row r="682" spans="1:8" s="429" customFormat="1" ht="11.25">
      <c r="A682" s="428"/>
      <c r="B682" s="428"/>
      <c r="C682" s="428"/>
    </row>
    <row r="683" spans="1:8" s="429" customFormat="1" ht="11.25">
      <c r="A683" s="428"/>
      <c r="B683" s="428"/>
      <c r="C683" s="428"/>
    </row>
    <row r="684" spans="1:8" s="422" customFormat="1" ht="11.25"/>
    <row r="685" spans="1:8" s="422" customFormat="1" ht="11.25">
      <c r="A685" s="421" t="s">
        <v>598</v>
      </c>
      <c r="B685" s="421"/>
      <c r="C685" s="421"/>
    </row>
    <row r="686" spans="1:8" s="422" customFormat="1" ht="11.25">
      <c r="A686" s="594" t="s">
        <v>599</v>
      </c>
      <c r="B686" s="589"/>
      <c r="C686" s="589"/>
      <c r="D686" s="590"/>
      <c r="E686" s="439" t="s">
        <v>375</v>
      </c>
      <c r="F686" s="439" t="s">
        <v>9</v>
      </c>
      <c r="G686" s="439" t="s">
        <v>131</v>
      </c>
      <c r="H686" s="439" t="s">
        <v>424</v>
      </c>
    </row>
    <row r="687" spans="1:8" s="422" customFormat="1" ht="11.25">
      <c r="A687" s="448"/>
      <c r="B687" s="449"/>
      <c r="C687" s="449"/>
      <c r="D687" s="449"/>
      <c r="E687" s="438">
        <v>0</v>
      </c>
      <c r="F687" s="438">
        <v>0</v>
      </c>
      <c r="G687" s="438">
        <v>0</v>
      </c>
      <c r="H687" s="438">
        <v>0</v>
      </c>
    </row>
    <row r="688" spans="1:8" s="421" customFormat="1" ht="11.25">
      <c r="A688" s="421" t="s">
        <v>391</v>
      </c>
      <c r="D688" s="421" t="s">
        <v>472</v>
      </c>
    </row>
    <row r="689" spans="1:8" s="422" customFormat="1" ht="11.25"/>
    <row r="690" spans="1:8" s="421" customFormat="1" ht="11.25" customHeight="1">
      <c r="A690" s="423" t="s">
        <v>392</v>
      </c>
      <c r="D690" s="421" t="s">
        <v>139</v>
      </c>
    </row>
    <row r="691" spans="1:8" s="421" customFormat="1" ht="7.5" customHeight="1">
      <c r="A691" s="423"/>
    </row>
    <row r="692" spans="1:8" s="421" customFormat="1" ht="11.25">
      <c r="A692" s="424" t="s">
        <v>393</v>
      </c>
      <c r="D692" s="583" t="s">
        <v>647</v>
      </c>
      <c r="E692" s="583"/>
      <c r="F692" s="583"/>
      <c r="G692" s="583"/>
      <c r="H692" s="583"/>
    </row>
    <row r="693" spans="1:8" s="421" customFormat="1" ht="7.5" customHeight="1"/>
    <row r="694" spans="1:8" s="422" customFormat="1" ht="11.25">
      <c r="A694" s="421" t="s">
        <v>170</v>
      </c>
      <c r="B694" s="421"/>
      <c r="C694" s="421"/>
      <c r="D694" s="422" t="s">
        <v>172</v>
      </c>
      <c r="E694" s="422" t="s">
        <v>648</v>
      </c>
    </row>
    <row r="695" spans="1:8" s="422" customFormat="1" ht="7.5" customHeight="1"/>
    <row r="696" spans="1:8" s="427" customFormat="1" ht="11.25">
      <c r="A696" s="425" t="s">
        <v>587</v>
      </c>
      <c r="B696" s="425"/>
      <c r="C696" s="425"/>
      <c r="D696" s="426" t="s">
        <v>649</v>
      </c>
      <c r="E696" s="584" t="s">
        <v>650</v>
      </c>
      <c r="F696" s="584"/>
      <c r="G696" s="584"/>
      <c r="H696" s="584"/>
    </row>
    <row r="697" spans="1:8" s="427" customFormat="1" ht="11.25">
      <c r="A697" s="425"/>
      <c r="B697" s="425"/>
      <c r="C697" s="425"/>
      <c r="D697" s="426" t="s">
        <v>651</v>
      </c>
      <c r="E697" s="584" t="s">
        <v>652</v>
      </c>
      <c r="F697" s="584"/>
      <c r="G697" s="584"/>
      <c r="H697" s="584"/>
    </row>
    <row r="698" spans="1:8" s="427" customFormat="1" ht="11.25">
      <c r="A698" s="425"/>
      <c r="B698" s="425"/>
      <c r="C698" s="425"/>
      <c r="D698" s="426"/>
      <c r="E698" s="584"/>
      <c r="F698" s="584"/>
      <c r="G698" s="584"/>
      <c r="H698" s="584"/>
    </row>
    <row r="699" spans="1:8" s="427" customFormat="1" ht="11.25"/>
    <row r="700" spans="1:8" s="422" customFormat="1" ht="11.25"/>
    <row r="701" spans="1:8" s="422" customFormat="1" ht="11.25">
      <c r="A701" s="421" t="s">
        <v>589</v>
      </c>
      <c r="B701" s="421"/>
      <c r="C701" s="421"/>
    </row>
    <row r="702" spans="1:8" s="429" customFormat="1" ht="11.25">
      <c r="A702" s="428"/>
      <c r="B702" s="428"/>
      <c r="C702" s="428"/>
    </row>
    <row r="703" spans="1:8" s="429" customFormat="1" ht="11.25">
      <c r="A703" s="428"/>
      <c r="B703" s="428"/>
      <c r="C703" s="428"/>
    </row>
    <row r="704" spans="1:8" s="429" customFormat="1" ht="11.25">
      <c r="A704" s="428"/>
      <c r="B704" s="428"/>
      <c r="C704" s="428"/>
    </row>
    <row r="705" spans="1:8" s="429" customFormat="1" ht="11.25">
      <c r="A705" s="428"/>
      <c r="B705" s="428"/>
      <c r="C705" s="428"/>
    </row>
    <row r="706" spans="1:8" s="429" customFormat="1" ht="11.25">
      <c r="A706" s="428"/>
      <c r="B706" s="428"/>
      <c r="C706" s="428"/>
    </row>
    <row r="707" spans="1:8" s="429" customFormat="1" ht="11.25">
      <c r="A707" s="428"/>
      <c r="B707" s="428"/>
      <c r="C707" s="428"/>
    </row>
    <row r="708" spans="1:8" s="422" customFormat="1" ht="9" customHeight="1">
      <c r="A708" s="430"/>
      <c r="B708" s="430"/>
      <c r="C708" s="430"/>
      <c r="D708" s="430"/>
      <c r="E708" s="430"/>
      <c r="F708" s="430"/>
      <c r="G708" s="430"/>
      <c r="H708" s="430"/>
    </row>
    <row r="709" spans="1:8" s="422" customFormat="1" ht="22.5" customHeight="1">
      <c r="A709" s="585" t="s">
        <v>590</v>
      </c>
      <c r="B709" s="585"/>
      <c r="C709" s="585"/>
      <c r="D709" s="586"/>
      <c r="E709" s="586"/>
      <c r="F709" s="586"/>
      <c r="G709" s="586"/>
      <c r="H709" s="586"/>
    </row>
    <row r="710" spans="1:8" s="429" customFormat="1" ht="11.25">
      <c r="A710" s="431"/>
      <c r="B710" s="431"/>
      <c r="C710" s="431"/>
      <c r="D710" s="432"/>
      <c r="E710" s="432"/>
      <c r="F710" s="432"/>
      <c r="G710" s="432"/>
      <c r="H710" s="432"/>
    </row>
    <row r="711" spans="1:8" s="429" customFormat="1" ht="11.25">
      <c r="A711" s="431"/>
      <c r="B711" s="431"/>
      <c r="C711" s="431"/>
      <c r="D711" s="432"/>
      <c r="E711" s="432"/>
      <c r="F711" s="432"/>
      <c r="G711" s="432"/>
      <c r="H711" s="432"/>
    </row>
    <row r="712" spans="1:8" s="429" customFormat="1" ht="11.25">
      <c r="A712" s="431"/>
      <c r="B712" s="431"/>
      <c r="C712" s="431"/>
      <c r="D712" s="432"/>
      <c r="E712" s="432"/>
      <c r="F712" s="432"/>
      <c r="G712" s="432"/>
      <c r="H712" s="432"/>
    </row>
    <row r="713" spans="1:8" s="429" customFormat="1" ht="11.25">
      <c r="A713" s="431"/>
      <c r="B713" s="431"/>
      <c r="C713" s="431"/>
      <c r="D713" s="432"/>
      <c r="E713" s="432"/>
      <c r="F713" s="432"/>
      <c r="G713" s="432"/>
      <c r="H713" s="432"/>
    </row>
    <row r="714" spans="1:8" s="422" customFormat="1" ht="9" customHeight="1"/>
    <row r="715" spans="1:8" s="422" customFormat="1" ht="11.25">
      <c r="A715" s="421" t="s">
        <v>591</v>
      </c>
      <c r="B715" s="421"/>
      <c r="C715" s="421"/>
    </row>
    <row r="716" spans="1:8" s="429" customFormat="1" ht="11.25">
      <c r="A716" s="428"/>
      <c r="B716" s="428"/>
      <c r="C716" s="428"/>
    </row>
    <row r="717" spans="1:8" s="429" customFormat="1" ht="11.25">
      <c r="A717" s="428"/>
      <c r="B717" s="428"/>
      <c r="C717" s="428"/>
    </row>
    <row r="718" spans="1:8" s="429" customFormat="1" ht="11.25">
      <c r="A718" s="428"/>
      <c r="B718" s="428"/>
      <c r="C718" s="428"/>
    </row>
    <row r="719" spans="1:8" s="429" customFormat="1" ht="11.25">
      <c r="A719" s="428"/>
      <c r="B719" s="428"/>
      <c r="C719" s="428"/>
    </row>
    <row r="720" spans="1:8" s="429" customFormat="1" ht="36" customHeight="1">
      <c r="A720" s="428"/>
      <c r="B720" s="428"/>
      <c r="C720" s="428"/>
    </row>
    <row r="721" spans="1:8" s="422" customFormat="1" ht="9" customHeight="1"/>
    <row r="722" spans="1:8" s="422" customFormat="1" ht="11.25">
      <c r="A722" s="433" t="s">
        <v>592</v>
      </c>
      <c r="B722" s="434"/>
      <c r="C722" s="434"/>
      <c r="D722" s="434"/>
      <c r="E722" s="434"/>
      <c r="F722" s="434"/>
      <c r="G722" s="434"/>
      <c r="H722" s="434"/>
    </row>
    <row r="723" spans="1:8" s="429" customFormat="1" ht="11.25">
      <c r="A723" s="435"/>
      <c r="B723" s="436"/>
      <c r="C723" s="436"/>
      <c r="D723" s="436"/>
      <c r="E723" s="436"/>
      <c r="F723" s="436"/>
      <c r="G723" s="436"/>
      <c r="H723" s="436"/>
    </row>
    <row r="724" spans="1:8" s="429" customFormat="1" ht="11.25">
      <c r="A724" s="435"/>
      <c r="B724" s="436"/>
      <c r="C724" s="436"/>
      <c r="D724" s="436"/>
      <c r="E724" s="436"/>
      <c r="F724" s="436"/>
      <c r="G724" s="436"/>
      <c r="H724" s="436"/>
    </row>
    <row r="725" spans="1:8" s="422" customFormat="1" ht="11.25">
      <c r="A725" s="437"/>
      <c r="B725" s="437"/>
      <c r="C725" s="437"/>
      <c r="D725" s="437"/>
      <c r="E725" s="437"/>
      <c r="F725" s="437"/>
      <c r="G725" s="437"/>
      <c r="H725" s="437"/>
    </row>
    <row r="726" spans="1:8" s="422" customFormat="1" ht="11.25">
      <c r="A726" s="421" t="s">
        <v>593</v>
      </c>
      <c r="B726" s="421"/>
      <c r="C726" s="421"/>
    </row>
    <row r="727" spans="1:8" s="422" customFormat="1" ht="11.25">
      <c r="A727" s="438"/>
      <c r="B727" s="439" t="s">
        <v>132</v>
      </c>
      <c r="C727" s="439" t="s">
        <v>473</v>
      </c>
      <c r="D727" s="439" t="s">
        <v>474</v>
      </c>
      <c r="E727" s="439" t="s">
        <v>375</v>
      </c>
      <c r="F727" s="439" t="s">
        <v>9</v>
      </c>
      <c r="G727" s="439" t="s">
        <v>131</v>
      </c>
      <c r="H727" s="439" t="s">
        <v>424</v>
      </c>
    </row>
    <row r="728" spans="1:8" s="422" customFormat="1" ht="11.25">
      <c r="A728" s="439" t="s">
        <v>394</v>
      </c>
      <c r="B728" s="438">
        <v>1625274.52</v>
      </c>
      <c r="C728" s="438">
        <v>1572453.19</v>
      </c>
      <c r="D728" s="438">
        <v>0</v>
      </c>
      <c r="E728" s="438">
        <v>0</v>
      </c>
      <c r="F728" s="438">
        <v>0</v>
      </c>
      <c r="G728" s="438">
        <v>0</v>
      </c>
      <c r="H728" s="438">
        <v>0</v>
      </c>
    </row>
    <row r="729" spans="1:8" s="422" customFormat="1" ht="11.25">
      <c r="A729" s="439" t="s">
        <v>395</v>
      </c>
      <c r="B729" s="438">
        <v>-595782</v>
      </c>
      <c r="C729" s="438">
        <v>-445291.65</v>
      </c>
      <c r="D729" s="438">
        <v>0</v>
      </c>
      <c r="E729" s="438">
        <v>0</v>
      </c>
      <c r="F729" s="438">
        <v>0</v>
      </c>
      <c r="G729" s="438">
        <v>0</v>
      </c>
      <c r="H729" s="438">
        <v>0</v>
      </c>
    </row>
    <row r="730" spans="1:8" s="422" customFormat="1" ht="11.25">
      <c r="A730" s="439" t="s">
        <v>396</v>
      </c>
      <c r="B730" s="438">
        <v>1029492.52</v>
      </c>
      <c r="C730" s="438">
        <v>1127161.54</v>
      </c>
      <c r="D730" s="438">
        <v>0</v>
      </c>
      <c r="E730" s="438">
        <v>0</v>
      </c>
      <c r="F730" s="438">
        <v>0</v>
      </c>
      <c r="G730" s="438">
        <v>0</v>
      </c>
      <c r="H730" s="438">
        <v>0</v>
      </c>
    </row>
    <row r="731" spans="1:8" s="442" customFormat="1" ht="11.25">
      <c r="A731" s="440" t="s">
        <v>397</v>
      </c>
      <c r="B731" s="441">
        <v>0.36657314974703475</v>
      </c>
      <c r="C731" s="441">
        <v>0.28318276997485697</v>
      </c>
      <c r="D731" s="441" t="s">
        <v>1413</v>
      </c>
      <c r="E731" s="441" t="s">
        <v>1413</v>
      </c>
      <c r="F731" s="441" t="s">
        <v>1413</v>
      </c>
      <c r="G731" s="441" t="s">
        <v>1413</v>
      </c>
      <c r="H731" s="441" t="s">
        <v>1413</v>
      </c>
    </row>
    <row r="732" spans="1:8" s="422" customFormat="1" ht="11.25"/>
    <row r="733" spans="1:8" s="422" customFormat="1" ht="11.25">
      <c r="A733" s="443" t="s">
        <v>594</v>
      </c>
      <c r="B733" s="443"/>
      <c r="C733" s="444"/>
    </row>
    <row r="734" spans="1:8" s="422" customFormat="1" ht="11.25">
      <c r="A734" s="445" t="s">
        <v>595</v>
      </c>
      <c r="B734" s="446"/>
      <c r="C734" s="447"/>
      <c r="D734" s="439" t="s">
        <v>474</v>
      </c>
      <c r="E734" s="439" t="s">
        <v>375</v>
      </c>
      <c r="F734" s="439" t="s">
        <v>9</v>
      </c>
      <c r="G734" s="439" t="s">
        <v>131</v>
      </c>
      <c r="H734" s="439" t="s">
        <v>424</v>
      </c>
    </row>
    <row r="735" spans="1:8" s="422" customFormat="1" ht="11.25">
      <c r="A735" s="448" t="s">
        <v>596</v>
      </c>
      <c r="B735" s="449"/>
      <c r="C735" s="449"/>
      <c r="D735" s="438"/>
      <c r="E735" s="438"/>
      <c r="F735" s="438"/>
      <c r="G735" s="438"/>
      <c r="H735" s="438"/>
    </row>
    <row r="736" spans="1:8" s="422" customFormat="1" ht="11.25">
      <c r="A736" s="448"/>
      <c r="B736" s="449"/>
      <c r="C736" s="449"/>
      <c r="D736" s="438"/>
      <c r="E736" s="438"/>
      <c r="F736" s="438"/>
      <c r="G736" s="438"/>
      <c r="H736" s="438"/>
    </row>
    <row r="737" spans="1:8" s="422" customFormat="1" ht="11.25">
      <c r="A737" s="448"/>
      <c r="B737" s="449"/>
      <c r="C737" s="449"/>
      <c r="D737" s="438"/>
      <c r="E737" s="438"/>
      <c r="F737" s="438"/>
      <c r="G737" s="438"/>
      <c r="H737" s="438"/>
    </row>
    <row r="738" spans="1:8" s="422" customFormat="1" ht="11.25"/>
    <row r="739" spans="1:8" s="422" customFormat="1" ht="11.25">
      <c r="A739" s="421" t="s">
        <v>423</v>
      </c>
      <c r="B739" s="421"/>
      <c r="C739" s="421"/>
    </row>
    <row r="740" spans="1:8" s="422" customFormat="1" ht="11.25">
      <c r="A740" s="450"/>
      <c r="B740" s="439" t="s">
        <v>132</v>
      </c>
      <c r="C740" s="439" t="s">
        <v>473</v>
      </c>
      <c r="D740" s="439" t="s">
        <v>474</v>
      </c>
      <c r="E740" s="439" t="s">
        <v>375</v>
      </c>
      <c r="F740" s="439" t="s">
        <v>9</v>
      </c>
      <c r="G740" s="439" t="s">
        <v>131</v>
      </c>
      <c r="H740" s="439" t="s">
        <v>424</v>
      </c>
    </row>
    <row r="741" spans="1:8" s="422" customFormat="1" ht="11.25">
      <c r="A741" s="451" t="s">
        <v>398</v>
      </c>
      <c r="B741" s="438">
        <v>0</v>
      </c>
      <c r="C741" s="438">
        <v>0</v>
      </c>
      <c r="D741" s="438">
        <v>0</v>
      </c>
      <c r="E741" s="438">
        <v>0</v>
      </c>
      <c r="F741" s="438">
        <v>0</v>
      </c>
      <c r="G741" s="438">
        <v>0</v>
      </c>
      <c r="H741" s="438">
        <v>0</v>
      </c>
    </row>
    <row r="742" spans="1:8" s="422" customFormat="1" ht="11.25">
      <c r="A742" s="451" t="s">
        <v>399</v>
      </c>
      <c r="B742" s="438">
        <v>0</v>
      </c>
      <c r="C742" s="438">
        <v>0</v>
      </c>
      <c r="D742" s="438">
        <v>0</v>
      </c>
      <c r="E742" s="438">
        <v>0</v>
      </c>
      <c r="F742" s="438">
        <v>0</v>
      </c>
      <c r="G742" s="438">
        <v>0</v>
      </c>
      <c r="H742" s="438">
        <v>0</v>
      </c>
    </row>
    <row r="743" spans="1:8" s="422" customFormat="1" ht="11.25">
      <c r="A743" s="451" t="s">
        <v>400</v>
      </c>
      <c r="B743" s="438">
        <v>0</v>
      </c>
      <c r="C743" s="438">
        <v>0</v>
      </c>
      <c r="D743" s="438">
        <v>0</v>
      </c>
      <c r="E743" s="438">
        <v>0</v>
      </c>
      <c r="F743" s="438">
        <v>0</v>
      </c>
      <c r="G743" s="438">
        <v>0</v>
      </c>
      <c r="H743" s="438">
        <v>0</v>
      </c>
    </row>
    <row r="744" spans="1:8" s="422" customFormat="1" ht="11.25">
      <c r="A744" s="451" t="s">
        <v>401</v>
      </c>
      <c r="B744" s="438">
        <v>0</v>
      </c>
      <c r="C744" s="438">
        <v>0</v>
      </c>
      <c r="D744" s="438">
        <v>0</v>
      </c>
      <c r="E744" s="438">
        <v>0</v>
      </c>
      <c r="F744" s="438">
        <v>0</v>
      </c>
      <c r="G744" s="438">
        <v>0</v>
      </c>
      <c r="H744" s="438">
        <v>0</v>
      </c>
    </row>
    <row r="745" spans="1:8" s="422" customFormat="1" ht="11.25"/>
    <row r="746" spans="1:8" s="422" customFormat="1" ht="11.25">
      <c r="A746" s="421" t="s">
        <v>597</v>
      </c>
      <c r="B746" s="421"/>
      <c r="C746" s="421"/>
    </row>
    <row r="747" spans="1:8" s="429" customFormat="1" ht="11.25">
      <c r="A747" s="428"/>
      <c r="B747" s="428"/>
      <c r="C747" s="428"/>
    </row>
    <row r="748" spans="1:8" s="429" customFormat="1" ht="11.25">
      <c r="A748" s="428"/>
      <c r="B748" s="428"/>
      <c r="C748" s="428"/>
    </row>
    <row r="749" spans="1:8" s="429" customFormat="1" ht="11.25">
      <c r="A749" s="428"/>
      <c r="B749" s="428"/>
      <c r="C749" s="428"/>
    </row>
    <row r="750" spans="1:8" s="422" customFormat="1" ht="11.25"/>
    <row r="751" spans="1:8" s="422" customFormat="1" ht="11.25">
      <c r="A751" s="421" t="s">
        <v>598</v>
      </c>
      <c r="B751" s="421"/>
      <c r="C751" s="421"/>
    </row>
    <row r="752" spans="1:8" s="422" customFormat="1" ht="11.25">
      <c r="A752" s="452" t="s">
        <v>599</v>
      </c>
      <c r="B752" s="447"/>
      <c r="C752" s="447"/>
      <c r="D752" s="447"/>
      <c r="E752" s="439" t="s">
        <v>375</v>
      </c>
      <c r="F752" s="439" t="s">
        <v>9</v>
      </c>
      <c r="G752" s="439" t="s">
        <v>131</v>
      </c>
      <c r="H752" s="439" t="s">
        <v>424</v>
      </c>
    </row>
    <row r="753" spans="1:8" s="422" customFormat="1" ht="11.25">
      <c r="A753" s="448"/>
      <c r="B753" s="449"/>
      <c r="C753" s="449"/>
      <c r="D753" s="449"/>
      <c r="E753" s="438">
        <v>0</v>
      </c>
      <c r="F753" s="438">
        <v>0</v>
      </c>
      <c r="G753" s="438">
        <v>0</v>
      </c>
      <c r="H753" s="438">
        <v>0</v>
      </c>
    </row>
    <row r="754" spans="1:8" s="421" customFormat="1" ht="11.25">
      <c r="A754" s="421" t="s">
        <v>391</v>
      </c>
      <c r="D754" s="421" t="s">
        <v>472</v>
      </c>
    </row>
    <row r="755" spans="1:8" s="422" customFormat="1" ht="11.25"/>
    <row r="756" spans="1:8" s="421" customFormat="1" ht="11.25" customHeight="1">
      <c r="A756" s="423" t="s">
        <v>392</v>
      </c>
      <c r="D756" s="421" t="s">
        <v>141</v>
      </c>
    </row>
    <row r="757" spans="1:8" s="421" customFormat="1" ht="7.5" customHeight="1">
      <c r="A757" s="423"/>
    </row>
    <row r="758" spans="1:8" s="421" customFormat="1" ht="11.25">
      <c r="A758" s="424" t="s">
        <v>393</v>
      </c>
      <c r="D758" s="583" t="s">
        <v>653</v>
      </c>
      <c r="E758" s="583"/>
      <c r="F758" s="583"/>
      <c r="G758" s="583"/>
      <c r="H758" s="583"/>
    </row>
    <row r="759" spans="1:8" s="421" customFormat="1" ht="7.5" customHeight="1"/>
    <row r="760" spans="1:8" s="422" customFormat="1" ht="11.25">
      <c r="A760" s="421" t="s">
        <v>170</v>
      </c>
      <c r="B760" s="421"/>
      <c r="C760" s="421"/>
      <c r="D760" s="422" t="s">
        <v>195</v>
      </c>
      <c r="E760" s="422" t="s">
        <v>615</v>
      </c>
    </row>
    <row r="761" spans="1:8" s="422" customFormat="1" ht="7.5" customHeight="1"/>
    <row r="762" spans="1:8" s="427" customFormat="1" ht="11.25">
      <c r="A762" s="425" t="s">
        <v>587</v>
      </c>
      <c r="B762" s="425"/>
      <c r="C762" s="425"/>
      <c r="D762" s="426" t="s">
        <v>654</v>
      </c>
      <c r="E762" s="584" t="s">
        <v>655</v>
      </c>
      <c r="F762" s="584"/>
      <c r="G762" s="584"/>
      <c r="H762" s="584"/>
    </row>
    <row r="763" spans="1:8" s="427" customFormat="1" ht="11.25">
      <c r="A763" s="425"/>
      <c r="B763" s="425"/>
      <c r="C763" s="425"/>
      <c r="D763" s="426" t="s">
        <v>656</v>
      </c>
      <c r="E763" s="584" t="s">
        <v>657</v>
      </c>
      <c r="F763" s="584"/>
      <c r="G763" s="584"/>
      <c r="H763" s="584"/>
    </row>
    <row r="764" spans="1:8" s="427" customFormat="1" ht="11.25">
      <c r="A764" s="425"/>
      <c r="B764" s="425"/>
      <c r="C764" s="425"/>
      <c r="D764" s="426" t="s">
        <v>656</v>
      </c>
      <c r="E764" s="584" t="s">
        <v>657</v>
      </c>
      <c r="F764" s="584"/>
      <c r="G764" s="584"/>
      <c r="H764" s="584"/>
    </row>
    <row r="765" spans="1:8" s="427" customFormat="1" ht="11.25">
      <c r="A765" s="425"/>
      <c r="B765" s="425"/>
      <c r="C765" s="425"/>
      <c r="D765" s="426"/>
      <c r="E765" s="584"/>
      <c r="F765" s="584"/>
      <c r="G765" s="584"/>
      <c r="H765" s="584"/>
    </row>
    <row r="766" spans="1:8" s="427" customFormat="1" ht="11.25">
      <c r="A766" s="425"/>
      <c r="B766" s="425"/>
      <c r="C766" s="425"/>
      <c r="D766" s="426"/>
      <c r="E766" s="584"/>
      <c r="F766" s="584"/>
      <c r="G766" s="584"/>
      <c r="H766" s="584"/>
    </row>
    <row r="767" spans="1:8" s="427" customFormat="1" ht="11.25"/>
    <row r="768" spans="1:8" s="422" customFormat="1" ht="11.25"/>
    <row r="769" spans="1:8" s="422" customFormat="1" ht="11.25">
      <c r="A769" s="421" t="s">
        <v>589</v>
      </c>
      <c r="B769" s="421"/>
      <c r="C769" s="421"/>
    </row>
    <row r="770" spans="1:8" s="429" customFormat="1" ht="11.25">
      <c r="A770" s="428"/>
      <c r="B770" s="428"/>
      <c r="C770" s="428"/>
    </row>
    <row r="771" spans="1:8" s="429" customFormat="1" ht="11.25">
      <c r="A771" s="428"/>
      <c r="B771" s="428"/>
      <c r="C771" s="428"/>
    </row>
    <row r="772" spans="1:8" s="429" customFormat="1" ht="11.25">
      <c r="A772" s="428"/>
      <c r="B772" s="428"/>
      <c r="C772" s="428"/>
    </row>
    <row r="773" spans="1:8" s="429" customFormat="1" ht="11.25">
      <c r="A773" s="428"/>
      <c r="B773" s="428"/>
      <c r="C773" s="428"/>
    </row>
    <row r="774" spans="1:8" s="429" customFormat="1" ht="11.25">
      <c r="A774" s="428"/>
      <c r="B774" s="428"/>
      <c r="C774" s="428"/>
    </row>
    <row r="775" spans="1:8" s="429" customFormat="1" ht="11.25">
      <c r="A775" s="428"/>
      <c r="B775" s="428"/>
      <c r="C775" s="428"/>
    </row>
    <row r="776" spans="1:8" s="422" customFormat="1" ht="9" customHeight="1">
      <c r="A776" s="430"/>
      <c r="B776" s="430"/>
      <c r="C776" s="430"/>
      <c r="D776" s="430"/>
      <c r="E776" s="430"/>
      <c r="F776" s="430"/>
      <c r="G776" s="430"/>
      <c r="H776" s="430"/>
    </row>
    <row r="777" spans="1:8" s="422" customFormat="1" ht="22.5" customHeight="1">
      <c r="A777" s="585" t="s">
        <v>590</v>
      </c>
      <c r="B777" s="585"/>
      <c r="C777" s="585"/>
      <c r="D777" s="586"/>
      <c r="E777" s="586"/>
      <c r="F777" s="586"/>
      <c r="G777" s="586"/>
      <c r="H777" s="586"/>
    </row>
    <row r="778" spans="1:8" s="429" customFormat="1" ht="11.25">
      <c r="A778" s="431"/>
      <c r="B778" s="431"/>
      <c r="C778" s="431"/>
      <c r="D778" s="432"/>
      <c r="E778" s="432"/>
      <c r="F778" s="432"/>
      <c r="G778" s="432"/>
      <c r="H778" s="432"/>
    </row>
    <row r="779" spans="1:8" s="429" customFormat="1" ht="11.25">
      <c r="A779" s="431"/>
      <c r="B779" s="431"/>
      <c r="C779" s="431"/>
      <c r="D779" s="432"/>
      <c r="E779" s="432"/>
      <c r="F779" s="432"/>
      <c r="G779" s="432"/>
      <c r="H779" s="432"/>
    </row>
    <row r="780" spans="1:8" s="429" customFormat="1" ht="11.25">
      <c r="A780" s="431"/>
      <c r="B780" s="431"/>
      <c r="C780" s="431"/>
      <c r="D780" s="432"/>
      <c r="E780" s="432"/>
      <c r="F780" s="432"/>
      <c r="G780" s="432"/>
      <c r="H780" s="432"/>
    </row>
    <row r="781" spans="1:8" s="429" customFormat="1" ht="11.25">
      <c r="A781" s="431"/>
      <c r="B781" s="431"/>
      <c r="C781" s="431"/>
      <c r="D781" s="432"/>
      <c r="E781" s="432"/>
      <c r="F781" s="432"/>
      <c r="G781" s="432"/>
      <c r="H781" s="432"/>
    </row>
    <row r="782" spans="1:8" s="422" customFormat="1" ht="9" customHeight="1"/>
    <row r="783" spans="1:8" s="422" customFormat="1" ht="11.25">
      <c r="A783" s="421" t="s">
        <v>591</v>
      </c>
      <c r="B783" s="421"/>
      <c r="C783" s="421"/>
    </row>
    <row r="784" spans="1:8" s="429" customFormat="1" ht="11.25">
      <c r="A784" s="428"/>
      <c r="B784" s="428"/>
      <c r="C784" s="428"/>
    </row>
    <row r="785" spans="1:8" s="429" customFormat="1" ht="11.25">
      <c r="A785" s="428"/>
      <c r="B785" s="428"/>
      <c r="C785" s="428"/>
    </row>
    <row r="786" spans="1:8" s="429" customFormat="1" ht="11.25">
      <c r="A786" s="428"/>
      <c r="B786" s="428"/>
      <c r="C786" s="428"/>
    </row>
    <row r="787" spans="1:8" s="429" customFormat="1" ht="11.25">
      <c r="A787" s="428"/>
      <c r="B787" s="428"/>
      <c r="C787" s="428"/>
    </row>
    <row r="788" spans="1:8" s="429" customFormat="1" ht="11.25">
      <c r="A788" s="428"/>
      <c r="B788" s="428"/>
      <c r="C788" s="428"/>
    </row>
    <row r="789" spans="1:8" s="429" customFormat="1" ht="11.25">
      <c r="A789" s="428"/>
      <c r="B789" s="428"/>
      <c r="C789" s="428"/>
    </row>
    <row r="790" spans="1:8" s="422" customFormat="1" ht="9" customHeight="1"/>
    <row r="791" spans="1:8" s="422" customFormat="1" ht="11.25">
      <c r="A791" s="433" t="s">
        <v>592</v>
      </c>
      <c r="B791" s="434"/>
      <c r="C791" s="434"/>
      <c r="D791" s="434"/>
      <c r="E791" s="434"/>
      <c r="F791" s="434"/>
      <c r="G791" s="434"/>
      <c r="H791" s="434"/>
    </row>
    <row r="792" spans="1:8" s="429" customFormat="1" ht="11.25">
      <c r="A792" s="435"/>
      <c r="B792" s="436"/>
      <c r="C792" s="436"/>
      <c r="D792" s="436"/>
      <c r="E792" s="436"/>
      <c r="F792" s="436"/>
      <c r="G792" s="436"/>
      <c r="H792" s="436"/>
    </row>
    <row r="793" spans="1:8" s="429" customFormat="1" ht="11.25">
      <c r="A793" s="435"/>
      <c r="B793" s="436"/>
      <c r="C793" s="436"/>
      <c r="D793" s="436"/>
      <c r="E793" s="436"/>
      <c r="F793" s="436"/>
      <c r="G793" s="436"/>
      <c r="H793" s="436"/>
    </row>
    <row r="794" spans="1:8" s="422" customFormat="1" ht="11.25">
      <c r="A794" s="437"/>
      <c r="B794" s="437"/>
      <c r="C794" s="437"/>
      <c r="D794" s="437"/>
      <c r="E794" s="437"/>
      <c r="F794" s="437"/>
      <c r="G794" s="437"/>
      <c r="H794" s="437"/>
    </row>
    <row r="795" spans="1:8" s="422" customFormat="1" ht="11.25">
      <c r="A795" s="421" t="s">
        <v>593</v>
      </c>
      <c r="B795" s="421"/>
      <c r="C795" s="421"/>
    </row>
    <row r="796" spans="1:8" s="422" customFormat="1" ht="11.25">
      <c r="A796" s="438"/>
      <c r="B796" s="439" t="s">
        <v>132</v>
      </c>
      <c r="C796" s="439" t="s">
        <v>473</v>
      </c>
      <c r="D796" s="439" t="s">
        <v>474</v>
      </c>
      <c r="E796" s="439" t="s">
        <v>375</v>
      </c>
      <c r="F796" s="439" t="s">
        <v>9</v>
      </c>
      <c r="G796" s="439" t="s">
        <v>131</v>
      </c>
      <c r="H796" s="439" t="s">
        <v>424</v>
      </c>
    </row>
    <row r="797" spans="1:8" s="422" customFormat="1" ht="11.25">
      <c r="A797" s="439" t="s">
        <v>394</v>
      </c>
      <c r="B797" s="438">
        <v>3044156.09</v>
      </c>
      <c r="C797" s="438">
        <v>6014562.3799999999</v>
      </c>
      <c r="D797" s="438">
        <v>2070558.07</v>
      </c>
      <c r="E797" s="438">
        <v>1999514.0238999999</v>
      </c>
      <c r="F797" s="438">
        <v>1866813.7638999999</v>
      </c>
      <c r="G797" s="438">
        <v>1882779.5793599999</v>
      </c>
      <c r="H797" s="438">
        <v>1888481.6563099998</v>
      </c>
    </row>
    <row r="798" spans="1:8" s="422" customFormat="1" ht="11.25">
      <c r="A798" s="439" t="s">
        <v>395</v>
      </c>
      <c r="B798" s="438">
        <v>-1491348.9500000002</v>
      </c>
      <c r="C798" s="438">
        <v>-3739879.25</v>
      </c>
      <c r="D798" s="438">
        <v>-243319.8</v>
      </c>
      <c r="E798" s="438">
        <v>-243319.8</v>
      </c>
      <c r="F798" s="438">
        <v>-243319.8</v>
      </c>
      <c r="G798" s="438">
        <v>-243319.8</v>
      </c>
      <c r="H798" s="438">
        <v>-243319.8</v>
      </c>
    </row>
    <row r="799" spans="1:8" s="422" customFormat="1" ht="11.25">
      <c r="A799" s="439" t="s">
        <v>396</v>
      </c>
      <c r="B799" s="438">
        <v>1552807.1399999997</v>
      </c>
      <c r="C799" s="438">
        <v>2274683.13</v>
      </c>
      <c r="D799" s="438">
        <v>1827238.27</v>
      </c>
      <c r="E799" s="438">
        <v>1756194.2238999999</v>
      </c>
      <c r="F799" s="438">
        <v>1623493.9638999999</v>
      </c>
      <c r="G799" s="438">
        <v>1639459.7793599998</v>
      </c>
      <c r="H799" s="438">
        <v>1645161.8563099997</v>
      </c>
    </row>
    <row r="800" spans="1:8" s="442" customFormat="1" ht="11.25">
      <c r="A800" s="440" t="s">
        <v>397</v>
      </c>
      <c r="B800" s="441">
        <v>0.48990554554645072</v>
      </c>
      <c r="C800" s="441">
        <v>0.62180405052179377</v>
      </c>
      <c r="D800" s="441">
        <v>0.11751411540947508</v>
      </c>
      <c r="E800" s="441">
        <v>0.12168946908679894</v>
      </c>
      <c r="F800" s="441">
        <v>0.13033962182262651</v>
      </c>
      <c r="G800" s="441">
        <v>0.12923435258561175</v>
      </c>
      <c r="H800" s="441">
        <v>0.12884414269367853</v>
      </c>
    </row>
    <row r="801" spans="1:8" s="422" customFormat="1" ht="11.25"/>
    <row r="802" spans="1:8" s="422" customFormat="1" ht="11.25">
      <c r="A802" s="443" t="s">
        <v>594</v>
      </c>
      <c r="B802" s="443"/>
      <c r="C802" s="444"/>
    </row>
    <row r="803" spans="1:8" s="422" customFormat="1" ht="11.25">
      <c r="A803" s="445" t="s">
        <v>595</v>
      </c>
      <c r="B803" s="446"/>
      <c r="C803" s="447"/>
      <c r="D803" s="439" t="s">
        <v>474</v>
      </c>
      <c r="E803" s="439" t="s">
        <v>375</v>
      </c>
      <c r="F803" s="439" t="s">
        <v>9</v>
      </c>
      <c r="G803" s="439" t="s">
        <v>131</v>
      </c>
      <c r="H803" s="439" t="s">
        <v>424</v>
      </c>
    </row>
    <row r="804" spans="1:8" s="422" customFormat="1" ht="11.25">
      <c r="A804" s="448" t="s">
        <v>596</v>
      </c>
      <c r="B804" s="449"/>
      <c r="C804" s="449"/>
      <c r="D804" s="438"/>
      <c r="E804" s="438"/>
      <c r="F804" s="438"/>
      <c r="G804" s="438"/>
      <c r="H804" s="438"/>
    </row>
    <row r="805" spans="1:8" s="422" customFormat="1" ht="11.25">
      <c r="A805" s="448"/>
      <c r="B805" s="449"/>
      <c r="C805" s="449"/>
      <c r="D805" s="438"/>
      <c r="E805" s="438"/>
      <c r="F805" s="438"/>
      <c r="G805" s="438"/>
      <c r="H805" s="438"/>
    </row>
    <row r="806" spans="1:8" s="422" customFormat="1" ht="11.25">
      <c r="A806" s="448"/>
      <c r="B806" s="449"/>
      <c r="C806" s="449"/>
      <c r="D806" s="438"/>
      <c r="E806" s="438"/>
      <c r="F806" s="438"/>
      <c r="G806" s="438"/>
      <c r="H806" s="438"/>
    </row>
    <row r="807" spans="1:8" s="422" customFormat="1" ht="11.25"/>
    <row r="808" spans="1:8" s="422" customFormat="1" ht="11.25">
      <c r="A808" s="421" t="s">
        <v>423</v>
      </c>
      <c r="B808" s="421"/>
      <c r="C808" s="421"/>
    </row>
    <row r="809" spans="1:8" s="422" customFormat="1" ht="11.25">
      <c r="A809" s="450"/>
      <c r="B809" s="439" t="s">
        <v>132</v>
      </c>
      <c r="C809" s="439" t="s">
        <v>473</v>
      </c>
      <c r="D809" s="439" t="s">
        <v>474</v>
      </c>
      <c r="E809" s="439" t="s">
        <v>375</v>
      </c>
      <c r="F809" s="439" t="s">
        <v>9</v>
      </c>
      <c r="G809" s="439" t="s">
        <v>131</v>
      </c>
      <c r="H809" s="439" t="s">
        <v>424</v>
      </c>
    </row>
    <row r="810" spans="1:8" s="422" customFormat="1" ht="11.25">
      <c r="A810" s="451" t="s">
        <v>398</v>
      </c>
      <c r="B810" s="438">
        <v>0</v>
      </c>
      <c r="C810" s="438">
        <v>0</v>
      </c>
      <c r="D810" s="438">
        <v>0</v>
      </c>
      <c r="E810" s="438">
        <v>0</v>
      </c>
      <c r="F810" s="438">
        <v>0</v>
      </c>
      <c r="G810" s="438">
        <v>0</v>
      </c>
      <c r="H810" s="438">
        <v>0</v>
      </c>
    </row>
    <row r="811" spans="1:8" s="422" customFormat="1" ht="11.25">
      <c r="A811" s="451" t="s">
        <v>399</v>
      </c>
      <c r="B811" s="438">
        <v>0</v>
      </c>
      <c r="C811" s="438">
        <v>0</v>
      </c>
      <c r="D811" s="438">
        <v>0</v>
      </c>
      <c r="E811" s="438">
        <v>0</v>
      </c>
      <c r="F811" s="438">
        <v>0</v>
      </c>
      <c r="G811" s="438">
        <v>0</v>
      </c>
      <c r="H811" s="438">
        <v>0</v>
      </c>
    </row>
    <row r="812" spans="1:8" s="422" customFormat="1" ht="11.25">
      <c r="A812" s="451" t="s">
        <v>400</v>
      </c>
      <c r="B812" s="438">
        <v>0</v>
      </c>
      <c r="C812" s="438">
        <v>0</v>
      </c>
      <c r="D812" s="438">
        <v>0</v>
      </c>
      <c r="E812" s="438">
        <v>0</v>
      </c>
      <c r="F812" s="438">
        <v>0</v>
      </c>
      <c r="G812" s="438">
        <v>0</v>
      </c>
      <c r="H812" s="438">
        <v>0</v>
      </c>
    </row>
    <row r="813" spans="1:8" s="422" customFormat="1" ht="11.25">
      <c r="A813" s="451" t="s">
        <v>401</v>
      </c>
      <c r="B813" s="438">
        <v>0</v>
      </c>
      <c r="C813" s="438">
        <v>0</v>
      </c>
      <c r="D813" s="438">
        <v>0</v>
      </c>
      <c r="E813" s="438">
        <v>0</v>
      </c>
      <c r="F813" s="438">
        <v>0</v>
      </c>
      <c r="G813" s="438">
        <v>0</v>
      </c>
      <c r="H813" s="438">
        <v>0</v>
      </c>
    </row>
    <row r="814" spans="1:8" s="422" customFormat="1" ht="11.25"/>
    <row r="815" spans="1:8" s="422" customFormat="1" ht="11.25">
      <c r="A815" s="421" t="s">
        <v>597</v>
      </c>
      <c r="B815" s="421"/>
      <c r="C815" s="421"/>
    </row>
    <row r="816" spans="1:8" s="429" customFormat="1" ht="11.25">
      <c r="A816" s="428"/>
      <c r="B816" s="428"/>
      <c r="C816" s="428"/>
    </row>
    <row r="817" spans="1:8" s="429" customFormat="1" ht="11.25">
      <c r="A817" s="428"/>
      <c r="B817" s="428"/>
      <c r="C817" s="428"/>
    </row>
    <row r="818" spans="1:8" s="429" customFormat="1" ht="11.25">
      <c r="A818" s="428"/>
      <c r="B818" s="428"/>
      <c r="C818" s="428"/>
    </row>
    <row r="819" spans="1:8" s="422" customFormat="1" ht="11.25"/>
    <row r="820" spans="1:8" s="422" customFormat="1" ht="11.25">
      <c r="A820" s="421" t="s">
        <v>598</v>
      </c>
      <c r="B820" s="421"/>
      <c r="C820" s="421"/>
    </row>
    <row r="821" spans="1:8" s="422" customFormat="1" ht="11.25">
      <c r="A821" s="452" t="s">
        <v>599</v>
      </c>
      <c r="B821" s="447"/>
      <c r="C821" s="447"/>
      <c r="D821" s="447"/>
      <c r="E821" s="439" t="s">
        <v>375</v>
      </c>
      <c r="F821" s="439" t="s">
        <v>9</v>
      </c>
      <c r="G821" s="439" t="s">
        <v>131</v>
      </c>
      <c r="H821" s="439" t="s">
        <v>424</v>
      </c>
    </row>
    <row r="822" spans="1:8" s="422" customFormat="1" ht="11.25">
      <c r="A822" s="448"/>
      <c r="B822" s="449"/>
      <c r="C822" s="449"/>
      <c r="D822" s="449"/>
      <c r="E822" s="438">
        <v>0</v>
      </c>
      <c r="F822" s="438">
        <v>0</v>
      </c>
      <c r="G822" s="438">
        <v>0</v>
      </c>
      <c r="H822" s="438">
        <v>0</v>
      </c>
    </row>
    <row r="823" spans="1:8" s="422" customFormat="1" ht="11.25">
      <c r="A823" s="448"/>
      <c r="B823" s="449"/>
      <c r="C823" s="449"/>
      <c r="D823" s="449"/>
      <c r="E823" s="438">
        <v>0</v>
      </c>
      <c r="F823" s="438">
        <v>0</v>
      </c>
      <c r="G823" s="438">
        <v>0</v>
      </c>
      <c r="H823" s="438">
        <v>0</v>
      </c>
    </row>
    <row r="824" spans="1:8" s="422" customFormat="1" ht="11.25">
      <c r="A824" s="448"/>
      <c r="B824" s="449"/>
      <c r="C824" s="449"/>
      <c r="D824" s="449"/>
      <c r="E824" s="438">
        <v>0</v>
      </c>
      <c r="F824" s="438">
        <v>0</v>
      </c>
      <c r="G824" s="438">
        <v>0</v>
      </c>
      <c r="H824" s="438">
        <v>0</v>
      </c>
    </row>
    <row r="825" spans="1:8" s="421" customFormat="1" ht="11.25">
      <c r="A825" s="421" t="s">
        <v>391</v>
      </c>
      <c r="D825" s="421" t="s">
        <v>472</v>
      </c>
    </row>
    <row r="826" spans="1:8" s="422" customFormat="1" ht="11.25"/>
    <row r="827" spans="1:8" s="421" customFormat="1" ht="11.25" customHeight="1">
      <c r="A827" s="423" t="s">
        <v>392</v>
      </c>
      <c r="D827" s="421" t="s">
        <v>141</v>
      </c>
    </row>
    <row r="828" spans="1:8" s="421" customFormat="1" ht="11.25">
      <c r="A828" s="423"/>
    </row>
    <row r="829" spans="1:8" s="421" customFormat="1" ht="11.25">
      <c r="A829" s="424" t="s">
        <v>393</v>
      </c>
      <c r="D829" s="583" t="s">
        <v>653</v>
      </c>
      <c r="E829" s="583"/>
      <c r="F829" s="583"/>
      <c r="G829" s="583"/>
      <c r="H829" s="583"/>
    </row>
    <row r="830" spans="1:8" s="421" customFormat="1" ht="11.25"/>
    <row r="831" spans="1:8" s="422" customFormat="1" ht="11.25">
      <c r="A831" s="421" t="s">
        <v>170</v>
      </c>
      <c r="B831" s="421"/>
      <c r="C831" s="421"/>
      <c r="D831" s="422" t="s">
        <v>196</v>
      </c>
      <c r="E831" s="422" t="s">
        <v>658</v>
      </c>
    </row>
    <row r="832" spans="1:8" s="422" customFormat="1" ht="7.5" customHeight="1"/>
    <row r="833" spans="1:8" s="427" customFormat="1" ht="11.25">
      <c r="A833" s="425" t="s">
        <v>587</v>
      </c>
      <c r="B833" s="425"/>
      <c r="C833" s="425"/>
      <c r="D833" s="426" t="s">
        <v>659</v>
      </c>
      <c r="E833" s="584" t="s">
        <v>660</v>
      </c>
      <c r="F833" s="584"/>
      <c r="G833" s="584"/>
      <c r="H833" s="584"/>
    </row>
    <row r="834" spans="1:8" s="427" customFormat="1" ht="11.25">
      <c r="A834" s="425"/>
      <c r="B834" s="425"/>
      <c r="C834" s="425"/>
      <c r="D834" s="426" t="s">
        <v>661</v>
      </c>
      <c r="E834" s="584" t="s">
        <v>662</v>
      </c>
      <c r="F834" s="584"/>
      <c r="G834" s="584"/>
      <c r="H834" s="584"/>
    </row>
    <row r="835" spans="1:8" s="427" customFormat="1" ht="11.25">
      <c r="A835" s="425"/>
      <c r="B835" s="425"/>
      <c r="C835" s="425"/>
      <c r="D835" s="426" t="s">
        <v>663</v>
      </c>
      <c r="E835" s="584" t="s">
        <v>664</v>
      </c>
      <c r="F835" s="584"/>
      <c r="G835" s="584"/>
      <c r="H835" s="584"/>
    </row>
    <row r="836" spans="1:8" s="427" customFormat="1" ht="11.25">
      <c r="A836" s="425"/>
      <c r="B836" s="425"/>
      <c r="C836" s="425"/>
      <c r="D836" s="426" t="s">
        <v>665</v>
      </c>
      <c r="E836" s="584" t="s">
        <v>666</v>
      </c>
      <c r="F836" s="584"/>
      <c r="G836" s="584"/>
      <c r="H836" s="584"/>
    </row>
    <row r="837" spans="1:8" s="427" customFormat="1" ht="11.25">
      <c r="A837" s="425"/>
      <c r="B837" s="425"/>
      <c r="C837" s="425"/>
      <c r="D837" s="426"/>
      <c r="E837" s="584"/>
      <c r="F837" s="584"/>
      <c r="G837" s="584"/>
      <c r="H837" s="584"/>
    </row>
    <row r="838" spans="1:8" s="427" customFormat="1" ht="11.25"/>
    <row r="839" spans="1:8" s="422" customFormat="1" ht="11.25"/>
    <row r="840" spans="1:8" s="422" customFormat="1" ht="11.25">
      <c r="A840" s="421" t="s">
        <v>589</v>
      </c>
      <c r="B840" s="421"/>
      <c r="C840" s="421"/>
    </row>
    <row r="841" spans="1:8" s="429" customFormat="1" ht="11.25">
      <c r="A841" s="428"/>
      <c r="B841" s="428"/>
      <c r="C841" s="428"/>
    </row>
    <row r="842" spans="1:8" s="429" customFormat="1" ht="11.25">
      <c r="A842" s="428"/>
      <c r="B842" s="428"/>
      <c r="C842" s="428"/>
    </row>
    <row r="843" spans="1:8" s="429" customFormat="1" ht="11.25">
      <c r="A843" s="428"/>
      <c r="B843" s="428"/>
      <c r="C843" s="428"/>
    </row>
    <row r="844" spans="1:8" s="429" customFormat="1" ht="11.25">
      <c r="A844" s="428"/>
      <c r="B844" s="428"/>
      <c r="C844" s="428"/>
    </row>
    <row r="845" spans="1:8" s="429" customFormat="1" ht="11.25">
      <c r="A845" s="428"/>
      <c r="B845" s="428"/>
      <c r="C845" s="428"/>
    </row>
    <row r="846" spans="1:8" s="429" customFormat="1" ht="11.25">
      <c r="A846" s="428"/>
      <c r="B846" s="428"/>
      <c r="C846" s="428"/>
    </row>
    <row r="847" spans="1:8" s="422" customFormat="1" ht="9" customHeight="1">
      <c r="A847" s="430"/>
      <c r="B847" s="430"/>
      <c r="C847" s="430"/>
      <c r="D847" s="430"/>
      <c r="E847" s="430"/>
      <c r="F847" s="430"/>
      <c r="G847" s="430"/>
      <c r="H847" s="430"/>
    </row>
    <row r="848" spans="1:8" s="422" customFormat="1" ht="22.5" customHeight="1">
      <c r="A848" s="585" t="s">
        <v>590</v>
      </c>
      <c r="B848" s="585"/>
      <c r="C848" s="585"/>
      <c r="D848" s="586"/>
      <c r="E848" s="586"/>
      <c r="F848" s="586"/>
      <c r="G848" s="586"/>
      <c r="H848" s="586"/>
    </row>
    <row r="849" spans="1:8" s="429" customFormat="1" ht="11.25">
      <c r="A849" s="431"/>
      <c r="B849" s="431"/>
      <c r="C849" s="431"/>
      <c r="D849" s="432"/>
      <c r="E849" s="432"/>
      <c r="F849" s="432"/>
      <c r="G849" s="432"/>
      <c r="H849" s="432"/>
    </row>
    <row r="850" spans="1:8" s="429" customFormat="1" ht="11.25">
      <c r="A850" s="431"/>
      <c r="B850" s="431"/>
      <c r="C850" s="431"/>
      <c r="D850" s="432"/>
      <c r="E850" s="432"/>
      <c r="F850" s="432"/>
      <c r="G850" s="432"/>
      <c r="H850" s="432"/>
    </row>
    <row r="851" spans="1:8" s="429" customFormat="1" ht="11.25">
      <c r="A851" s="431"/>
      <c r="B851" s="431"/>
      <c r="C851" s="431"/>
      <c r="D851" s="432"/>
      <c r="E851" s="432"/>
      <c r="F851" s="432"/>
      <c r="G851" s="432"/>
      <c r="H851" s="432"/>
    </row>
    <row r="852" spans="1:8" s="429" customFormat="1" ht="11.25">
      <c r="A852" s="431"/>
      <c r="B852" s="431"/>
      <c r="C852" s="431"/>
      <c r="D852" s="432"/>
      <c r="E852" s="432"/>
      <c r="F852" s="432"/>
      <c r="G852" s="432"/>
      <c r="H852" s="432"/>
    </row>
    <row r="853" spans="1:8" s="422" customFormat="1" ht="9" customHeight="1"/>
    <row r="854" spans="1:8" s="422" customFormat="1" ht="11.25">
      <c r="A854" s="421" t="s">
        <v>591</v>
      </c>
      <c r="B854" s="421"/>
      <c r="C854" s="421"/>
    </row>
    <row r="855" spans="1:8" s="429" customFormat="1" ht="11.25">
      <c r="A855" s="428"/>
      <c r="B855" s="428"/>
      <c r="C855" s="428"/>
    </row>
    <row r="856" spans="1:8" s="429" customFormat="1" ht="11.25">
      <c r="A856" s="428"/>
      <c r="B856" s="428"/>
      <c r="C856" s="428"/>
    </row>
    <row r="857" spans="1:8" s="429" customFormat="1" ht="11.25">
      <c r="A857" s="428"/>
      <c r="B857" s="428"/>
      <c r="C857" s="428"/>
    </row>
    <row r="858" spans="1:8" s="429" customFormat="1" ht="11.25">
      <c r="A858" s="428"/>
      <c r="B858" s="428"/>
      <c r="C858" s="428"/>
    </row>
    <row r="859" spans="1:8" s="429" customFormat="1" ht="11.25">
      <c r="A859" s="428"/>
      <c r="B859" s="428"/>
      <c r="C859" s="428"/>
    </row>
    <row r="860" spans="1:8" s="422" customFormat="1" ht="9" customHeight="1"/>
    <row r="861" spans="1:8" s="422" customFormat="1" ht="11.25">
      <c r="A861" s="433" t="s">
        <v>592</v>
      </c>
      <c r="B861" s="434"/>
      <c r="C861" s="434"/>
      <c r="D861" s="434"/>
      <c r="E861" s="434"/>
      <c r="F861" s="434"/>
      <c r="G861" s="434"/>
      <c r="H861" s="434"/>
    </row>
    <row r="862" spans="1:8" s="429" customFormat="1" ht="11.25">
      <c r="A862" s="435"/>
      <c r="B862" s="436"/>
      <c r="C862" s="436"/>
      <c r="D862" s="436"/>
      <c r="E862" s="436"/>
      <c r="F862" s="436"/>
      <c r="G862" s="436"/>
      <c r="H862" s="436"/>
    </row>
    <row r="863" spans="1:8" s="429" customFormat="1" ht="11.25">
      <c r="A863" s="435"/>
      <c r="B863" s="436"/>
      <c r="C863" s="436"/>
      <c r="D863" s="436"/>
      <c r="E863" s="436"/>
      <c r="F863" s="436"/>
      <c r="G863" s="436"/>
      <c r="H863" s="436"/>
    </row>
    <row r="864" spans="1:8" s="422" customFormat="1" ht="11.25">
      <c r="A864" s="437"/>
      <c r="B864" s="437"/>
      <c r="C864" s="437"/>
      <c r="D864" s="437"/>
      <c r="E864" s="437"/>
      <c r="F864" s="437"/>
      <c r="G864" s="437"/>
      <c r="H864" s="437"/>
    </row>
    <row r="865" spans="1:8" s="422" customFormat="1" ht="11.25">
      <c r="A865" s="421" t="s">
        <v>593</v>
      </c>
      <c r="B865" s="421"/>
      <c r="C865" s="421"/>
    </row>
    <row r="866" spans="1:8" s="422" customFormat="1" ht="11.25">
      <c r="A866" s="438"/>
      <c r="B866" s="439" t="s">
        <v>132</v>
      </c>
      <c r="C866" s="439" t="s">
        <v>473</v>
      </c>
      <c r="D866" s="439" t="s">
        <v>474</v>
      </c>
      <c r="E866" s="439" t="s">
        <v>375</v>
      </c>
      <c r="F866" s="439" t="s">
        <v>9</v>
      </c>
      <c r="G866" s="439" t="s">
        <v>131</v>
      </c>
      <c r="H866" s="439" t="s">
        <v>424</v>
      </c>
    </row>
    <row r="867" spans="1:8" s="422" customFormat="1" ht="11.25">
      <c r="A867" s="439" t="s">
        <v>394</v>
      </c>
      <c r="B867" s="438">
        <v>1275701.69</v>
      </c>
      <c r="C867" s="438">
        <v>1272524.21</v>
      </c>
      <c r="D867" s="438">
        <v>1300362.1099999999</v>
      </c>
      <c r="E867" s="438">
        <v>1326581.9595999999</v>
      </c>
      <c r="F867" s="438">
        <v>1336631.9595999999</v>
      </c>
      <c r="G867" s="438">
        <v>1362179.7490399999</v>
      </c>
      <c r="H867" s="438">
        <v>1377859.6738399998</v>
      </c>
    </row>
    <row r="868" spans="1:8" s="422" customFormat="1" ht="11.25">
      <c r="A868" s="439" t="s">
        <v>395</v>
      </c>
      <c r="B868" s="438">
        <v>-84218.15</v>
      </c>
      <c r="C868" s="438">
        <v>-84147.43</v>
      </c>
      <c r="D868" s="438">
        <v>-50658.5</v>
      </c>
      <c r="E868" s="438">
        <v>-35598.5</v>
      </c>
      <c r="F868" s="438">
        <v>-35598.5</v>
      </c>
      <c r="G868" s="438">
        <v>-35598.5</v>
      </c>
      <c r="H868" s="438">
        <v>-35598.5</v>
      </c>
    </row>
    <row r="869" spans="1:8" s="422" customFormat="1" ht="11.25">
      <c r="A869" s="439" t="s">
        <v>396</v>
      </c>
      <c r="B869" s="438">
        <v>1191483.54</v>
      </c>
      <c r="C869" s="438">
        <v>1188376.78</v>
      </c>
      <c r="D869" s="438">
        <v>1249703.6099999999</v>
      </c>
      <c r="E869" s="438">
        <v>1290983.4595999999</v>
      </c>
      <c r="F869" s="438">
        <v>1301033.4595999999</v>
      </c>
      <c r="G869" s="438">
        <v>1326581.2490399999</v>
      </c>
      <c r="H869" s="438">
        <v>1342261.1738399998</v>
      </c>
    </row>
    <row r="870" spans="1:8" s="442" customFormat="1" ht="11.25">
      <c r="A870" s="440" t="s">
        <v>397</v>
      </c>
      <c r="B870" s="441">
        <v>6.6017118782683432E-2</v>
      </c>
      <c r="C870" s="441">
        <v>6.6126388275159015E-2</v>
      </c>
      <c r="D870" s="441">
        <v>3.8957225537738872E-2</v>
      </c>
      <c r="E870" s="441">
        <v>2.6834753587885292E-2</v>
      </c>
      <c r="F870" s="441">
        <v>2.6632985800109997E-2</v>
      </c>
      <c r="G870" s="441">
        <v>2.6133482035016409E-2</v>
      </c>
      <c r="H870" s="441">
        <v>2.5836085252999269E-2</v>
      </c>
    </row>
    <row r="871" spans="1:8" s="422" customFormat="1" ht="11.25"/>
    <row r="872" spans="1:8" s="422" customFormat="1" ht="11.25">
      <c r="A872" s="443" t="s">
        <v>594</v>
      </c>
      <c r="B872" s="443"/>
      <c r="C872" s="444"/>
    </row>
    <row r="873" spans="1:8" s="422" customFormat="1" ht="11.25">
      <c r="A873" s="445" t="s">
        <v>595</v>
      </c>
      <c r="B873" s="446"/>
      <c r="C873" s="447"/>
      <c r="D873" s="439" t="s">
        <v>474</v>
      </c>
      <c r="E873" s="439" t="s">
        <v>375</v>
      </c>
      <c r="F873" s="439" t="s">
        <v>9</v>
      </c>
      <c r="G873" s="439" t="s">
        <v>131</v>
      </c>
      <c r="H873" s="439" t="s">
        <v>424</v>
      </c>
    </row>
    <row r="874" spans="1:8" s="422" customFormat="1" ht="11.25">
      <c r="A874" s="448" t="s">
        <v>596</v>
      </c>
      <c r="B874" s="449"/>
      <c r="C874" s="449"/>
      <c r="D874" s="438"/>
      <c r="E874" s="438"/>
      <c r="F874" s="438"/>
      <c r="G874" s="438"/>
      <c r="H874" s="438"/>
    </row>
    <row r="875" spans="1:8" s="422" customFormat="1" ht="11.25">
      <c r="A875" s="448"/>
      <c r="B875" s="449"/>
      <c r="C875" s="449"/>
      <c r="D875" s="438"/>
      <c r="E875" s="438"/>
      <c r="F875" s="438"/>
      <c r="G875" s="438"/>
      <c r="H875" s="438"/>
    </row>
    <row r="876" spans="1:8" s="422" customFormat="1" ht="11.25">
      <c r="A876" s="448"/>
      <c r="B876" s="449"/>
      <c r="C876" s="449"/>
      <c r="D876" s="438"/>
      <c r="E876" s="438"/>
      <c r="F876" s="438"/>
      <c r="G876" s="438"/>
      <c r="H876" s="438"/>
    </row>
    <row r="877" spans="1:8" s="422" customFormat="1" ht="11.25"/>
    <row r="878" spans="1:8" s="422" customFormat="1" ht="11.25">
      <c r="A878" s="421" t="s">
        <v>423</v>
      </c>
      <c r="B878" s="421"/>
      <c r="C878" s="421"/>
    </row>
    <row r="879" spans="1:8" s="422" customFormat="1" ht="11.25">
      <c r="A879" s="450"/>
      <c r="B879" s="439" t="s">
        <v>132</v>
      </c>
      <c r="C879" s="439" t="s">
        <v>473</v>
      </c>
      <c r="D879" s="439" t="s">
        <v>474</v>
      </c>
      <c r="E879" s="439" t="s">
        <v>375</v>
      </c>
      <c r="F879" s="439" t="s">
        <v>9</v>
      </c>
      <c r="G879" s="439" t="s">
        <v>131</v>
      </c>
      <c r="H879" s="439" t="s">
        <v>424</v>
      </c>
    </row>
    <row r="880" spans="1:8" s="422" customFormat="1" ht="11.25">
      <c r="A880" s="451" t="s">
        <v>398</v>
      </c>
      <c r="B880" s="438">
        <v>0</v>
      </c>
      <c r="C880" s="438">
        <v>0</v>
      </c>
      <c r="D880" s="438">
        <v>0</v>
      </c>
      <c r="E880" s="438">
        <v>0</v>
      </c>
      <c r="F880" s="438">
        <v>0</v>
      </c>
      <c r="G880" s="438">
        <v>0</v>
      </c>
      <c r="H880" s="438">
        <v>0</v>
      </c>
    </row>
    <row r="881" spans="1:8" s="422" customFormat="1" ht="11.25">
      <c r="A881" s="451" t="s">
        <v>399</v>
      </c>
      <c r="B881" s="438">
        <v>0</v>
      </c>
      <c r="C881" s="438">
        <v>0</v>
      </c>
      <c r="D881" s="438">
        <v>0</v>
      </c>
      <c r="E881" s="438">
        <v>0</v>
      </c>
      <c r="F881" s="438">
        <v>0</v>
      </c>
      <c r="G881" s="438">
        <v>0</v>
      </c>
      <c r="H881" s="438">
        <v>0</v>
      </c>
    </row>
    <row r="882" spans="1:8" s="422" customFormat="1" ht="11.25">
      <c r="A882" s="451" t="s">
        <v>400</v>
      </c>
      <c r="B882" s="438">
        <v>0</v>
      </c>
      <c r="C882" s="438">
        <v>0</v>
      </c>
      <c r="D882" s="438">
        <v>0</v>
      </c>
      <c r="E882" s="438">
        <v>0</v>
      </c>
      <c r="F882" s="438">
        <v>0</v>
      </c>
      <c r="G882" s="438">
        <v>0</v>
      </c>
      <c r="H882" s="438">
        <v>0</v>
      </c>
    </row>
    <row r="883" spans="1:8" s="422" customFormat="1" ht="11.25">
      <c r="A883" s="451" t="s">
        <v>401</v>
      </c>
      <c r="B883" s="438">
        <v>0</v>
      </c>
      <c r="C883" s="438">
        <v>0</v>
      </c>
      <c r="D883" s="438">
        <v>0</v>
      </c>
      <c r="E883" s="438">
        <v>0</v>
      </c>
      <c r="F883" s="438">
        <v>0</v>
      </c>
      <c r="G883" s="438">
        <v>0</v>
      </c>
      <c r="H883" s="438">
        <v>0</v>
      </c>
    </row>
    <row r="884" spans="1:8" s="422" customFormat="1" ht="11.25"/>
    <row r="885" spans="1:8" s="422" customFormat="1" ht="11.25">
      <c r="A885" s="421" t="s">
        <v>597</v>
      </c>
      <c r="B885" s="421"/>
      <c r="C885" s="421"/>
    </row>
    <row r="886" spans="1:8" s="429" customFormat="1" ht="11.25">
      <c r="A886" s="428"/>
      <c r="B886" s="428"/>
      <c r="C886" s="428"/>
    </row>
    <row r="887" spans="1:8" s="429" customFormat="1" ht="11.25">
      <c r="A887" s="428"/>
      <c r="B887" s="428"/>
      <c r="C887" s="428"/>
    </row>
    <row r="888" spans="1:8" s="429" customFormat="1" ht="11.25">
      <c r="A888" s="428"/>
      <c r="B888" s="428"/>
      <c r="C888" s="428"/>
    </row>
    <row r="889" spans="1:8" s="422" customFormat="1" ht="11.25"/>
    <row r="890" spans="1:8" s="422" customFormat="1" ht="11.25">
      <c r="A890" s="421" t="s">
        <v>598</v>
      </c>
      <c r="B890" s="421"/>
      <c r="C890" s="421"/>
    </row>
    <row r="891" spans="1:8" s="422" customFormat="1" ht="11.25">
      <c r="A891" s="452" t="s">
        <v>599</v>
      </c>
      <c r="B891" s="447"/>
      <c r="C891" s="447"/>
      <c r="D891" s="447"/>
      <c r="E891" s="439" t="s">
        <v>375</v>
      </c>
      <c r="F891" s="439" t="s">
        <v>9</v>
      </c>
      <c r="G891" s="439" t="s">
        <v>131</v>
      </c>
      <c r="H891" s="439" t="s">
        <v>424</v>
      </c>
    </row>
    <row r="892" spans="1:8" s="422" customFormat="1" ht="11.25">
      <c r="A892" s="448"/>
      <c r="B892" s="449"/>
      <c r="C892" s="449"/>
      <c r="D892" s="449"/>
      <c r="E892" s="438">
        <v>0</v>
      </c>
      <c r="F892" s="438">
        <v>0</v>
      </c>
      <c r="G892" s="438">
        <v>0</v>
      </c>
      <c r="H892" s="438">
        <v>0</v>
      </c>
    </row>
    <row r="893" spans="1:8" s="422" customFormat="1" ht="11.25">
      <c r="A893" s="448"/>
      <c r="B893" s="449"/>
      <c r="C893" s="449"/>
      <c r="D893" s="449"/>
      <c r="E893" s="438">
        <v>0</v>
      </c>
      <c r="F893" s="438">
        <v>0</v>
      </c>
      <c r="G893" s="438">
        <v>0</v>
      </c>
      <c r="H893" s="438">
        <v>0</v>
      </c>
    </row>
    <row r="894" spans="1:8" s="422" customFormat="1" ht="11.25">
      <c r="A894" s="448"/>
      <c r="B894" s="449"/>
      <c r="C894" s="449"/>
      <c r="D894" s="449"/>
      <c r="E894" s="438">
        <v>0</v>
      </c>
      <c r="F894" s="438">
        <v>0</v>
      </c>
      <c r="G894" s="438">
        <v>0</v>
      </c>
      <c r="H894" s="438">
        <v>0</v>
      </c>
    </row>
    <row r="895" spans="1:8" s="421" customFormat="1" ht="11.25">
      <c r="A895" s="421" t="s">
        <v>391</v>
      </c>
      <c r="D895" s="421" t="s">
        <v>472</v>
      </c>
    </row>
    <row r="896" spans="1:8" s="422" customFormat="1" ht="11.25"/>
    <row r="897" spans="1:8" s="421" customFormat="1" ht="11.25" customHeight="1">
      <c r="A897" s="423" t="s">
        <v>392</v>
      </c>
      <c r="D897" s="421" t="s">
        <v>141</v>
      </c>
    </row>
    <row r="898" spans="1:8" s="421" customFormat="1" ht="11.25" customHeight="1">
      <c r="A898" s="423"/>
    </row>
    <row r="899" spans="1:8" s="421" customFormat="1" ht="11.25">
      <c r="A899" s="424" t="s">
        <v>393</v>
      </c>
      <c r="D899" s="583" t="s">
        <v>653</v>
      </c>
      <c r="E899" s="583"/>
      <c r="F899" s="583"/>
      <c r="G899" s="583"/>
      <c r="H899" s="583"/>
    </row>
    <row r="900" spans="1:8" s="421" customFormat="1" ht="11.25" customHeight="1"/>
    <row r="901" spans="1:8" s="422" customFormat="1" ht="11.25">
      <c r="A901" s="421" t="s">
        <v>170</v>
      </c>
      <c r="B901" s="421"/>
      <c r="C901" s="421"/>
      <c r="D901" s="422" t="s">
        <v>198</v>
      </c>
      <c r="E901" s="422" t="s">
        <v>199</v>
      </c>
    </row>
    <row r="902" spans="1:8" s="422" customFormat="1" ht="7.5" customHeight="1"/>
    <row r="903" spans="1:8" s="427" customFormat="1" ht="11.25">
      <c r="A903" s="425" t="s">
        <v>587</v>
      </c>
      <c r="B903" s="425"/>
      <c r="C903" s="425"/>
      <c r="D903" s="426" t="s">
        <v>667</v>
      </c>
      <c r="E903" s="584" t="s">
        <v>668</v>
      </c>
      <c r="F903" s="584"/>
      <c r="G903" s="584"/>
      <c r="H903" s="584"/>
    </row>
    <row r="904" spans="1:8" s="427" customFormat="1" ht="11.25">
      <c r="A904" s="425"/>
      <c r="B904" s="425"/>
      <c r="C904" s="425"/>
      <c r="D904" s="426" t="s">
        <v>669</v>
      </c>
      <c r="E904" s="584" t="s">
        <v>670</v>
      </c>
      <c r="F904" s="584"/>
      <c r="G904" s="584"/>
      <c r="H904" s="584"/>
    </row>
    <row r="905" spans="1:8" s="427" customFormat="1" ht="11.25">
      <c r="A905" s="425"/>
      <c r="B905" s="425"/>
      <c r="C905" s="425"/>
      <c r="D905" s="426" t="s">
        <v>671</v>
      </c>
      <c r="E905" s="584" t="s">
        <v>672</v>
      </c>
      <c r="F905" s="584"/>
      <c r="G905" s="584"/>
      <c r="H905" s="584"/>
    </row>
    <row r="906" spans="1:8" s="427" customFormat="1" ht="6" customHeight="1">
      <c r="A906" s="425"/>
      <c r="B906" s="425"/>
      <c r="C906" s="425"/>
      <c r="D906" s="426"/>
      <c r="E906" s="584"/>
      <c r="F906" s="584"/>
      <c r="G906" s="584"/>
      <c r="H906" s="584"/>
    </row>
    <row r="907" spans="1:8" s="427" customFormat="1" ht="5.25" customHeight="1"/>
    <row r="908" spans="1:8" s="422" customFormat="1" ht="6" customHeight="1"/>
    <row r="909" spans="1:8" s="422" customFormat="1" ht="11.25">
      <c r="A909" s="421" t="s">
        <v>589</v>
      </c>
      <c r="B909" s="421"/>
      <c r="C909" s="421"/>
    </row>
    <row r="910" spans="1:8" s="429" customFormat="1" ht="11.25">
      <c r="A910" s="428"/>
      <c r="B910" s="428"/>
      <c r="C910" s="428"/>
    </row>
    <row r="911" spans="1:8" s="429" customFormat="1" ht="11.25">
      <c r="A911" s="428"/>
      <c r="B911" s="428"/>
      <c r="C911" s="428"/>
    </row>
    <row r="912" spans="1:8" s="429" customFormat="1" ht="11.25">
      <c r="A912" s="428"/>
      <c r="B912" s="428"/>
      <c r="C912" s="428"/>
    </row>
    <row r="913" spans="1:8" s="429" customFormat="1" ht="11.25">
      <c r="A913" s="428"/>
      <c r="B913" s="428"/>
      <c r="C913" s="428"/>
    </row>
    <row r="914" spans="1:8" s="429" customFormat="1" ht="11.25">
      <c r="A914" s="428"/>
      <c r="B914" s="428"/>
      <c r="C914" s="428"/>
    </row>
    <row r="915" spans="1:8" s="429" customFormat="1" ht="11.25">
      <c r="A915" s="428"/>
      <c r="B915" s="428"/>
      <c r="C915" s="428"/>
    </row>
    <row r="916" spans="1:8" s="422" customFormat="1" ht="9" customHeight="1">
      <c r="A916" s="430"/>
      <c r="B916" s="430"/>
      <c r="C916" s="430"/>
      <c r="D916" s="430"/>
      <c r="E916" s="430"/>
      <c r="F916" s="430"/>
      <c r="G916" s="430"/>
      <c r="H916" s="430"/>
    </row>
    <row r="917" spans="1:8" s="422" customFormat="1" ht="22.5" customHeight="1">
      <c r="A917" s="585" t="s">
        <v>590</v>
      </c>
      <c r="B917" s="585"/>
      <c r="C917" s="585"/>
      <c r="D917" s="586"/>
      <c r="E917" s="586"/>
      <c r="F917" s="586"/>
      <c r="G917" s="586"/>
      <c r="H917" s="586"/>
    </row>
    <row r="918" spans="1:8" s="429" customFormat="1" ht="11.25">
      <c r="A918" s="431"/>
      <c r="B918" s="431"/>
      <c r="C918" s="431"/>
      <c r="D918" s="432"/>
      <c r="E918" s="432"/>
      <c r="F918" s="432"/>
      <c r="G918" s="432"/>
      <c r="H918" s="432"/>
    </row>
    <row r="919" spans="1:8" s="429" customFormat="1" ht="11.25">
      <c r="A919" s="431"/>
      <c r="B919" s="431"/>
      <c r="C919" s="431"/>
      <c r="D919" s="432"/>
      <c r="E919" s="432"/>
      <c r="F919" s="432"/>
      <c r="G919" s="432"/>
      <c r="H919" s="432"/>
    </row>
    <row r="920" spans="1:8" s="429" customFormat="1" ht="11.25">
      <c r="A920" s="431"/>
      <c r="B920" s="431"/>
      <c r="C920" s="431"/>
      <c r="D920" s="432"/>
      <c r="E920" s="432"/>
      <c r="F920" s="432"/>
      <c r="G920" s="432"/>
      <c r="H920" s="432"/>
    </row>
    <row r="921" spans="1:8" s="429" customFormat="1" ht="11.25">
      <c r="A921" s="431"/>
      <c r="B921" s="431"/>
      <c r="C921" s="431"/>
      <c r="D921" s="432"/>
      <c r="E921" s="432"/>
      <c r="F921" s="432"/>
      <c r="G921" s="432"/>
      <c r="H921" s="432"/>
    </row>
    <row r="922" spans="1:8" s="429" customFormat="1" ht="11.25">
      <c r="A922" s="431"/>
      <c r="B922" s="431"/>
      <c r="C922" s="431"/>
      <c r="D922" s="432"/>
      <c r="E922" s="432"/>
      <c r="F922" s="432"/>
      <c r="G922" s="432"/>
      <c r="H922" s="432"/>
    </row>
    <row r="923" spans="1:8" s="429" customFormat="1" ht="11.25">
      <c r="A923" s="431"/>
      <c r="B923" s="431"/>
      <c r="C923" s="431"/>
      <c r="D923" s="432"/>
      <c r="E923" s="432"/>
      <c r="F923" s="432"/>
      <c r="G923" s="432"/>
      <c r="H923" s="432"/>
    </row>
    <row r="924" spans="1:8" s="429" customFormat="1" ht="11.25">
      <c r="A924" s="431"/>
      <c r="B924" s="431"/>
      <c r="C924" s="431"/>
      <c r="D924" s="432"/>
      <c r="E924" s="432"/>
      <c r="F924" s="432"/>
      <c r="G924" s="432"/>
      <c r="H924" s="432"/>
    </row>
    <row r="925" spans="1:8" s="429" customFormat="1" ht="11.25">
      <c r="A925" s="431"/>
      <c r="B925" s="431"/>
      <c r="C925" s="431"/>
      <c r="D925" s="432"/>
      <c r="E925" s="432"/>
      <c r="F925" s="432"/>
      <c r="G925" s="432"/>
      <c r="H925" s="432"/>
    </row>
    <row r="926" spans="1:8" s="429" customFormat="1" ht="11.25">
      <c r="A926" s="431"/>
      <c r="B926" s="431"/>
      <c r="C926" s="431"/>
      <c r="D926" s="432"/>
      <c r="E926" s="432"/>
      <c r="F926" s="432"/>
      <c r="G926" s="432"/>
      <c r="H926" s="432"/>
    </row>
    <row r="927" spans="1:8" s="422" customFormat="1" ht="9" customHeight="1"/>
    <row r="928" spans="1:8" s="422" customFormat="1" ht="11.25">
      <c r="A928" s="421" t="s">
        <v>591</v>
      </c>
      <c r="B928" s="421"/>
      <c r="C928" s="421"/>
    </row>
    <row r="929" spans="1:8" s="429" customFormat="1" ht="11.25">
      <c r="A929" s="428"/>
      <c r="B929" s="428"/>
      <c r="C929" s="428"/>
    </row>
    <row r="930" spans="1:8" s="429" customFormat="1" ht="11.25">
      <c r="A930" s="428"/>
      <c r="B930" s="428"/>
      <c r="C930" s="428"/>
    </row>
    <row r="931" spans="1:8" s="422" customFormat="1" ht="9" customHeight="1"/>
    <row r="932" spans="1:8" s="422" customFormat="1" ht="11.25">
      <c r="A932" s="433" t="s">
        <v>592</v>
      </c>
      <c r="B932" s="434"/>
      <c r="C932" s="434"/>
      <c r="D932" s="434"/>
      <c r="E932" s="434"/>
      <c r="F932" s="434"/>
      <c r="G932" s="434"/>
      <c r="H932" s="434"/>
    </row>
    <row r="933" spans="1:8" s="429" customFormat="1" ht="11.25">
      <c r="A933" s="435"/>
      <c r="B933" s="436"/>
      <c r="C933" s="436"/>
      <c r="D933" s="436"/>
      <c r="E933" s="436"/>
      <c r="F933" s="436"/>
      <c r="G933" s="436"/>
      <c r="H933" s="436"/>
    </row>
    <row r="934" spans="1:8" s="429" customFormat="1" ht="25.5" customHeight="1">
      <c r="A934" s="435"/>
      <c r="B934" s="436"/>
      <c r="C934" s="436"/>
      <c r="D934" s="436"/>
      <c r="E934" s="436"/>
      <c r="F934" s="436"/>
      <c r="G934" s="436"/>
      <c r="H934" s="436"/>
    </row>
    <row r="935" spans="1:8" s="422" customFormat="1" ht="11.25">
      <c r="A935" s="437"/>
      <c r="B935" s="437"/>
      <c r="C935" s="437"/>
      <c r="D935" s="437"/>
      <c r="E935" s="437"/>
      <c r="F935" s="437"/>
      <c r="G935" s="437"/>
      <c r="H935" s="437"/>
    </row>
    <row r="936" spans="1:8" s="422" customFormat="1" ht="11.25">
      <c r="A936" s="421" t="s">
        <v>593</v>
      </c>
      <c r="B936" s="421"/>
      <c r="C936" s="421"/>
    </row>
    <row r="937" spans="1:8" s="422" customFormat="1" ht="11.25">
      <c r="A937" s="438"/>
      <c r="B937" s="439" t="s">
        <v>132</v>
      </c>
      <c r="C937" s="439" t="s">
        <v>473</v>
      </c>
      <c r="D937" s="439" t="s">
        <v>474</v>
      </c>
      <c r="E937" s="439" t="s">
        <v>375</v>
      </c>
      <c r="F937" s="439" t="s">
        <v>9</v>
      </c>
      <c r="G937" s="439" t="s">
        <v>131</v>
      </c>
      <c r="H937" s="439" t="s">
        <v>424</v>
      </c>
    </row>
    <row r="938" spans="1:8" s="422" customFormat="1" ht="11.25">
      <c r="A938" s="439" t="s">
        <v>394</v>
      </c>
      <c r="B938" s="438">
        <v>398110.53</v>
      </c>
      <c r="C938" s="438">
        <v>437392.65</v>
      </c>
      <c r="D938" s="438">
        <v>459931.02999999997</v>
      </c>
      <c r="E938" s="438">
        <v>436559.24</v>
      </c>
      <c r="F938" s="438">
        <v>436559.24</v>
      </c>
      <c r="G938" s="438">
        <v>441145.76599999995</v>
      </c>
      <c r="H938" s="438">
        <v>442783.81099999999</v>
      </c>
    </row>
    <row r="939" spans="1:8" s="422" customFormat="1" ht="11.25">
      <c r="A939" s="439" t="s">
        <v>395</v>
      </c>
      <c r="B939" s="438">
        <v>-3040.55</v>
      </c>
      <c r="C939" s="438">
        <v>-22769.01</v>
      </c>
      <c r="D939" s="438">
        <v>-4106</v>
      </c>
      <c r="E939" s="438">
        <v>-4000</v>
      </c>
      <c r="F939" s="438">
        <v>-4000</v>
      </c>
      <c r="G939" s="438">
        <v>-4000</v>
      </c>
      <c r="H939" s="438">
        <v>-4000</v>
      </c>
    </row>
    <row r="940" spans="1:8" s="422" customFormat="1" ht="11.25">
      <c r="A940" s="439" t="s">
        <v>396</v>
      </c>
      <c r="B940" s="438">
        <v>395069.98000000004</v>
      </c>
      <c r="C940" s="438">
        <v>414623.64</v>
      </c>
      <c r="D940" s="438">
        <v>455825.02999999997</v>
      </c>
      <c r="E940" s="438">
        <v>432559.24</v>
      </c>
      <c r="F940" s="438">
        <v>432559.24</v>
      </c>
      <c r="G940" s="438">
        <v>437145.76599999995</v>
      </c>
      <c r="H940" s="438">
        <v>438783.81099999999</v>
      </c>
    </row>
    <row r="941" spans="1:8" s="442" customFormat="1" ht="11.25">
      <c r="A941" s="440" t="s">
        <v>397</v>
      </c>
      <c r="B941" s="441">
        <v>7.637451840321832E-3</v>
      </c>
      <c r="C941" s="441">
        <v>5.2056224538752534E-2</v>
      </c>
      <c r="D941" s="441">
        <v>8.9274254881215563E-3</v>
      </c>
      <c r="E941" s="441">
        <v>9.1625594730282197E-3</v>
      </c>
      <c r="F941" s="441">
        <v>9.1625594730282197E-3</v>
      </c>
      <c r="G941" s="441">
        <v>9.0672977239908501E-3</v>
      </c>
      <c r="H941" s="441">
        <v>9.0337539463474191E-3</v>
      </c>
    </row>
    <row r="942" spans="1:8" s="422" customFormat="1" ht="11.25"/>
    <row r="943" spans="1:8" s="422" customFormat="1" ht="11.25">
      <c r="A943" s="443" t="s">
        <v>594</v>
      </c>
      <c r="B943" s="443"/>
      <c r="C943" s="444"/>
    </row>
    <row r="944" spans="1:8" s="422" customFormat="1" ht="11.25">
      <c r="A944" s="445" t="s">
        <v>595</v>
      </c>
      <c r="B944" s="446"/>
      <c r="C944" s="447"/>
      <c r="D944" s="439" t="s">
        <v>474</v>
      </c>
      <c r="E944" s="439" t="s">
        <v>375</v>
      </c>
      <c r="F944" s="439" t="s">
        <v>9</v>
      </c>
      <c r="G944" s="439" t="s">
        <v>131</v>
      </c>
      <c r="H944" s="439" t="s">
        <v>424</v>
      </c>
    </row>
    <row r="945" spans="1:8" s="422" customFormat="1" ht="11.25">
      <c r="A945" s="448" t="s">
        <v>673</v>
      </c>
      <c r="B945" s="449"/>
      <c r="C945" s="449"/>
      <c r="D945" s="438"/>
      <c r="E945" s="438" t="s">
        <v>674</v>
      </c>
      <c r="F945" s="438" t="s">
        <v>674</v>
      </c>
      <c r="G945" s="438" t="s">
        <v>674</v>
      </c>
      <c r="H945" s="438" t="s">
        <v>674</v>
      </c>
    </row>
    <row r="946" spans="1:8" s="422" customFormat="1" ht="11.25">
      <c r="A946" s="448"/>
      <c r="B946" s="449"/>
      <c r="C946" s="449"/>
      <c r="D946" s="438"/>
      <c r="E946" s="438"/>
      <c r="F946" s="438"/>
      <c r="G946" s="438"/>
      <c r="H946" s="438"/>
    </row>
    <row r="947" spans="1:8" s="422" customFormat="1" ht="11.25">
      <c r="A947" s="448"/>
      <c r="B947" s="449"/>
      <c r="C947" s="449"/>
      <c r="D947" s="438"/>
      <c r="E947" s="438"/>
      <c r="F947" s="438"/>
      <c r="G947" s="438"/>
      <c r="H947" s="438"/>
    </row>
    <row r="948" spans="1:8" s="422" customFormat="1" ht="11.25"/>
    <row r="949" spans="1:8" s="422" customFormat="1" ht="11.25">
      <c r="A949" s="421" t="s">
        <v>423</v>
      </c>
      <c r="B949" s="421"/>
      <c r="C949" s="421"/>
    </row>
    <row r="950" spans="1:8" s="422" customFormat="1" ht="11.25">
      <c r="A950" s="450"/>
      <c r="B950" s="439" t="s">
        <v>132</v>
      </c>
      <c r="C950" s="439" t="s">
        <v>473</v>
      </c>
      <c r="D950" s="439" t="s">
        <v>474</v>
      </c>
      <c r="E950" s="439" t="s">
        <v>375</v>
      </c>
      <c r="F950" s="439" t="s">
        <v>9</v>
      </c>
      <c r="G950" s="439" t="s">
        <v>131</v>
      </c>
      <c r="H950" s="439" t="s">
        <v>424</v>
      </c>
    </row>
    <row r="951" spans="1:8" s="422" customFormat="1" ht="11.25">
      <c r="A951" s="451" t="s">
        <v>398</v>
      </c>
      <c r="B951" s="438">
        <v>0</v>
      </c>
      <c r="C951" s="438">
        <v>0</v>
      </c>
      <c r="D951" s="438">
        <v>0</v>
      </c>
      <c r="E951" s="438">
        <v>0</v>
      </c>
      <c r="F951" s="438">
        <v>0</v>
      </c>
      <c r="G951" s="438">
        <v>0</v>
      </c>
      <c r="H951" s="438">
        <v>0</v>
      </c>
    </row>
    <row r="952" spans="1:8" s="422" customFormat="1" ht="11.25">
      <c r="A952" s="451" t="s">
        <v>399</v>
      </c>
      <c r="B952" s="438">
        <v>0</v>
      </c>
      <c r="C952" s="438">
        <v>0</v>
      </c>
      <c r="D952" s="438">
        <v>0</v>
      </c>
      <c r="E952" s="438">
        <v>0</v>
      </c>
      <c r="F952" s="438">
        <v>0</v>
      </c>
      <c r="G952" s="438">
        <v>0</v>
      </c>
      <c r="H952" s="438">
        <v>0</v>
      </c>
    </row>
    <row r="953" spans="1:8" s="422" customFormat="1" ht="11.25">
      <c r="A953" s="451" t="s">
        <v>400</v>
      </c>
      <c r="B953" s="438">
        <v>0</v>
      </c>
      <c r="C953" s="438">
        <v>0</v>
      </c>
      <c r="D953" s="438">
        <v>0</v>
      </c>
      <c r="E953" s="438">
        <v>0</v>
      </c>
      <c r="F953" s="438">
        <v>0</v>
      </c>
      <c r="G953" s="438">
        <v>0</v>
      </c>
      <c r="H953" s="438">
        <v>0</v>
      </c>
    </row>
    <row r="954" spans="1:8" s="422" customFormat="1" ht="11.25">
      <c r="A954" s="451" t="s">
        <v>401</v>
      </c>
      <c r="B954" s="438">
        <v>0</v>
      </c>
      <c r="C954" s="438">
        <v>0</v>
      </c>
      <c r="D954" s="438">
        <v>0</v>
      </c>
      <c r="E954" s="438">
        <v>0</v>
      </c>
      <c r="F954" s="438">
        <v>0</v>
      </c>
      <c r="G954" s="438">
        <v>0</v>
      </c>
      <c r="H954" s="438">
        <v>0</v>
      </c>
    </row>
    <row r="955" spans="1:8" s="422" customFormat="1" ht="11.25"/>
    <row r="956" spans="1:8" s="422" customFormat="1" ht="11.25">
      <c r="A956" s="421" t="s">
        <v>597</v>
      </c>
      <c r="B956" s="421"/>
      <c r="C956" s="421"/>
    </row>
    <row r="957" spans="1:8" s="429" customFormat="1" ht="11.25">
      <c r="A957" s="428"/>
      <c r="B957" s="428"/>
      <c r="C957" s="428"/>
    </row>
    <row r="958" spans="1:8" s="429" customFormat="1" ht="11.25">
      <c r="A958" s="428"/>
      <c r="B958" s="428"/>
      <c r="C958" s="428"/>
    </row>
    <row r="959" spans="1:8" s="429" customFormat="1" ht="11.25">
      <c r="A959" s="428"/>
      <c r="B959" s="428"/>
      <c r="C959" s="428"/>
    </row>
    <row r="960" spans="1:8" s="422" customFormat="1" ht="11.25"/>
    <row r="961" spans="1:8" s="422" customFormat="1" ht="11.25">
      <c r="A961" s="421" t="s">
        <v>598</v>
      </c>
      <c r="B961" s="421"/>
      <c r="C961" s="421"/>
    </row>
    <row r="962" spans="1:8" s="422" customFormat="1" ht="11.25">
      <c r="A962" s="452" t="s">
        <v>599</v>
      </c>
      <c r="B962" s="447"/>
      <c r="C962" s="447"/>
      <c r="D962" s="447"/>
      <c r="E962" s="439" t="s">
        <v>375</v>
      </c>
      <c r="F962" s="439" t="s">
        <v>9</v>
      </c>
      <c r="G962" s="439" t="s">
        <v>131</v>
      </c>
      <c r="H962" s="439" t="s">
        <v>424</v>
      </c>
    </row>
    <row r="963" spans="1:8" s="422" customFormat="1" ht="11.25">
      <c r="A963" s="448"/>
      <c r="B963" s="449"/>
      <c r="C963" s="449"/>
      <c r="D963" s="449"/>
      <c r="E963" s="438">
        <v>0</v>
      </c>
      <c r="F963" s="438">
        <v>0</v>
      </c>
      <c r="G963" s="438">
        <v>0</v>
      </c>
      <c r="H963" s="438">
        <v>0</v>
      </c>
    </row>
    <row r="964" spans="1:8" s="421" customFormat="1" ht="11.25">
      <c r="A964" s="421" t="s">
        <v>391</v>
      </c>
      <c r="D964" s="421" t="s">
        <v>472</v>
      </c>
    </row>
    <row r="965" spans="1:8" s="422" customFormat="1" ht="11.25"/>
    <row r="966" spans="1:8" s="421" customFormat="1" ht="11.25" customHeight="1">
      <c r="A966" s="423" t="s">
        <v>392</v>
      </c>
      <c r="D966" s="421" t="s">
        <v>141</v>
      </c>
    </row>
    <row r="967" spans="1:8" s="421" customFormat="1" ht="7.5" customHeight="1">
      <c r="A967" s="423"/>
    </row>
    <row r="968" spans="1:8" s="421" customFormat="1" ht="11.25">
      <c r="A968" s="424" t="s">
        <v>393</v>
      </c>
      <c r="D968" s="583" t="s">
        <v>653</v>
      </c>
      <c r="E968" s="583"/>
      <c r="F968" s="583"/>
      <c r="G968" s="583"/>
      <c r="H968" s="583"/>
    </row>
    <row r="969" spans="1:8" s="421" customFormat="1" ht="7.5" customHeight="1"/>
    <row r="970" spans="1:8" s="422" customFormat="1" ht="11.25">
      <c r="A970" s="421" t="s">
        <v>170</v>
      </c>
      <c r="B970" s="421"/>
      <c r="C970" s="421"/>
      <c r="D970" s="422" t="s">
        <v>200</v>
      </c>
      <c r="E970" s="422" t="s">
        <v>675</v>
      </c>
    </row>
    <row r="971" spans="1:8" s="422" customFormat="1" ht="7.5" customHeight="1"/>
    <row r="972" spans="1:8" s="427" customFormat="1" ht="11.25">
      <c r="A972" s="425" t="s">
        <v>587</v>
      </c>
      <c r="B972" s="425"/>
      <c r="C972" s="425"/>
      <c r="D972" s="426" t="s">
        <v>676</v>
      </c>
      <c r="E972" s="584" t="s">
        <v>677</v>
      </c>
      <c r="F972" s="584"/>
      <c r="G972" s="584"/>
      <c r="H972" s="584"/>
    </row>
    <row r="973" spans="1:8" s="427" customFormat="1" ht="11.25">
      <c r="A973" s="425"/>
      <c r="B973" s="425"/>
      <c r="C973" s="425"/>
      <c r="D973" s="426"/>
      <c r="E973" s="584"/>
      <c r="F973" s="584"/>
      <c r="G973" s="584"/>
      <c r="H973" s="584"/>
    </row>
    <row r="974" spans="1:8" s="427" customFormat="1" ht="11.25"/>
    <row r="975" spans="1:8" s="422" customFormat="1" ht="11.25"/>
    <row r="976" spans="1:8" s="422" customFormat="1" ht="11.25">
      <c r="A976" s="421" t="s">
        <v>589</v>
      </c>
      <c r="B976" s="421"/>
      <c r="C976" s="421"/>
    </row>
    <row r="977" spans="1:8" s="429" customFormat="1" ht="11.25">
      <c r="A977" s="428"/>
      <c r="B977" s="428"/>
      <c r="C977" s="428"/>
    </row>
    <row r="978" spans="1:8" s="429" customFormat="1" ht="11.25">
      <c r="A978" s="428"/>
      <c r="B978" s="428"/>
      <c r="C978" s="428"/>
    </row>
    <row r="979" spans="1:8" s="429" customFormat="1" ht="11.25">
      <c r="A979" s="428"/>
      <c r="B979" s="428"/>
      <c r="C979" s="428"/>
    </row>
    <row r="980" spans="1:8" s="429" customFormat="1" ht="11.25">
      <c r="A980" s="428"/>
      <c r="B980" s="428"/>
      <c r="C980" s="428"/>
    </row>
    <row r="981" spans="1:8" s="429" customFormat="1" ht="11.25">
      <c r="A981" s="428"/>
      <c r="B981" s="428"/>
      <c r="C981" s="428"/>
    </row>
    <row r="982" spans="1:8" s="429" customFormat="1" ht="11.25">
      <c r="A982" s="428"/>
      <c r="B982" s="428"/>
      <c r="C982" s="428"/>
    </row>
    <row r="983" spans="1:8" s="422" customFormat="1" ht="9" customHeight="1">
      <c r="A983" s="430"/>
      <c r="B983" s="430"/>
      <c r="C983" s="430"/>
      <c r="D983" s="430"/>
      <c r="E983" s="430"/>
      <c r="F983" s="430"/>
      <c r="G983" s="430"/>
      <c r="H983" s="430"/>
    </row>
    <row r="984" spans="1:8" s="422" customFormat="1" ht="22.5" customHeight="1">
      <c r="A984" s="585" t="s">
        <v>590</v>
      </c>
      <c r="B984" s="585"/>
      <c r="C984" s="585"/>
      <c r="D984" s="586"/>
      <c r="E984" s="586"/>
      <c r="F984" s="586"/>
      <c r="G984" s="586"/>
      <c r="H984" s="586"/>
    </row>
    <row r="985" spans="1:8" s="429" customFormat="1" ht="11.25">
      <c r="A985" s="431"/>
      <c r="B985" s="431"/>
      <c r="C985" s="431"/>
      <c r="D985" s="432"/>
      <c r="E985" s="432"/>
      <c r="F985" s="432"/>
      <c r="G985" s="432"/>
      <c r="H985" s="432"/>
    </row>
    <row r="986" spans="1:8" s="429" customFormat="1" ht="11.25">
      <c r="A986" s="431"/>
      <c r="B986" s="431"/>
      <c r="C986" s="431"/>
      <c r="D986" s="432"/>
      <c r="E986" s="432"/>
      <c r="F986" s="432"/>
      <c r="G986" s="432"/>
      <c r="H986" s="432"/>
    </row>
    <row r="987" spans="1:8" s="429" customFormat="1" ht="11.25">
      <c r="A987" s="431"/>
      <c r="B987" s="431"/>
      <c r="C987" s="431"/>
      <c r="D987" s="432"/>
      <c r="E987" s="432"/>
      <c r="F987" s="432"/>
      <c r="G987" s="432"/>
      <c r="H987" s="432"/>
    </row>
    <row r="988" spans="1:8" s="429" customFormat="1" ht="11.25">
      <c r="A988" s="431"/>
      <c r="B988" s="431"/>
      <c r="C988" s="431"/>
      <c r="D988" s="432"/>
      <c r="E988" s="432"/>
      <c r="F988" s="432"/>
      <c r="G988" s="432"/>
      <c r="H988" s="432"/>
    </row>
    <row r="989" spans="1:8" s="422" customFormat="1" ht="9" customHeight="1"/>
    <row r="990" spans="1:8" s="422" customFormat="1" ht="11.25">
      <c r="A990" s="421" t="s">
        <v>591</v>
      </c>
      <c r="B990" s="421"/>
      <c r="C990" s="421"/>
    </row>
    <row r="991" spans="1:8" s="429" customFormat="1" ht="11.25">
      <c r="A991" s="428"/>
      <c r="B991" s="428"/>
      <c r="C991" s="428"/>
    </row>
    <row r="992" spans="1:8" s="429" customFormat="1" ht="11.25">
      <c r="A992" s="428"/>
      <c r="B992" s="428"/>
      <c r="C992" s="428"/>
    </row>
    <row r="993" spans="1:8" s="429" customFormat="1" ht="11.25">
      <c r="A993" s="428"/>
      <c r="B993" s="428"/>
      <c r="C993" s="428"/>
    </row>
    <row r="994" spans="1:8" s="429" customFormat="1" ht="11.25">
      <c r="A994" s="428"/>
      <c r="B994" s="428"/>
      <c r="C994" s="428"/>
    </row>
    <row r="995" spans="1:8" s="429" customFormat="1" ht="11.25">
      <c r="A995" s="428"/>
      <c r="B995" s="428"/>
      <c r="C995" s="428"/>
    </row>
    <row r="996" spans="1:8" s="422" customFormat="1" ht="9" customHeight="1"/>
    <row r="997" spans="1:8" s="422" customFormat="1" ht="11.25">
      <c r="A997" s="433" t="s">
        <v>592</v>
      </c>
      <c r="B997" s="434"/>
      <c r="C997" s="434"/>
      <c r="D997" s="434"/>
      <c r="E997" s="434"/>
      <c r="F997" s="434"/>
      <c r="G997" s="434"/>
      <c r="H997" s="434"/>
    </row>
    <row r="998" spans="1:8" s="429" customFormat="1" ht="11.25">
      <c r="A998" s="435"/>
      <c r="B998" s="436"/>
      <c r="C998" s="436"/>
      <c r="D998" s="436"/>
      <c r="E998" s="436"/>
      <c r="F998" s="436"/>
      <c r="G998" s="436"/>
      <c r="H998" s="436"/>
    </row>
    <row r="999" spans="1:8" s="429" customFormat="1" ht="11.25">
      <c r="A999" s="435"/>
      <c r="B999" s="436"/>
      <c r="C999" s="436"/>
      <c r="D999" s="436"/>
      <c r="E999" s="436"/>
      <c r="F999" s="436"/>
      <c r="G999" s="436"/>
      <c r="H999" s="436"/>
    </row>
    <row r="1000" spans="1:8" s="422" customFormat="1" ht="11.25">
      <c r="A1000" s="437"/>
      <c r="B1000" s="437"/>
      <c r="C1000" s="437"/>
      <c r="D1000" s="437"/>
      <c r="E1000" s="437"/>
      <c r="F1000" s="437"/>
      <c r="G1000" s="437"/>
      <c r="H1000" s="437"/>
    </row>
    <row r="1001" spans="1:8" s="422" customFormat="1" ht="11.25">
      <c r="A1001" s="421" t="s">
        <v>593</v>
      </c>
      <c r="B1001" s="421"/>
      <c r="C1001" s="421"/>
    </row>
    <row r="1002" spans="1:8" s="422" customFormat="1" ht="11.25">
      <c r="A1002" s="438"/>
      <c r="B1002" s="439" t="s">
        <v>132</v>
      </c>
      <c r="C1002" s="439" t="s">
        <v>473</v>
      </c>
      <c r="D1002" s="439" t="s">
        <v>474</v>
      </c>
      <c r="E1002" s="439" t="s">
        <v>375</v>
      </c>
      <c r="F1002" s="439" t="s">
        <v>9</v>
      </c>
      <c r="G1002" s="439" t="s">
        <v>131</v>
      </c>
      <c r="H1002" s="439" t="s">
        <v>424</v>
      </c>
    </row>
    <row r="1003" spans="1:8" s="422" customFormat="1" ht="11.25">
      <c r="A1003" s="439" t="s">
        <v>394</v>
      </c>
      <c r="B1003" s="438">
        <v>449287.2</v>
      </c>
      <c r="C1003" s="438">
        <v>392206.05</v>
      </c>
      <c r="D1003" s="438">
        <v>364680.04</v>
      </c>
      <c r="E1003" s="438">
        <v>329417.33999999997</v>
      </c>
      <c r="F1003" s="438">
        <v>265310.31</v>
      </c>
      <c r="G1003" s="438">
        <v>265310.31</v>
      </c>
      <c r="H1003" s="438">
        <v>265310.31</v>
      </c>
    </row>
    <row r="1004" spans="1:8" s="422" customFormat="1" ht="11.25">
      <c r="A1004" s="439" t="s">
        <v>395</v>
      </c>
      <c r="B1004" s="438">
        <v>0</v>
      </c>
      <c r="C1004" s="438">
        <v>0</v>
      </c>
      <c r="D1004" s="438">
        <v>0</v>
      </c>
      <c r="E1004" s="438">
        <v>0</v>
      </c>
      <c r="F1004" s="438">
        <v>0</v>
      </c>
      <c r="G1004" s="438">
        <v>0</v>
      </c>
      <c r="H1004" s="438">
        <v>0</v>
      </c>
    </row>
    <row r="1005" spans="1:8" s="422" customFormat="1" ht="11.25">
      <c r="A1005" s="439" t="s">
        <v>396</v>
      </c>
      <c r="B1005" s="438">
        <v>449287.2</v>
      </c>
      <c r="C1005" s="438">
        <v>392206.05</v>
      </c>
      <c r="D1005" s="438">
        <v>364680.04</v>
      </c>
      <c r="E1005" s="438">
        <v>329417.33999999997</v>
      </c>
      <c r="F1005" s="438">
        <v>265310.31</v>
      </c>
      <c r="G1005" s="438">
        <v>265310.31</v>
      </c>
      <c r="H1005" s="438">
        <v>265310.31</v>
      </c>
    </row>
    <row r="1006" spans="1:8" s="442" customFormat="1" ht="11.25">
      <c r="A1006" s="440" t="s">
        <v>397</v>
      </c>
      <c r="B1006" s="441">
        <v>0</v>
      </c>
      <c r="C1006" s="441">
        <v>0</v>
      </c>
      <c r="D1006" s="441">
        <v>0</v>
      </c>
      <c r="E1006" s="441">
        <v>0</v>
      </c>
      <c r="F1006" s="441">
        <v>0</v>
      </c>
      <c r="G1006" s="441">
        <v>0</v>
      </c>
      <c r="H1006" s="441">
        <v>0</v>
      </c>
    </row>
    <row r="1007" spans="1:8" s="422" customFormat="1" ht="11.25"/>
    <row r="1008" spans="1:8" s="422" customFormat="1" ht="11.25">
      <c r="A1008" s="443" t="s">
        <v>594</v>
      </c>
      <c r="B1008" s="443"/>
      <c r="C1008" s="444"/>
    </row>
    <row r="1009" spans="1:8" s="422" customFormat="1" ht="11.25">
      <c r="A1009" s="445" t="s">
        <v>595</v>
      </c>
      <c r="B1009" s="446"/>
      <c r="C1009" s="447"/>
      <c r="D1009" s="439" t="s">
        <v>474</v>
      </c>
      <c r="E1009" s="439" t="s">
        <v>375</v>
      </c>
      <c r="F1009" s="439" t="s">
        <v>9</v>
      </c>
      <c r="G1009" s="439" t="s">
        <v>131</v>
      </c>
      <c r="H1009" s="439" t="s">
        <v>424</v>
      </c>
    </row>
    <row r="1010" spans="1:8" s="422" customFormat="1" ht="11.25">
      <c r="A1010" s="448" t="s">
        <v>596</v>
      </c>
      <c r="B1010" s="449"/>
      <c r="C1010" s="449"/>
      <c r="D1010" s="438"/>
      <c r="E1010" s="438"/>
      <c r="F1010" s="438"/>
      <c r="G1010" s="438"/>
      <c r="H1010" s="438"/>
    </row>
    <row r="1011" spans="1:8" s="422" customFormat="1" ht="11.25">
      <c r="A1011" s="448"/>
      <c r="B1011" s="449"/>
      <c r="C1011" s="449"/>
      <c r="D1011" s="438"/>
      <c r="E1011" s="438"/>
      <c r="F1011" s="438"/>
      <c r="G1011" s="438"/>
      <c r="H1011" s="438"/>
    </row>
    <row r="1012" spans="1:8" s="422" customFormat="1" ht="11.25">
      <c r="A1012" s="448"/>
      <c r="B1012" s="449"/>
      <c r="C1012" s="449"/>
      <c r="D1012" s="438"/>
      <c r="E1012" s="438"/>
      <c r="F1012" s="438"/>
      <c r="G1012" s="438"/>
      <c r="H1012" s="438"/>
    </row>
    <row r="1013" spans="1:8" s="422" customFormat="1" ht="11.25"/>
    <row r="1014" spans="1:8" s="422" customFormat="1" ht="11.25">
      <c r="A1014" s="421" t="s">
        <v>423</v>
      </c>
      <c r="B1014" s="421"/>
      <c r="C1014" s="421"/>
    </row>
    <row r="1015" spans="1:8" s="422" customFormat="1" ht="11.25">
      <c r="A1015" s="450"/>
      <c r="B1015" s="439" t="s">
        <v>132</v>
      </c>
      <c r="C1015" s="439" t="s">
        <v>473</v>
      </c>
      <c r="D1015" s="439" t="s">
        <v>474</v>
      </c>
      <c r="E1015" s="439" t="s">
        <v>375</v>
      </c>
      <c r="F1015" s="439" t="s">
        <v>9</v>
      </c>
      <c r="G1015" s="439" t="s">
        <v>131</v>
      </c>
      <c r="H1015" s="439" t="s">
        <v>424</v>
      </c>
    </row>
    <row r="1016" spans="1:8" s="422" customFormat="1" ht="11.25">
      <c r="A1016" s="451" t="s">
        <v>398</v>
      </c>
      <c r="B1016" s="438">
        <v>0</v>
      </c>
      <c r="C1016" s="438">
        <v>0</v>
      </c>
      <c r="D1016" s="438">
        <v>0</v>
      </c>
      <c r="E1016" s="438">
        <v>0</v>
      </c>
      <c r="F1016" s="438">
        <v>0</v>
      </c>
      <c r="G1016" s="438">
        <v>0</v>
      </c>
      <c r="H1016" s="438">
        <v>0</v>
      </c>
    </row>
    <row r="1017" spans="1:8" s="422" customFormat="1" ht="11.25">
      <c r="A1017" s="451" t="s">
        <v>399</v>
      </c>
      <c r="B1017" s="438">
        <v>0</v>
      </c>
      <c r="C1017" s="438">
        <v>0</v>
      </c>
      <c r="D1017" s="438">
        <v>0</v>
      </c>
      <c r="E1017" s="438">
        <v>0</v>
      </c>
      <c r="F1017" s="438">
        <v>0</v>
      </c>
      <c r="G1017" s="438">
        <v>0</v>
      </c>
      <c r="H1017" s="438">
        <v>0</v>
      </c>
    </row>
    <row r="1018" spans="1:8" s="422" customFormat="1" ht="11.25">
      <c r="A1018" s="451" t="s">
        <v>400</v>
      </c>
      <c r="B1018" s="438">
        <v>0</v>
      </c>
      <c r="C1018" s="438">
        <v>0</v>
      </c>
      <c r="D1018" s="438">
        <v>0</v>
      </c>
      <c r="E1018" s="438">
        <v>0</v>
      </c>
      <c r="F1018" s="438">
        <v>0</v>
      </c>
      <c r="G1018" s="438">
        <v>0</v>
      </c>
      <c r="H1018" s="438">
        <v>0</v>
      </c>
    </row>
    <row r="1019" spans="1:8" s="422" customFormat="1" ht="11.25">
      <c r="A1019" s="451" t="s">
        <v>401</v>
      </c>
      <c r="B1019" s="438">
        <v>0</v>
      </c>
      <c r="C1019" s="438">
        <v>0</v>
      </c>
      <c r="D1019" s="438">
        <v>0</v>
      </c>
      <c r="E1019" s="438">
        <v>0</v>
      </c>
      <c r="F1019" s="438">
        <v>0</v>
      </c>
      <c r="G1019" s="438">
        <v>0</v>
      </c>
      <c r="H1019" s="438">
        <v>0</v>
      </c>
    </row>
    <row r="1020" spans="1:8" s="422" customFormat="1" ht="11.25"/>
    <row r="1021" spans="1:8" s="422" customFormat="1" ht="11.25">
      <c r="A1021" s="421" t="s">
        <v>597</v>
      </c>
      <c r="B1021" s="421"/>
      <c r="C1021" s="421"/>
    </row>
    <row r="1022" spans="1:8" s="429" customFormat="1" ht="11.25">
      <c r="A1022" s="428"/>
      <c r="B1022" s="428"/>
      <c r="C1022" s="428"/>
    </row>
    <row r="1023" spans="1:8" s="429" customFormat="1" ht="11.25">
      <c r="A1023" s="428"/>
      <c r="B1023" s="428"/>
      <c r="C1023" s="428"/>
    </row>
    <row r="1024" spans="1:8" s="429" customFormat="1" ht="11.25">
      <c r="A1024" s="428"/>
      <c r="B1024" s="428"/>
      <c r="C1024" s="428"/>
    </row>
    <row r="1025" spans="1:8" s="422" customFormat="1" ht="11.25"/>
    <row r="1026" spans="1:8" s="422" customFormat="1" ht="11.25">
      <c r="A1026" s="421" t="s">
        <v>598</v>
      </c>
      <c r="B1026" s="421"/>
      <c r="C1026" s="421"/>
    </row>
    <row r="1027" spans="1:8" s="422" customFormat="1" ht="11.25">
      <c r="A1027" s="452" t="s">
        <v>599</v>
      </c>
      <c r="B1027" s="447"/>
      <c r="C1027" s="447"/>
      <c r="D1027" s="447"/>
      <c r="E1027" s="439" t="s">
        <v>375</v>
      </c>
      <c r="F1027" s="439" t="s">
        <v>9</v>
      </c>
      <c r="G1027" s="439" t="s">
        <v>131</v>
      </c>
      <c r="H1027" s="439" t="s">
        <v>424</v>
      </c>
    </row>
    <row r="1028" spans="1:8" s="422" customFormat="1" ht="11.25">
      <c r="A1028" s="448"/>
      <c r="B1028" s="449"/>
      <c r="C1028" s="449"/>
      <c r="D1028" s="449"/>
      <c r="E1028" s="438">
        <v>0</v>
      </c>
      <c r="F1028" s="438">
        <v>0</v>
      </c>
      <c r="G1028" s="438">
        <v>0</v>
      </c>
      <c r="H1028" s="438">
        <v>0</v>
      </c>
    </row>
    <row r="1029" spans="1:8" s="422" customFormat="1" ht="11.25">
      <c r="A1029" s="448"/>
      <c r="B1029" s="449"/>
      <c r="C1029" s="449"/>
      <c r="D1029" s="449"/>
      <c r="E1029" s="438">
        <v>0</v>
      </c>
      <c r="F1029" s="438">
        <v>0</v>
      </c>
      <c r="G1029" s="438">
        <v>0</v>
      </c>
      <c r="H1029" s="438">
        <v>0</v>
      </c>
    </row>
    <row r="1030" spans="1:8" s="422" customFormat="1" ht="11.25">
      <c r="A1030" s="448"/>
      <c r="B1030" s="449"/>
      <c r="C1030" s="449"/>
      <c r="D1030" s="449"/>
      <c r="E1030" s="438">
        <v>0</v>
      </c>
      <c r="F1030" s="438">
        <v>0</v>
      </c>
      <c r="G1030" s="438">
        <v>0</v>
      </c>
      <c r="H1030" s="438">
        <v>0</v>
      </c>
    </row>
    <row r="1031" spans="1:8" s="421" customFormat="1" ht="11.25">
      <c r="A1031" s="421" t="s">
        <v>391</v>
      </c>
      <c r="D1031" s="421" t="s">
        <v>472</v>
      </c>
    </row>
    <row r="1032" spans="1:8" s="422" customFormat="1" ht="11.25"/>
    <row r="1033" spans="1:8" s="421" customFormat="1" ht="11.25" customHeight="1">
      <c r="A1033" s="423" t="s">
        <v>392</v>
      </c>
      <c r="D1033" s="421" t="s">
        <v>141</v>
      </c>
    </row>
    <row r="1034" spans="1:8" s="421" customFormat="1" ht="7.5" customHeight="1">
      <c r="A1034" s="423"/>
    </row>
    <row r="1035" spans="1:8" s="421" customFormat="1" ht="11.25">
      <c r="A1035" s="424" t="s">
        <v>393</v>
      </c>
      <c r="D1035" s="583" t="s">
        <v>142</v>
      </c>
      <c r="E1035" s="583"/>
      <c r="F1035" s="583"/>
      <c r="G1035" s="583"/>
      <c r="H1035" s="583"/>
    </row>
    <row r="1036" spans="1:8" s="421" customFormat="1" ht="7.5" customHeight="1"/>
    <row r="1037" spans="1:8" s="422" customFormat="1" ht="11.25">
      <c r="A1037" s="421" t="s">
        <v>170</v>
      </c>
      <c r="B1037" s="421"/>
      <c r="C1037" s="421"/>
      <c r="D1037" s="422" t="s">
        <v>202</v>
      </c>
      <c r="E1037" s="422" t="s">
        <v>203</v>
      </c>
    </row>
    <row r="1038" spans="1:8" s="422" customFormat="1" ht="7.5" customHeight="1"/>
    <row r="1039" spans="1:8" s="427" customFormat="1" ht="11.25">
      <c r="A1039" s="425" t="s">
        <v>587</v>
      </c>
      <c r="B1039" s="425"/>
      <c r="C1039" s="425"/>
      <c r="D1039" s="426" t="s">
        <v>678</v>
      </c>
      <c r="E1039" s="584" t="s">
        <v>679</v>
      </c>
      <c r="F1039" s="584"/>
      <c r="G1039" s="584"/>
      <c r="H1039" s="584"/>
    </row>
    <row r="1040" spans="1:8" s="427" customFormat="1" ht="11.25">
      <c r="A1040" s="425"/>
      <c r="B1040" s="425"/>
      <c r="C1040" s="425"/>
      <c r="D1040" s="426" t="s">
        <v>680</v>
      </c>
      <c r="E1040" s="584" t="s">
        <v>681</v>
      </c>
      <c r="F1040" s="584"/>
      <c r="G1040" s="584"/>
      <c r="H1040" s="584"/>
    </row>
    <row r="1041" spans="1:8" s="427" customFormat="1" ht="11.25">
      <c r="A1041" s="425"/>
      <c r="B1041" s="425"/>
      <c r="C1041" s="425"/>
      <c r="D1041" s="426" t="s">
        <v>682</v>
      </c>
      <c r="E1041" s="584" t="s">
        <v>683</v>
      </c>
      <c r="F1041" s="584"/>
      <c r="G1041" s="584"/>
      <c r="H1041" s="584"/>
    </row>
    <row r="1042" spans="1:8" s="427" customFormat="1" ht="11.25">
      <c r="A1042" s="425"/>
      <c r="B1042" s="425"/>
      <c r="C1042" s="425"/>
      <c r="D1042" s="426"/>
      <c r="E1042" s="453"/>
      <c r="F1042" s="453"/>
      <c r="G1042" s="453"/>
      <c r="H1042" s="453"/>
    </row>
    <row r="1043" spans="1:8" s="427" customFormat="1" ht="11.25"/>
    <row r="1044" spans="1:8" s="422" customFormat="1" ht="11.25"/>
    <row r="1045" spans="1:8" s="422" customFormat="1" ht="11.25">
      <c r="A1045" s="421" t="s">
        <v>589</v>
      </c>
      <c r="B1045" s="421"/>
      <c r="C1045" s="421"/>
    </row>
    <row r="1046" spans="1:8" s="429" customFormat="1" ht="11.25">
      <c r="A1046" s="428"/>
      <c r="B1046" s="428"/>
      <c r="C1046" s="428"/>
    </row>
    <row r="1047" spans="1:8" s="429" customFormat="1" ht="11.25">
      <c r="A1047" s="428"/>
      <c r="B1047" s="428"/>
      <c r="C1047" s="428"/>
    </row>
    <row r="1048" spans="1:8" s="429" customFormat="1" ht="36.75" customHeight="1">
      <c r="A1048" s="428"/>
      <c r="B1048" s="428"/>
      <c r="C1048" s="428"/>
    </row>
    <row r="1049" spans="1:8" s="422" customFormat="1" ht="12" customHeight="1">
      <c r="A1049" s="430"/>
      <c r="B1049" s="430"/>
      <c r="C1049" s="430"/>
      <c r="D1049" s="430"/>
      <c r="E1049" s="430"/>
      <c r="F1049" s="430"/>
      <c r="G1049" s="430"/>
      <c r="H1049" s="430"/>
    </row>
    <row r="1050" spans="1:8" s="422" customFormat="1" ht="22.5" customHeight="1">
      <c r="A1050" s="585" t="s">
        <v>590</v>
      </c>
      <c r="B1050" s="585"/>
      <c r="C1050" s="585"/>
      <c r="D1050" s="586"/>
      <c r="E1050" s="586"/>
      <c r="F1050" s="586"/>
      <c r="G1050" s="586"/>
      <c r="H1050" s="586"/>
    </row>
    <row r="1051" spans="1:8" s="429" customFormat="1" ht="11.25">
      <c r="A1051" s="431"/>
      <c r="B1051" s="431"/>
      <c r="C1051" s="431"/>
      <c r="D1051" s="432"/>
      <c r="E1051" s="432"/>
      <c r="F1051" s="432"/>
      <c r="G1051" s="432"/>
      <c r="H1051" s="432"/>
    </row>
    <row r="1052" spans="1:8" s="429" customFormat="1" ht="11.25">
      <c r="A1052" s="431"/>
      <c r="B1052" s="431"/>
      <c r="C1052" s="431"/>
      <c r="D1052" s="432"/>
      <c r="E1052" s="432"/>
      <c r="F1052" s="432"/>
      <c r="G1052" s="432"/>
      <c r="H1052" s="432"/>
    </row>
    <row r="1053" spans="1:8" s="429" customFormat="1" ht="11.25">
      <c r="A1053" s="431"/>
      <c r="B1053" s="431"/>
      <c r="C1053" s="431"/>
      <c r="D1053" s="432"/>
      <c r="E1053" s="432"/>
      <c r="F1053" s="432"/>
      <c r="G1053" s="432"/>
      <c r="H1053" s="432"/>
    </row>
    <row r="1054" spans="1:8" s="429" customFormat="1" ht="11.25">
      <c r="A1054" s="431"/>
      <c r="B1054" s="431"/>
      <c r="C1054" s="431"/>
      <c r="D1054" s="432"/>
      <c r="E1054" s="432"/>
      <c r="F1054" s="432"/>
      <c r="G1054" s="432"/>
      <c r="H1054" s="432"/>
    </row>
    <row r="1055" spans="1:8" s="429" customFormat="1" ht="32.25" customHeight="1">
      <c r="A1055" s="431"/>
      <c r="B1055" s="431"/>
      <c r="C1055" s="431"/>
      <c r="D1055" s="432"/>
      <c r="E1055" s="432"/>
      <c r="F1055" s="432"/>
      <c r="G1055" s="432"/>
      <c r="H1055" s="432"/>
    </row>
    <row r="1056" spans="1:8" s="422" customFormat="1" ht="9.75" customHeight="1"/>
    <row r="1057" spans="1:3" s="422" customFormat="1" ht="9.75" customHeight="1">
      <c r="A1057" s="421" t="s">
        <v>591</v>
      </c>
      <c r="B1057" s="421"/>
      <c r="C1057" s="421"/>
    </row>
    <row r="1058" spans="1:3" s="422" customFormat="1" ht="11.25">
      <c r="A1058" s="421"/>
      <c r="B1058" s="421"/>
      <c r="C1058" s="421"/>
    </row>
    <row r="1059" spans="1:3" s="422" customFormat="1" ht="11.25">
      <c r="A1059" s="421"/>
      <c r="B1059" s="421"/>
      <c r="C1059" s="421"/>
    </row>
    <row r="1060" spans="1:3" s="429" customFormat="1" ht="11.25">
      <c r="A1060" s="428"/>
      <c r="B1060" s="428"/>
      <c r="C1060" s="428"/>
    </row>
    <row r="1061" spans="1:3" s="429" customFormat="1" ht="11.25">
      <c r="A1061" s="428"/>
      <c r="B1061" s="428"/>
      <c r="C1061" s="428"/>
    </row>
    <row r="1062" spans="1:3" s="429" customFormat="1" ht="11.25">
      <c r="A1062" s="428"/>
      <c r="B1062" s="428"/>
      <c r="C1062" s="428"/>
    </row>
    <row r="1063" spans="1:3" s="429" customFormat="1" ht="11.25">
      <c r="A1063" s="428"/>
      <c r="B1063" s="428"/>
      <c r="C1063" s="428"/>
    </row>
    <row r="1064" spans="1:3" s="429" customFormat="1" ht="39.75" customHeight="1">
      <c r="A1064" s="428"/>
      <c r="B1064" s="428"/>
      <c r="C1064" s="428"/>
    </row>
    <row r="1065" spans="1:3" s="429" customFormat="1" ht="11.25">
      <c r="A1065" s="428"/>
      <c r="B1065" s="428"/>
      <c r="C1065" s="428"/>
    </row>
    <row r="1066" spans="1:3" s="429" customFormat="1" ht="11.25">
      <c r="A1066" s="428"/>
      <c r="B1066" s="428"/>
      <c r="C1066" s="428"/>
    </row>
    <row r="1067" spans="1:3" s="429" customFormat="1" ht="11.25">
      <c r="A1067" s="428"/>
      <c r="B1067" s="428"/>
      <c r="C1067" s="428"/>
    </row>
    <row r="1068" spans="1:3" s="429" customFormat="1" ht="11.25">
      <c r="A1068" s="428"/>
      <c r="B1068" s="428"/>
      <c r="C1068" s="428"/>
    </row>
    <row r="1069" spans="1:3" s="429" customFormat="1" ht="11.25">
      <c r="A1069" s="428"/>
      <c r="B1069" s="428"/>
      <c r="C1069" s="428"/>
    </row>
    <row r="1070" spans="1:3" s="429" customFormat="1" ht="11.25">
      <c r="A1070" s="428"/>
      <c r="B1070" s="428"/>
      <c r="C1070" s="428"/>
    </row>
    <row r="1071" spans="1:3" s="429" customFormat="1" ht="11.25">
      <c r="A1071" s="428"/>
      <c r="B1071" s="428"/>
      <c r="C1071" s="428"/>
    </row>
    <row r="1072" spans="1:3" s="429" customFormat="1" ht="11.25">
      <c r="A1072" s="428"/>
      <c r="B1072" s="428"/>
      <c r="C1072" s="428"/>
    </row>
    <row r="1073" spans="1:8" s="429" customFormat="1" ht="11.25">
      <c r="A1073" s="428"/>
      <c r="B1073" s="428"/>
      <c r="C1073" s="428"/>
    </row>
    <row r="1074" spans="1:8" s="429" customFormat="1" ht="11.25">
      <c r="A1074" s="428"/>
      <c r="B1074" s="428"/>
      <c r="C1074" s="428"/>
    </row>
    <row r="1075" spans="1:8" s="429" customFormat="1" ht="11.25">
      <c r="A1075" s="428"/>
      <c r="B1075" s="428"/>
      <c r="C1075" s="428"/>
    </row>
    <row r="1076" spans="1:8" s="422" customFormat="1" ht="11.25" hidden="1">
      <c r="A1076" s="433"/>
      <c r="B1076" s="434"/>
      <c r="C1076" s="434"/>
      <c r="D1076" s="434"/>
      <c r="E1076" s="434"/>
      <c r="F1076" s="434"/>
      <c r="G1076" s="434"/>
      <c r="H1076" s="434"/>
    </row>
    <row r="1077" spans="1:8" s="422" customFormat="1" ht="11.25" hidden="1">
      <c r="A1077" s="433"/>
      <c r="B1077" s="434"/>
      <c r="C1077" s="434"/>
      <c r="D1077" s="434"/>
      <c r="E1077" s="434"/>
      <c r="F1077" s="434"/>
      <c r="G1077" s="434"/>
      <c r="H1077" s="434"/>
    </row>
    <row r="1078" spans="1:8" s="422" customFormat="1" ht="11.25" hidden="1">
      <c r="A1078" s="433"/>
      <c r="B1078" s="434"/>
      <c r="C1078" s="434"/>
      <c r="D1078" s="434"/>
      <c r="E1078" s="434"/>
      <c r="F1078" s="434"/>
      <c r="G1078" s="434"/>
      <c r="H1078" s="434"/>
    </row>
    <row r="1079" spans="1:8" s="422" customFormat="1" ht="18.75" hidden="1" customHeight="1">
      <c r="A1079" s="433"/>
      <c r="B1079" s="434"/>
      <c r="C1079" s="434"/>
      <c r="D1079" s="434"/>
      <c r="E1079" s="434"/>
      <c r="F1079" s="434"/>
      <c r="G1079" s="434"/>
      <c r="H1079" s="434"/>
    </row>
    <row r="1080" spans="1:8" s="422" customFormat="1" ht="21.75" hidden="1" customHeight="1">
      <c r="A1080" s="433"/>
      <c r="B1080" s="434"/>
      <c r="C1080" s="434"/>
      <c r="D1080" s="434"/>
      <c r="E1080" s="434"/>
      <c r="F1080" s="434"/>
      <c r="G1080" s="434"/>
      <c r="H1080" s="434"/>
    </row>
    <row r="1081" spans="1:8" s="422" customFormat="1" ht="28.5" hidden="1" customHeight="1">
      <c r="A1081" s="433"/>
      <c r="B1081" s="434"/>
      <c r="C1081" s="434"/>
      <c r="D1081" s="434"/>
      <c r="E1081" s="434"/>
      <c r="F1081" s="434"/>
      <c r="G1081" s="434"/>
      <c r="H1081" s="434"/>
    </row>
    <row r="1082" spans="1:8" s="429" customFormat="1" ht="41.25" hidden="1" customHeight="1">
      <c r="A1082" s="435"/>
      <c r="B1082" s="436"/>
      <c r="C1082" s="436"/>
      <c r="D1082" s="436"/>
      <c r="E1082" s="436"/>
      <c r="F1082" s="436"/>
      <c r="G1082" s="436"/>
      <c r="H1082" s="436"/>
    </row>
    <row r="1083" spans="1:8" s="429" customFormat="1" ht="11.25">
      <c r="A1083" s="435" t="s">
        <v>592</v>
      </c>
      <c r="B1083" s="436"/>
      <c r="C1083" s="436"/>
      <c r="D1083" s="436"/>
      <c r="E1083" s="436"/>
      <c r="F1083" s="436"/>
      <c r="G1083" s="436"/>
      <c r="H1083" s="436"/>
    </row>
    <row r="1084" spans="1:8" s="429" customFormat="1" ht="11.25">
      <c r="A1084" s="435"/>
      <c r="B1084" s="436"/>
      <c r="C1084" s="436"/>
      <c r="D1084" s="436"/>
      <c r="E1084" s="436"/>
      <c r="F1084" s="436"/>
      <c r="G1084" s="436"/>
      <c r="H1084" s="436"/>
    </row>
    <row r="1085" spans="1:8" s="429" customFormat="1" ht="11.25">
      <c r="A1085" s="435"/>
      <c r="B1085" s="436"/>
      <c r="C1085" s="436"/>
      <c r="D1085" s="436"/>
      <c r="E1085" s="436"/>
      <c r="F1085" s="436"/>
      <c r="G1085" s="436"/>
      <c r="H1085" s="436"/>
    </row>
    <row r="1086" spans="1:8" s="429" customFormat="1" ht="11.25">
      <c r="A1086" s="435"/>
      <c r="B1086" s="436"/>
      <c r="C1086" s="436"/>
      <c r="D1086" s="436"/>
      <c r="E1086" s="436"/>
      <c r="F1086" s="436"/>
      <c r="G1086" s="436"/>
      <c r="H1086" s="436"/>
    </row>
    <row r="1087" spans="1:8" s="422" customFormat="1" ht="11.25">
      <c r="A1087" s="437"/>
      <c r="B1087" s="437"/>
      <c r="C1087" s="437"/>
      <c r="D1087" s="437"/>
      <c r="E1087" s="437"/>
      <c r="F1087" s="437"/>
      <c r="G1087" s="437"/>
      <c r="H1087" s="437"/>
    </row>
    <row r="1088" spans="1:8" s="422" customFormat="1" ht="11.25">
      <c r="A1088" s="421" t="s">
        <v>593</v>
      </c>
      <c r="B1088" s="421"/>
      <c r="C1088" s="421"/>
    </row>
    <row r="1089" spans="1:8" s="422" customFormat="1" ht="11.25">
      <c r="A1089" s="438"/>
      <c r="B1089" s="439" t="s">
        <v>132</v>
      </c>
      <c r="C1089" s="439" t="s">
        <v>473</v>
      </c>
      <c r="D1089" s="439" t="s">
        <v>474</v>
      </c>
      <c r="E1089" s="439" t="s">
        <v>375</v>
      </c>
      <c r="F1089" s="439" t="s">
        <v>9</v>
      </c>
      <c r="G1089" s="439" t="s">
        <v>131</v>
      </c>
      <c r="H1089" s="439" t="s">
        <v>424</v>
      </c>
    </row>
    <row r="1090" spans="1:8" s="422" customFormat="1" ht="11.25">
      <c r="A1090" s="439" t="s">
        <v>394</v>
      </c>
      <c r="B1090" s="438">
        <v>34788039.689999998</v>
      </c>
      <c r="C1090" s="438">
        <v>41824855.68</v>
      </c>
      <c r="D1090" s="438">
        <v>35745989.710000001</v>
      </c>
      <c r="E1090" s="438">
        <v>35599011.743200004</v>
      </c>
      <c r="F1090" s="438">
        <v>35666881.893199995</v>
      </c>
      <c r="G1090" s="438">
        <v>36768753.549680002</v>
      </c>
      <c r="H1090" s="438">
        <v>37344130.911279999</v>
      </c>
    </row>
    <row r="1091" spans="1:8" s="422" customFormat="1" ht="11.25">
      <c r="A1091" s="439" t="s">
        <v>395</v>
      </c>
      <c r="B1091" s="438">
        <v>-1452035.07</v>
      </c>
      <c r="C1091" s="438">
        <v>-1630649.75</v>
      </c>
      <c r="D1091" s="438">
        <v>-1071289.8999999999</v>
      </c>
      <c r="E1091" s="438">
        <v>-1100700</v>
      </c>
      <c r="F1091" s="438">
        <v>-5716932</v>
      </c>
      <c r="G1091" s="438">
        <v>-5732232</v>
      </c>
      <c r="H1091" s="438">
        <v>-3681000</v>
      </c>
    </row>
    <row r="1092" spans="1:8" s="422" customFormat="1" ht="11.25">
      <c r="A1092" s="439" t="s">
        <v>396</v>
      </c>
      <c r="B1092" s="438">
        <v>33336004.619999997</v>
      </c>
      <c r="C1092" s="438">
        <v>40194205.93</v>
      </c>
      <c r="D1092" s="438">
        <v>34674699.810000002</v>
      </c>
      <c r="E1092" s="438">
        <v>34498311.743200004</v>
      </c>
      <c r="F1092" s="438">
        <v>29949949.893199995</v>
      </c>
      <c r="G1092" s="438">
        <v>31036521.549680002</v>
      </c>
      <c r="H1092" s="438">
        <v>33663130.911279999</v>
      </c>
    </row>
    <row r="1093" spans="1:8" s="442" customFormat="1" ht="11.25">
      <c r="A1093" s="440" t="s">
        <v>397</v>
      </c>
      <c r="B1093" s="441">
        <v>4.1739491012981543E-2</v>
      </c>
      <c r="C1093" s="441">
        <v>3.8987576250735317E-2</v>
      </c>
      <c r="D1093" s="441">
        <v>2.9969512907354324E-2</v>
      </c>
      <c r="E1093" s="441">
        <v>3.0919397649016248E-2</v>
      </c>
      <c r="F1093" s="441">
        <v>0.16028684585096717</v>
      </c>
      <c r="G1093" s="441">
        <v>0.15589954639759301</v>
      </c>
      <c r="H1093" s="441">
        <v>9.8569705872794428E-2</v>
      </c>
    </row>
    <row r="1094" spans="1:8" s="422" customFormat="1" ht="11.25"/>
    <row r="1095" spans="1:8" s="422" customFormat="1" ht="11.25">
      <c r="A1095" s="443" t="s">
        <v>594</v>
      </c>
      <c r="B1095" s="443"/>
      <c r="C1095" s="444"/>
    </row>
    <row r="1096" spans="1:8" s="422" customFormat="1" ht="11.25">
      <c r="A1096" s="445" t="s">
        <v>595</v>
      </c>
      <c r="B1096" s="446"/>
      <c r="C1096" s="447"/>
      <c r="D1096" s="439" t="s">
        <v>474</v>
      </c>
      <c r="E1096" s="439" t="s">
        <v>375</v>
      </c>
      <c r="F1096" s="439" t="s">
        <v>9</v>
      </c>
      <c r="G1096" s="439" t="s">
        <v>131</v>
      </c>
      <c r="H1096" s="439" t="s">
        <v>424</v>
      </c>
    </row>
    <row r="1097" spans="1:8" s="422" customFormat="1" ht="57.75" customHeight="1">
      <c r="A1097" s="454" t="s">
        <v>684</v>
      </c>
      <c r="B1097" s="455"/>
      <c r="C1097" s="455"/>
      <c r="D1097" s="456" t="s">
        <v>685</v>
      </c>
      <c r="E1097" s="456" t="s">
        <v>685</v>
      </c>
      <c r="F1097" s="456" t="s">
        <v>685</v>
      </c>
      <c r="G1097" s="456" t="s">
        <v>685</v>
      </c>
      <c r="H1097" s="456" t="s">
        <v>685</v>
      </c>
    </row>
    <row r="1098" spans="1:8" s="422" customFormat="1" ht="22.5" customHeight="1">
      <c r="A1098" s="454"/>
      <c r="B1098" s="455"/>
      <c r="C1098" s="455"/>
      <c r="D1098" s="457">
        <v>0.11</v>
      </c>
      <c r="E1098" s="457">
        <v>0.11</v>
      </c>
      <c r="F1098" s="457">
        <v>0.11</v>
      </c>
      <c r="G1098" s="457">
        <v>0.11</v>
      </c>
      <c r="H1098" s="457">
        <v>0.11</v>
      </c>
    </row>
    <row r="1099" spans="1:8" s="422" customFormat="1" ht="11.25">
      <c r="A1099" s="448"/>
      <c r="B1099" s="449"/>
      <c r="C1099" s="449"/>
      <c r="D1099" s="438"/>
      <c r="E1099" s="438"/>
      <c r="F1099" s="438"/>
      <c r="G1099" s="438"/>
      <c r="H1099" s="438"/>
    </row>
    <row r="1100" spans="1:8" s="422" customFormat="1" ht="11.25"/>
    <row r="1101" spans="1:8" s="422" customFormat="1" ht="11.25">
      <c r="A1101" s="421" t="s">
        <v>423</v>
      </c>
      <c r="B1101" s="421"/>
      <c r="C1101" s="421"/>
    </row>
    <row r="1102" spans="1:8" s="422" customFormat="1" ht="11.25">
      <c r="A1102" s="450"/>
      <c r="B1102" s="439" t="s">
        <v>132</v>
      </c>
      <c r="C1102" s="439" t="s">
        <v>473</v>
      </c>
      <c r="D1102" s="439" t="s">
        <v>474</v>
      </c>
      <c r="E1102" s="439" t="s">
        <v>375</v>
      </c>
      <c r="F1102" s="439" t="s">
        <v>9</v>
      </c>
      <c r="G1102" s="439" t="s">
        <v>131</v>
      </c>
      <c r="H1102" s="439" t="s">
        <v>424</v>
      </c>
    </row>
    <row r="1103" spans="1:8" s="422" customFormat="1" ht="11.25">
      <c r="A1103" s="451" t="s">
        <v>398</v>
      </c>
      <c r="B1103" s="438">
        <v>1484500</v>
      </c>
      <c r="C1103" s="438">
        <v>310000</v>
      </c>
      <c r="D1103" s="438">
        <v>2300000</v>
      </c>
      <c r="E1103" s="438">
        <v>2000000</v>
      </c>
      <c r="F1103" s="438">
        <v>7500000</v>
      </c>
      <c r="G1103" s="438">
        <v>7500000</v>
      </c>
      <c r="H1103" s="438">
        <v>0</v>
      </c>
    </row>
    <row r="1104" spans="1:8" s="422" customFormat="1" ht="11.25">
      <c r="A1104" s="451" t="s">
        <v>399</v>
      </c>
      <c r="B1104" s="438">
        <v>0</v>
      </c>
      <c r="C1104" s="438">
        <v>0</v>
      </c>
      <c r="D1104" s="438">
        <v>0</v>
      </c>
      <c r="E1104" s="438">
        <v>0</v>
      </c>
      <c r="F1104" s="438">
        <v>0</v>
      </c>
      <c r="G1104" s="438">
        <v>0</v>
      </c>
      <c r="H1104" s="438">
        <v>0</v>
      </c>
    </row>
    <row r="1105" spans="1:8" s="422" customFormat="1" ht="11.25">
      <c r="A1105" s="451" t="s">
        <v>400</v>
      </c>
      <c r="B1105" s="438">
        <v>-9677.25</v>
      </c>
      <c r="C1105" s="438">
        <v>-9677.25</v>
      </c>
      <c r="D1105" s="438">
        <v>0</v>
      </c>
      <c r="E1105" s="438">
        <v>0</v>
      </c>
      <c r="F1105" s="438">
        <v>0</v>
      </c>
      <c r="G1105" s="438">
        <v>0</v>
      </c>
      <c r="H1105" s="438">
        <v>0</v>
      </c>
    </row>
    <row r="1106" spans="1:8" s="422" customFormat="1" ht="11.25">
      <c r="A1106" s="451" t="s">
        <v>401</v>
      </c>
      <c r="B1106" s="438">
        <v>1474822.75</v>
      </c>
      <c r="C1106" s="438">
        <v>300322.75</v>
      </c>
      <c r="D1106" s="438">
        <v>2300000</v>
      </c>
      <c r="E1106" s="438">
        <v>2000000</v>
      </c>
      <c r="F1106" s="438">
        <v>7500000</v>
      </c>
      <c r="G1106" s="438">
        <v>7500000</v>
      </c>
      <c r="H1106" s="438">
        <v>0</v>
      </c>
    </row>
    <row r="1107" spans="1:8" s="422" customFormat="1" ht="11.25"/>
    <row r="1108" spans="1:8" s="422" customFormat="1" ht="11.25">
      <c r="A1108" s="421" t="s">
        <v>597</v>
      </c>
      <c r="B1108" s="421"/>
      <c r="C1108" s="421"/>
    </row>
    <row r="1109" spans="1:8" s="429" customFormat="1" ht="11.25">
      <c r="A1109" s="428"/>
      <c r="B1109" s="428"/>
      <c r="C1109" s="428"/>
    </row>
    <row r="1110" spans="1:8" s="429" customFormat="1" ht="11.25">
      <c r="A1110" s="428"/>
      <c r="B1110" s="428"/>
      <c r="C1110" s="428"/>
    </row>
    <row r="1111" spans="1:8" s="429" customFormat="1" ht="11.25">
      <c r="A1111" s="428"/>
      <c r="B1111" s="428"/>
      <c r="C1111" s="428"/>
    </row>
    <row r="1112" spans="1:8" s="429" customFormat="1" ht="11.25">
      <c r="A1112" s="428"/>
      <c r="B1112" s="428"/>
      <c r="C1112" s="428"/>
    </row>
    <row r="1113" spans="1:8" s="422" customFormat="1" ht="11.25"/>
    <row r="1114" spans="1:8" s="422" customFormat="1" ht="11.25">
      <c r="A1114" s="421" t="s">
        <v>598</v>
      </c>
      <c r="B1114" s="421"/>
      <c r="C1114" s="421"/>
    </row>
    <row r="1115" spans="1:8" s="422" customFormat="1" ht="11.25" customHeight="1">
      <c r="A1115" s="452" t="s">
        <v>599</v>
      </c>
      <c r="B1115" s="447"/>
      <c r="C1115" s="447"/>
      <c r="D1115" s="447"/>
      <c r="E1115" s="439" t="s">
        <v>375</v>
      </c>
      <c r="F1115" s="439" t="s">
        <v>9</v>
      </c>
      <c r="G1115" s="439" t="s">
        <v>131</v>
      </c>
      <c r="H1115" s="439" t="s">
        <v>424</v>
      </c>
    </row>
    <row r="1116" spans="1:8" s="422" customFormat="1" ht="11.25" customHeight="1">
      <c r="A1116" s="448" t="s">
        <v>143</v>
      </c>
      <c r="B1116" s="449"/>
      <c r="C1116" s="449"/>
      <c r="D1116" s="449"/>
      <c r="E1116" s="438">
        <v>0</v>
      </c>
      <c r="F1116" s="438">
        <v>0</v>
      </c>
      <c r="G1116" s="438">
        <v>200000</v>
      </c>
      <c r="H1116" s="438">
        <v>200000</v>
      </c>
    </row>
    <row r="1117" spans="1:8" s="422" customFormat="1" ht="11.25" customHeight="1">
      <c r="A1117" s="448"/>
      <c r="B1117" s="449"/>
      <c r="C1117" s="449"/>
      <c r="D1117" s="449"/>
      <c r="E1117" s="438">
        <v>0</v>
      </c>
      <c r="F1117" s="438">
        <v>0</v>
      </c>
      <c r="G1117" s="438">
        <v>0</v>
      </c>
      <c r="H1117" s="438">
        <v>0</v>
      </c>
    </row>
    <row r="1118" spans="1:8" s="422" customFormat="1" ht="11.25" customHeight="1">
      <c r="A1118" s="448"/>
      <c r="B1118" s="449"/>
      <c r="C1118" s="449"/>
      <c r="D1118" s="449"/>
      <c r="E1118" s="438">
        <v>0</v>
      </c>
      <c r="F1118" s="438">
        <v>0</v>
      </c>
      <c r="G1118" s="438">
        <v>0</v>
      </c>
      <c r="H1118" s="438">
        <v>0</v>
      </c>
    </row>
    <row r="1119" spans="1:8" s="421" customFormat="1" ht="11.25">
      <c r="A1119" s="421" t="s">
        <v>391</v>
      </c>
      <c r="D1119" s="421" t="s">
        <v>472</v>
      </c>
    </row>
    <row r="1120" spans="1:8" s="422" customFormat="1" ht="11.25"/>
    <row r="1121" spans="1:8" s="421" customFormat="1" ht="11.25" customHeight="1">
      <c r="A1121" s="423" t="s">
        <v>392</v>
      </c>
      <c r="D1121" s="421" t="s">
        <v>141</v>
      </c>
    </row>
    <row r="1122" spans="1:8" s="421" customFormat="1" ht="7.5" customHeight="1">
      <c r="A1122" s="423"/>
    </row>
    <row r="1123" spans="1:8" s="421" customFormat="1" ht="11.25">
      <c r="A1123" s="424" t="s">
        <v>393</v>
      </c>
      <c r="D1123" s="583" t="s">
        <v>205</v>
      </c>
      <c r="E1123" s="583"/>
      <c r="F1123" s="583"/>
      <c r="G1123" s="583"/>
      <c r="H1123" s="583"/>
    </row>
    <row r="1124" spans="1:8" s="421" customFormat="1" ht="7.5" customHeight="1"/>
    <row r="1125" spans="1:8" s="422" customFormat="1" ht="11.25">
      <c r="A1125" s="421" t="s">
        <v>170</v>
      </c>
      <c r="B1125" s="421"/>
      <c r="C1125" s="421"/>
      <c r="D1125" s="422" t="s">
        <v>204</v>
      </c>
      <c r="E1125" s="422" t="s">
        <v>205</v>
      </c>
    </row>
    <row r="1126" spans="1:8" s="422" customFormat="1" ht="7.5" customHeight="1"/>
    <row r="1127" spans="1:8" s="427" customFormat="1" ht="11.25">
      <c r="A1127" s="425" t="s">
        <v>587</v>
      </c>
      <c r="B1127" s="425"/>
      <c r="C1127" s="425"/>
      <c r="D1127" s="426" t="s">
        <v>686</v>
      </c>
      <c r="E1127" s="584" t="s">
        <v>687</v>
      </c>
      <c r="F1127" s="584"/>
      <c r="G1127" s="584"/>
      <c r="H1127" s="584"/>
    </row>
    <row r="1128" spans="1:8" s="427" customFormat="1" ht="11.25">
      <c r="A1128" s="425"/>
      <c r="B1128" s="425"/>
      <c r="C1128" s="425"/>
      <c r="D1128" s="426" t="s">
        <v>688</v>
      </c>
      <c r="E1128" s="584" t="s">
        <v>689</v>
      </c>
      <c r="F1128" s="584"/>
      <c r="G1128" s="584"/>
      <c r="H1128" s="584"/>
    </row>
    <row r="1129" spans="1:8" s="427" customFormat="1" ht="11.25">
      <c r="A1129" s="425"/>
      <c r="B1129" s="425"/>
      <c r="C1129" s="425"/>
      <c r="D1129" s="426"/>
      <c r="E1129" s="584"/>
      <c r="F1129" s="584"/>
      <c r="G1129" s="584"/>
      <c r="H1129" s="584"/>
    </row>
    <row r="1130" spans="1:8" s="427" customFormat="1" ht="11.25"/>
    <row r="1131" spans="1:8" s="422" customFormat="1" ht="11.25"/>
    <row r="1132" spans="1:8" s="422" customFormat="1" ht="11.25">
      <c r="A1132" s="421" t="s">
        <v>589</v>
      </c>
      <c r="B1132" s="421"/>
      <c r="C1132" s="421"/>
    </row>
    <row r="1133" spans="1:8" s="429" customFormat="1" ht="11.25">
      <c r="A1133" s="428"/>
      <c r="B1133" s="428"/>
      <c r="C1133" s="428"/>
    </row>
    <row r="1134" spans="1:8" s="429" customFormat="1" ht="11.25">
      <c r="A1134" s="428"/>
      <c r="B1134" s="428"/>
      <c r="C1134" s="428"/>
    </row>
    <row r="1135" spans="1:8" s="429" customFormat="1" ht="11.25">
      <c r="A1135" s="428"/>
      <c r="B1135" s="428"/>
      <c r="C1135" s="428"/>
    </row>
    <row r="1136" spans="1:8" s="429" customFormat="1" ht="12" customHeight="1">
      <c r="A1136" s="428"/>
      <c r="B1136" s="428"/>
      <c r="C1136" s="428"/>
    </row>
    <row r="1137" spans="1:8" s="422" customFormat="1" ht="9" customHeight="1">
      <c r="A1137" s="430"/>
      <c r="B1137" s="430"/>
      <c r="C1137" s="430"/>
      <c r="D1137" s="430"/>
      <c r="E1137" s="430"/>
      <c r="F1137" s="430"/>
      <c r="G1137" s="430"/>
      <c r="H1137" s="430"/>
    </row>
    <row r="1138" spans="1:8" s="422" customFormat="1" ht="22.5" customHeight="1">
      <c r="A1138" s="585" t="s">
        <v>590</v>
      </c>
      <c r="B1138" s="585"/>
      <c r="C1138" s="585"/>
      <c r="D1138" s="586"/>
      <c r="E1138" s="586"/>
      <c r="F1138" s="586"/>
      <c r="G1138" s="586"/>
      <c r="H1138" s="586"/>
    </row>
    <row r="1139" spans="1:8" s="429" customFormat="1" ht="11.25">
      <c r="A1139" s="431"/>
      <c r="B1139" s="431"/>
      <c r="C1139" s="431"/>
      <c r="D1139" s="432"/>
      <c r="E1139" s="432"/>
      <c r="F1139" s="432"/>
      <c r="G1139" s="432"/>
      <c r="H1139" s="432"/>
    </row>
    <row r="1140" spans="1:8" s="429" customFormat="1" ht="11.25">
      <c r="A1140" s="431"/>
      <c r="B1140" s="431"/>
      <c r="C1140" s="431"/>
      <c r="D1140" s="432"/>
      <c r="E1140" s="432"/>
      <c r="F1140" s="432"/>
      <c r="G1140" s="432"/>
      <c r="H1140" s="432"/>
    </row>
    <row r="1141" spans="1:8" s="429" customFormat="1" ht="11.25">
      <c r="A1141" s="431"/>
      <c r="B1141" s="431"/>
      <c r="C1141" s="431"/>
      <c r="D1141" s="432"/>
      <c r="E1141" s="432"/>
      <c r="F1141" s="432"/>
      <c r="G1141" s="432"/>
      <c r="H1141" s="432"/>
    </row>
    <row r="1142" spans="1:8" s="429" customFormat="1" ht="11.25">
      <c r="A1142" s="431"/>
      <c r="B1142" s="431"/>
      <c r="C1142" s="431"/>
      <c r="D1142" s="432"/>
      <c r="E1142" s="432"/>
      <c r="F1142" s="432"/>
      <c r="G1142" s="432"/>
      <c r="H1142" s="432"/>
    </row>
    <row r="1143" spans="1:8" s="429" customFormat="1" ht="48.6" customHeight="1">
      <c r="A1143" s="431"/>
      <c r="B1143" s="431"/>
      <c r="C1143" s="431"/>
      <c r="D1143" s="432"/>
      <c r="E1143" s="432"/>
      <c r="F1143" s="432"/>
      <c r="G1143" s="432"/>
      <c r="H1143" s="432"/>
    </row>
    <row r="1144" spans="1:8" s="422" customFormat="1" ht="9" customHeight="1"/>
    <row r="1145" spans="1:8" s="422" customFormat="1" ht="11.25">
      <c r="A1145" s="421" t="s">
        <v>591</v>
      </c>
      <c r="B1145" s="421"/>
      <c r="C1145" s="421"/>
    </row>
    <row r="1146" spans="1:8" s="429" customFormat="1" ht="11.25">
      <c r="A1146" s="428"/>
      <c r="B1146" s="428"/>
      <c r="C1146" s="428"/>
    </row>
    <row r="1147" spans="1:8" s="429" customFormat="1" ht="11.25">
      <c r="A1147" s="428"/>
      <c r="B1147" s="428"/>
      <c r="C1147" s="428"/>
    </row>
    <row r="1148" spans="1:8" s="429" customFormat="1" ht="11.25">
      <c r="A1148" s="428"/>
      <c r="B1148" s="428"/>
      <c r="C1148" s="428"/>
    </row>
    <row r="1149" spans="1:8" s="429" customFormat="1" ht="11.25">
      <c r="A1149" s="428"/>
      <c r="B1149" s="428"/>
      <c r="C1149" s="428"/>
    </row>
    <row r="1150" spans="1:8" s="429" customFormat="1" ht="11.25">
      <c r="A1150" s="428"/>
      <c r="B1150" s="428"/>
      <c r="C1150" s="428"/>
    </row>
    <row r="1151" spans="1:8" s="429" customFormat="1" ht="11.25">
      <c r="A1151" s="428"/>
      <c r="B1151" s="428"/>
      <c r="C1151" s="428"/>
    </row>
    <row r="1152" spans="1:8" s="429" customFormat="1" ht="11.25">
      <c r="A1152" s="428"/>
      <c r="B1152" s="428"/>
      <c r="C1152" s="428"/>
    </row>
    <row r="1153" spans="1:8" s="429" customFormat="1" ht="11.45" customHeight="1">
      <c r="A1153" s="428"/>
      <c r="B1153" s="428"/>
      <c r="C1153" s="428"/>
    </row>
    <row r="1154" spans="1:8" s="429" customFormat="1" ht="14.45" hidden="1" customHeight="1">
      <c r="A1154" s="428"/>
      <c r="B1154" s="428"/>
      <c r="C1154" s="428"/>
    </row>
    <row r="1155" spans="1:8" s="422" customFormat="1" ht="9" customHeight="1"/>
    <row r="1156" spans="1:8" s="422" customFormat="1" ht="11.25">
      <c r="A1156" s="433" t="s">
        <v>592</v>
      </c>
      <c r="B1156" s="434"/>
      <c r="C1156" s="434"/>
      <c r="D1156" s="434"/>
      <c r="E1156" s="434"/>
      <c r="F1156" s="434"/>
      <c r="G1156" s="434"/>
      <c r="H1156" s="434"/>
    </row>
    <row r="1157" spans="1:8" s="429" customFormat="1" ht="11.25">
      <c r="A1157" s="435"/>
      <c r="B1157" s="436"/>
      <c r="C1157" s="436"/>
      <c r="D1157" s="436"/>
      <c r="E1157" s="436"/>
      <c r="F1157" s="436"/>
      <c r="G1157" s="436"/>
      <c r="H1157" s="436"/>
    </row>
    <row r="1158" spans="1:8" s="429" customFormat="1" ht="11.25">
      <c r="A1158" s="435"/>
      <c r="B1158" s="436"/>
      <c r="C1158" s="436"/>
      <c r="D1158" s="436"/>
      <c r="E1158" s="436"/>
      <c r="F1158" s="436"/>
      <c r="G1158" s="436"/>
      <c r="H1158" s="436"/>
    </row>
    <row r="1159" spans="1:8" s="422" customFormat="1" ht="11.25">
      <c r="A1159" s="437"/>
      <c r="B1159" s="437"/>
      <c r="C1159" s="437"/>
      <c r="D1159" s="437"/>
      <c r="E1159" s="437"/>
      <c r="F1159" s="437"/>
      <c r="G1159" s="437"/>
      <c r="H1159" s="437"/>
    </row>
    <row r="1160" spans="1:8" s="422" customFormat="1" ht="11.25">
      <c r="A1160" s="421" t="s">
        <v>593</v>
      </c>
      <c r="B1160" s="421"/>
      <c r="C1160" s="421"/>
    </row>
    <row r="1161" spans="1:8" s="422" customFormat="1" ht="11.25">
      <c r="A1161" s="438"/>
      <c r="B1161" s="439" t="s">
        <v>132</v>
      </c>
      <c r="C1161" s="439" t="s">
        <v>473</v>
      </c>
      <c r="D1161" s="439" t="s">
        <v>474</v>
      </c>
      <c r="E1161" s="439" t="s">
        <v>375</v>
      </c>
      <c r="F1161" s="439" t="s">
        <v>9</v>
      </c>
      <c r="G1161" s="439" t="s">
        <v>131</v>
      </c>
      <c r="H1161" s="439" t="s">
        <v>424</v>
      </c>
    </row>
    <row r="1162" spans="1:8" s="422" customFormat="1" ht="11.25">
      <c r="A1162" s="439" t="s">
        <v>394</v>
      </c>
      <c r="B1162" s="438">
        <v>1193172.1300000001</v>
      </c>
      <c r="C1162" s="438">
        <v>1076801.02</v>
      </c>
      <c r="D1162" s="438">
        <v>1102182.8199999998</v>
      </c>
      <c r="E1162" s="438">
        <v>1138389.81</v>
      </c>
      <c r="F1162" s="438">
        <v>1095776.3399999999</v>
      </c>
      <c r="G1162" s="438">
        <v>1151337.9380000001</v>
      </c>
      <c r="H1162" s="438">
        <v>1154949.223</v>
      </c>
    </row>
    <row r="1163" spans="1:8" s="422" customFormat="1" ht="11.25">
      <c r="A1163" s="439" t="s">
        <v>395</v>
      </c>
      <c r="B1163" s="438">
        <v>-515166.4</v>
      </c>
      <c r="C1163" s="438">
        <v>-418899.3</v>
      </c>
      <c r="D1163" s="438">
        <v>-405862</v>
      </c>
      <c r="E1163" s="438">
        <v>-405862</v>
      </c>
      <c r="F1163" s="438">
        <v>-405862</v>
      </c>
      <c r="G1163" s="438">
        <v>-405862</v>
      </c>
      <c r="H1163" s="438">
        <v>-405862</v>
      </c>
    </row>
    <row r="1164" spans="1:8" s="422" customFormat="1" ht="11.25">
      <c r="A1164" s="439" t="s">
        <v>396</v>
      </c>
      <c r="B1164" s="438">
        <v>678005.7300000001</v>
      </c>
      <c r="C1164" s="438">
        <v>657901.72</v>
      </c>
      <c r="D1164" s="438">
        <v>696320.81999999983</v>
      </c>
      <c r="E1164" s="438">
        <v>732527.81</v>
      </c>
      <c r="F1164" s="438">
        <v>689914.33999999985</v>
      </c>
      <c r="G1164" s="438">
        <v>745475.93800000008</v>
      </c>
      <c r="H1164" s="438">
        <v>749087.223</v>
      </c>
    </row>
    <row r="1165" spans="1:8" s="442" customFormat="1" ht="11.25">
      <c r="A1165" s="440" t="s">
        <v>397</v>
      </c>
      <c r="B1165" s="441">
        <v>0.43176201240972667</v>
      </c>
      <c r="C1165" s="441">
        <v>0.38902201262773689</v>
      </c>
      <c r="D1165" s="441">
        <v>0.3682347362300567</v>
      </c>
      <c r="E1165" s="441">
        <v>0.35652286803234823</v>
      </c>
      <c r="F1165" s="441">
        <v>0.37038762855565949</v>
      </c>
      <c r="G1165" s="441">
        <v>0.35251335563998409</v>
      </c>
      <c r="H1165" s="441">
        <v>0.35141112000211283</v>
      </c>
    </row>
    <row r="1166" spans="1:8" s="422" customFormat="1" ht="11.25"/>
    <row r="1167" spans="1:8" s="422" customFormat="1" ht="11.25">
      <c r="A1167" s="443" t="s">
        <v>594</v>
      </c>
      <c r="B1167" s="443"/>
      <c r="C1167" s="444"/>
    </row>
    <row r="1168" spans="1:8" s="422" customFormat="1" ht="11.25">
      <c r="A1168" s="445" t="s">
        <v>595</v>
      </c>
      <c r="B1168" s="446"/>
      <c r="C1168" s="447"/>
      <c r="D1168" s="439" t="s">
        <v>474</v>
      </c>
      <c r="E1168" s="439" t="s">
        <v>375</v>
      </c>
      <c r="F1168" s="439" t="s">
        <v>9</v>
      </c>
      <c r="G1168" s="439" t="s">
        <v>131</v>
      </c>
      <c r="H1168" s="439" t="s">
        <v>424</v>
      </c>
    </row>
    <row r="1169" spans="1:8" s="422" customFormat="1" ht="11.25">
      <c r="A1169" s="448" t="s">
        <v>690</v>
      </c>
      <c r="B1169" s="449"/>
      <c r="C1169" s="449"/>
      <c r="D1169" s="438">
        <v>0</v>
      </c>
      <c r="E1169" s="438">
        <v>0</v>
      </c>
      <c r="F1169" s="438">
        <v>0</v>
      </c>
      <c r="G1169" s="438">
        <v>0</v>
      </c>
      <c r="H1169" s="438">
        <v>0</v>
      </c>
    </row>
    <row r="1170" spans="1:8" s="422" customFormat="1" ht="11.25">
      <c r="A1170" s="448"/>
      <c r="B1170" s="449"/>
      <c r="C1170" s="449"/>
      <c r="D1170" s="438"/>
      <c r="E1170" s="438"/>
      <c r="F1170" s="438"/>
      <c r="G1170" s="438"/>
      <c r="H1170" s="438"/>
    </row>
    <row r="1171" spans="1:8" s="422" customFormat="1" ht="11.25">
      <c r="A1171" s="448"/>
      <c r="B1171" s="449"/>
      <c r="C1171" s="449"/>
      <c r="D1171" s="438"/>
      <c r="E1171" s="438"/>
      <c r="F1171" s="438"/>
      <c r="G1171" s="438"/>
      <c r="H1171" s="438"/>
    </row>
    <row r="1172" spans="1:8" s="422" customFormat="1" ht="11.25"/>
    <row r="1173" spans="1:8" s="422" customFormat="1" ht="11.25">
      <c r="A1173" s="421" t="s">
        <v>423</v>
      </c>
      <c r="B1173" s="421"/>
      <c r="C1173" s="421"/>
    </row>
    <row r="1174" spans="1:8" s="422" customFormat="1" ht="11.25">
      <c r="A1174" s="450"/>
      <c r="B1174" s="439" t="s">
        <v>132</v>
      </c>
      <c r="C1174" s="439" t="s">
        <v>473</v>
      </c>
      <c r="D1174" s="439" t="s">
        <v>474</v>
      </c>
      <c r="E1174" s="439" t="s">
        <v>375</v>
      </c>
      <c r="F1174" s="439" t="s">
        <v>9</v>
      </c>
      <c r="G1174" s="439" t="s">
        <v>131</v>
      </c>
      <c r="H1174" s="439" t="s">
        <v>424</v>
      </c>
    </row>
    <row r="1175" spans="1:8" s="422" customFormat="1" ht="11.25">
      <c r="A1175" s="451" t="s">
        <v>398</v>
      </c>
      <c r="B1175" s="438">
        <v>31913.8</v>
      </c>
      <c r="C1175" s="438">
        <v>30748.7</v>
      </c>
      <c r="D1175" s="438">
        <v>40000</v>
      </c>
      <c r="E1175" s="438">
        <v>200000</v>
      </c>
      <c r="F1175" s="438">
        <v>200000</v>
      </c>
      <c r="G1175" s="438">
        <v>200000</v>
      </c>
      <c r="H1175" s="438">
        <v>200000</v>
      </c>
    </row>
    <row r="1176" spans="1:8" s="422" customFormat="1" ht="11.25">
      <c r="A1176" s="451" t="s">
        <v>399</v>
      </c>
      <c r="B1176" s="438">
        <v>0</v>
      </c>
      <c r="C1176" s="438">
        <v>0</v>
      </c>
      <c r="D1176" s="438">
        <v>60000</v>
      </c>
      <c r="E1176" s="438">
        <v>50000</v>
      </c>
      <c r="F1176" s="438">
        <v>50000</v>
      </c>
      <c r="G1176" s="438">
        <v>50000</v>
      </c>
      <c r="H1176" s="438">
        <v>50000</v>
      </c>
    </row>
    <row r="1177" spans="1:8" s="422" customFormat="1" ht="11.25">
      <c r="A1177" s="451" t="s">
        <v>400</v>
      </c>
      <c r="B1177" s="438">
        <v>0</v>
      </c>
      <c r="C1177" s="438">
        <v>0</v>
      </c>
      <c r="D1177" s="438">
        <v>0</v>
      </c>
      <c r="E1177" s="438">
        <v>0</v>
      </c>
      <c r="F1177" s="438">
        <v>0</v>
      </c>
      <c r="G1177" s="438">
        <v>0</v>
      </c>
      <c r="H1177" s="438">
        <v>0</v>
      </c>
    </row>
    <row r="1178" spans="1:8" s="422" customFormat="1" ht="11.25">
      <c r="A1178" s="451" t="s">
        <v>401</v>
      </c>
      <c r="B1178" s="438">
        <v>31913.8</v>
      </c>
      <c r="C1178" s="438">
        <v>30748.7</v>
      </c>
      <c r="D1178" s="438">
        <v>100000</v>
      </c>
      <c r="E1178" s="438">
        <v>250000</v>
      </c>
      <c r="F1178" s="438">
        <v>250000</v>
      </c>
      <c r="G1178" s="438">
        <v>250000</v>
      </c>
      <c r="H1178" s="438">
        <v>250000</v>
      </c>
    </row>
    <row r="1179" spans="1:8" s="422" customFormat="1" ht="11.25"/>
    <row r="1180" spans="1:8" s="422" customFormat="1" ht="11.25">
      <c r="A1180" s="421" t="s">
        <v>597</v>
      </c>
      <c r="B1180" s="421"/>
      <c r="C1180" s="421"/>
    </row>
    <row r="1181" spans="1:8" s="429" customFormat="1" ht="11.25">
      <c r="A1181" s="428"/>
      <c r="B1181" s="428"/>
      <c r="C1181" s="428"/>
    </row>
    <row r="1182" spans="1:8" s="429" customFormat="1" ht="11.25">
      <c r="A1182" s="428"/>
      <c r="B1182" s="428"/>
      <c r="C1182" s="428"/>
    </row>
    <row r="1183" spans="1:8" s="429" customFormat="1" ht="11.25">
      <c r="A1183" s="428"/>
      <c r="B1183" s="428"/>
      <c r="C1183" s="428"/>
    </row>
    <row r="1184" spans="1:8" s="422" customFormat="1" ht="11.25"/>
    <row r="1185" spans="1:8" s="422" customFormat="1" ht="11.25">
      <c r="A1185" s="421" t="s">
        <v>598</v>
      </c>
      <c r="B1185" s="421"/>
      <c r="C1185" s="421"/>
    </row>
    <row r="1186" spans="1:8" s="422" customFormat="1" ht="11.25">
      <c r="A1186" s="452" t="s">
        <v>599</v>
      </c>
      <c r="B1186" s="447"/>
      <c r="C1186" s="447"/>
      <c r="D1186" s="447"/>
      <c r="E1186" s="439" t="s">
        <v>375</v>
      </c>
      <c r="F1186" s="439" t="s">
        <v>9</v>
      </c>
      <c r="G1186" s="439" t="s">
        <v>131</v>
      </c>
      <c r="H1186" s="439" t="s">
        <v>424</v>
      </c>
    </row>
    <row r="1187" spans="1:8" s="422" customFormat="1" ht="11.25">
      <c r="A1187" s="448" t="s">
        <v>691</v>
      </c>
      <c r="B1187" s="449"/>
      <c r="C1187" s="449"/>
      <c r="D1187" s="449"/>
      <c r="E1187" s="438">
        <v>0</v>
      </c>
      <c r="F1187" s="438">
        <v>0</v>
      </c>
      <c r="G1187" s="438">
        <v>46080</v>
      </c>
      <c r="H1187" s="438">
        <v>46304.999999999993</v>
      </c>
    </row>
    <row r="1188" spans="1:8" s="422" customFormat="1" ht="11.25">
      <c r="A1188" s="448"/>
      <c r="B1188" s="449"/>
      <c r="C1188" s="449"/>
      <c r="D1188" s="449"/>
      <c r="E1188" s="438">
        <v>0</v>
      </c>
      <c r="F1188" s="438">
        <v>0</v>
      </c>
      <c r="G1188" s="438">
        <v>0</v>
      </c>
      <c r="H1188" s="438">
        <v>0</v>
      </c>
    </row>
    <row r="1189" spans="1:8" s="422" customFormat="1" ht="11.25">
      <c r="A1189" s="448"/>
      <c r="B1189" s="449"/>
      <c r="C1189" s="449"/>
      <c r="D1189" s="449"/>
      <c r="E1189" s="438">
        <v>0</v>
      </c>
      <c r="F1189" s="438">
        <v>0</v>
      </c>
      <c r="G1189" s="438">
        <v>0</v>
      </c>
      <c r="H1189" s="438">
        <v>0</v>
      </c>
    </row>
    <row r="1190" spans="1:8" s="421" customFormat="1" ht="11.25">
      <c r="A1190" s="421" t="s">
        <v>391</v>
      </c>
      <c r="D1190" s="421" t="s">
        <v>472</v>
      </c>
    </row>
    <row r="1191" spans="1:8" s="422" customFormat="1" ht="11.25"/>
    <row r="1192" spans="1:8" s="421" customFormat="1" ht="11.25" customHeight="1">
      <c r="A1192" s="423" t="s">
        <v>392</v>
      </c>
      <c r="D1192" s="421" t="s">
        <v>141</v>
      </c>
    </row>
    <row r="1193" spans="1:8" s="421" customFormat="1" ht="7.5" customHeight="1">
      <c r="A1193" s="423"/>
    </row>
    <row r="1194" spans="1:8" s="421" customFormat="1" ht="11.25">
      <c r="A1194" s="424" t="s">
        <v>393</v>
      </c>
      <c r="D1194" s="583" t="s">
        <v>25</v>
      </c>
      <c r="E1194" s="583"/>
      <c r="F1194" s="583"/>
      <c r="G1194" s="583"/>
      <c r="H1194" s="583"/>
    </row>
    <row r="1195" spans="1:8" s="421" customFormat="1" ht="13.5" customHeight="1"/>
    <row r="1196" spans="1:8" s="422" customFormat="1" ht="11.25">
      <c r="A1196" s="421" t="s">
        <v>170</v>
      </c>
      <c r="B1196" s="421"/>
      <c r="C1196" s="421"/>
      <c r="D1196" s="422" t="s">
        <v>365</v>
      </c>
      <c r="E1196" s="422" t="s">
        <v>206</v>
      </c>
    </row>
    <row r="1197" spans="1:8" s="422" customFormat="1" ht="7.5" customHeight="1"/>
    <row r="1198" spans="1:8" s="427" customFormat="1" ht="11.25">
      <c r="A1198" s="425" t="s">
        <v>587</v>
      </c>
      <c r="B1198" s="425"/>
      <c r="C1198" s="425"/>
      <c r="D1198" s="426" t="s">
        <v>692</v>
      </c>
      <c r="E1198" s="584" t="s">
        <v>693</v>
      </c>
      <c r="F1198" s="584"/>
      <c r="G1198" s="584"/>
      <c r="H1198" s="584"/>
    </row>
    <row r="1199" spans="1:8" s="427" customFormat="1" ht="11.25">
      <c r="A1199" s="425"/>
      <c r="B1199" s="425"/>
      <c r="C1199" s="425"/>
      <c r="D1199" s="426" t="s">
        <v>694</v>
      </c>
      <c r="E1199" s="584" t="s">
        <v>695</v>
      </c>
      <c r="F1199" s="584"/>
      <c r="G1199" s="584"/>
      <c r="H1199" s="584"/>
    </row>
    <row r="1200" spans="1:8" s="427" customFormat="1" ht="11.25">
      <c r="A1200" s="425"/>
      <c r="B1200" s="425"/>
      <c r="C1200" s="425"/>
      <c r="D1200" s="426" t="s">
        <v>696</v>
      </c>
      <c r="E1200" s="584" t="s">
        <v>697</v>
      </c>
      <c r="F1200" s="584"/>
      <c r="G1200" s="584"/>
      <c r="H1200" s="584"/>
    </row>
    <row r="1201" spans="1:8" s="427" customFormat="1" ht="11.25">
      <c r="A1201" s="425"/>
      <c r="B1201" s="425"/>
      <c r="C1201" s="425"/>
      <c r="D1201" s="426" t="s">
        <v>698</v>
      </c>
      <c r="E1201" s="584" t="s">
        <v>699</v>
      </c>
      <c r="F1201" s="584"/>
      <c r="G1201" s="584"/>
      <c r="H1201" s="584"/>
    </row>
    <row r="1202" spans="1:8" s="427" customFormat="1" ht="11.25">
      <c r="A1202" s="425"/>
      <c r="B1202" s="425"/>
      <c r="C1202" s="425"/>
      <c r="D1202" s="426"/>
      <c r="E1202" s="584"/>
      <c r="F1202" s="584"/>
      <c r="G1202" s="584"/>
      <c r="H1202" s="584"/>
    </row>
    <row r="1203" spans="1:8" s="427" customFormat="1" ht="11.25"/>
    <row r="1204" spans="1:8" s="422" customFormat="1" ht="11.25"/>
    <row r="1205" spans="1:8" s="422" customFormat="1" ht="11.25">
      <c r="A1205" s="421" t="s">
        <v>589</v>
      </c>
      <c r="B1205" s="421"/>
      <c r="C1205" s="421"/>
    </row>
    <row r="1206" spans="1:8" s="429" customFormat="1" ht="11.25">
      <c r="A1206" s="428"/>
      <c r="B1206" s="428"/>
      <c r="C1206" s="428"/>
    </row>
    <row r="1207" spans="1:8" s="429" customFormat="1" ht="11.25">
      <c r="A1207" s="428"/>
      <c r="B1207" s="428"/>
      <c r="C1207" s="428"/>
    </row>
    <row r="1208" spans="1:8" s="429" customFormat="1" ht="11.25">
      <c r="A1208" s="428"/>
      <c r="B1208" s="428"/>
      <c r="C1208" s="428"/>
    </row>
    <row r="1209" spans="1:8" s="429" customFormat="1" ht="11.25">
      <c r="A1209" s="428"/>
      <c r="B1209" s="428"/>
      <c r="C1209" s="428"/>
    </row>
    <row r="1210" spans="1:8" s="429" customFormat="1" ht="11.25">
      <c r="A1210" s="428"/>
      <c r="B1210" s="428"/>
      <c r="C1210" s="428"/>
    </row>
    <row r="1211" spans="1:8" s="422" customFormat="1" ht="9" customHeight="1">
      <c r="A1211" s="430"/>
      <c r="B1211" s="430"/>
      <c r="C1211" s="430"/>
      <c r="D1211" s="430"/>
      <c r="E1211" s="430"/>
      <c r="F1211" s="430"/>
      <c r="G1211" s="430"/>
      <c r="H1211" s="430"/>
    </row>
    <row r="1212" spans="1:8" s="422" customFormat="1" ht="22.5" customHeight="1">
      <c r="A1212" s="585" t="s">
        <v>590</v>
      </c>
      <c r="B1212" s="585"/>
      <c r="C1212" s="585"/>
      <c r="D1212" s="586"/>
      <c r="E1212" s="586"/>
      <c r="F1212" s="586"/>
      <c r="G1212" s="586"/>
      <c r="H1212" s="586"/>
    </row>
    <row r="1213" spans="1:8" s="429" customFormat="1" ht="11.25">
      <c r="A1213" s="431"/>
      <c r="B1213" s="431"/>
      <c r="C1213" s="431"/>
      <c r="D1213" s="432"/>
      <c r="E1213" s="432"/>
      <c r="F1213" s="432"/>
      <c r="G1213" s="432"/>
      <c r="H1213" s="432"/>
    </row>
    <row r="1214" spans="1:8" s="429" customFormat="1" ht="11.25">
      <c r="A1214" s="431"/>
      <c r="B1214" s="431"/>
      <c r="C1214" s="431"/>
      <c r="D1214" s="432"/>
      <c r="E1214" s="432"/>
      <c r="F1214" s="432"/>
      <c r="G1214" s="432"/>
      <c r="H1214" s="432"/>
    </row>
    <row r="1215" spans="1:8" s="429" customFormat="1" ht="11.25">
      <c r="A1215" s="431"/>
      <c r="B1215" s="431"/>
      <c r="C1215" s="431"/>
      <c r="D1215" s="432"/>
      <c r="E1215" s="432"/>
      <c r="F1215" s="432"/>
      <c r="G1215" s="432"/>
      <c r="H1215" s="432"/>
    </row>
    <row r="1216" spans="1:8" s="429" customFormat="1" ht="11.25">
      <c r="A1216" s="431"/>
      <c r="B1216" s="431"/>
      <c r="C1216" s="431"/>
      <c r="D1216" s="432"/>
      <c r="E1216" s="432"/>
      <c r="F1216" s="432"/>
      <c r="G1216" s="432"/>
      <c r="H1216" s="432"/>
    </row>
    <row r="1217" spans="1:8" s="429" customFormat="1" ht="11.25">
      <c r="A1217" s="431"/>
      <c r="B1217" s="431"/>
      <c r="C1217" s="431"/>
      <c r="D1217" s="432"/>
      <c r="E1217" s="432"/>
      <c r="F1217" s="432"/>
      <c r="G1217" s="432"/>
      <c r="H1217" s="432"/>
    </row>
    <row r="1218" spans="1:8" s="429" customFormat="1" ht="11.25">
      <c r="A1218" s="431"/>
      <c r="B1218" s="431"/>
      <c r="C1218" s="431"/>
      <c r="D1218" s="432"/>
      <c r="E1218" s="432"/>
      <c r="F1218" s="432"/>
      <c r="G1218" s="432"/>
      <c r="H1218" s="432"/>
    </row>
    <row r="1219" spans="1:8" s="422" customFormat="1" ht="9" customHeight="1"/>
    <row r="1220" spans="1:8" s="422" customFormat="1" ht="9" customHeight="1"/>
    <row r="1221" spans="1:8" s="422" customFormat="1" ht="95.25" customHeight="1"/>
    <row r="1222" spans="1:8" s="422" customFormat="1" ht="18" customHeight="1">
      <c r="A1222" s="421" t="s">
        <v>591</v>
      </c>
      <c r="B1222" s="421"/>
      <c r="C1222" s="421"/>
    </row>
    <row r="1223" spans="1:8" s="429" customFormat="1" ht="13.9" customHeight="1">
      <c r="A1223" s="428"/>
      <c r="B1223" s="428"/>
      <c r="C1223" s="428"/>
    </row>
    <row r="1224" spans="1:8" s="429" customFormat="1" ht="11.25">
      <c r="A1224" s="428"/>
      <c r="B1224" s="428"/>
      <c r="C1224" s="428"/>
    </row>
    <row r="1225" spans="1:8" s="429" customFormat="1" ht="12.6" customHeight="1">
      <c r="A1225" s="428"/>
      <c r="B1225" s="428"/>
      <c r="C1225" s="428"/>
    </row>
    <row r="1226" spans="1:8" s="429" customFormat="1" ht="13.15" customHeight="1">
      <c r="A1226" s="428"/>
      <c r="B1226" s="428"/>
      <c r="C1226" s="428"/>
    </row>
    <row r="1227" spans="1:8" s="429" customFormat="1" ht="13.15" customHeight="1">
      <c r="A1227" s="428"/>
      <c r="B1227" s="428"/>
      <c r="C1227" s="428"/>
    </row>
    <row r="1228" spans="1:8" s="429" customFormat="1" ht="11.25">
      <c r="A1228" s="428"/>
      <c r="B1228" s="428"/>
      <c r="C1228" s="428"/>
    </row>
    <row r="1229" spans="1:8" s="429" customFormat="1" ht="11.25">
      <c r="A1229" s="428"/>
      <c r="B1229" s="428"/>
      <c r="C1229" s="428"/>
    </row>
    <row r="1230" spans="1:8" s="422" customFormat="1" ht="9" customHeight="1"/>
    <row r="1231" spans="1:8" s="422" customFormat="1" ht="11.25">
      <c r="A1231" s="433" t="s">
        <v>592</v>
      </c>
      <c r="B1231" s="434"/>
      <c r="C1231" s="434"/>
      <c r="D1231" s="434"/>
      <c r="E1231" s="434"/>
      <c r="F1231" s="434"/>
      <c r="G1231" s="434"/>
      <c r="H1231" s="434"/>
    </row>
    <row r="1232" spans="1:8" s="429" customFormat="1" ht="11.25">
      <c r="A1232" s="435"/>
      <c r="B1232" s="436"/>
      <c r="C1232" s="436"/>
      <c r="D1232" s="436"/>
      <c r="E1232" s="436"/>
      <c r="F1232" s="436"/>
      <c r="G1232" s="436"/>
      <c r="H1232" s="436"/>
    </row>
    <row r="1233" spans="1:8" s="429" customFormat="1" ht="11.25">
      <c r="A1233" s="435"/>
      <c r="B1233" s="436"/>
      <c r="C1233" s="436"/>
      <c r="D1233" s="436"/>
      <c r="E1233" s="436"/>
      <c r="F1233" s="436"/>
      <c r="G1233" s="436"/>
      <c r="H1233" s="436"/>
    </row>
    <row r="1234" spans="1:8" s="429" customFormat="1" ht="11.25">
      <c r="A1234" s="435"/>
      <c r="B1234" s="436"/>
      <c r="C1234" s="436"/>
      <c r="D1234" s="436"/>
      <c r="E1234" s="436"/>
      <c r="F1234" s="436"/>
      <c r="G1234" s="436"/>
      <c r="H1234" s="436"/>
    </row>
    <row r="1235" spans="1:8" s="429" customFormat="1" ht="11.25">
      <c r="A1235" s="435"/>
      <c r="B1235" s="436"/>
      <c r="C1235" s="436"/>
      <c r="D1235" s="436"/>
      <c r="E1235" s="436"/>
      <c r="F1235" s="436"/>
      <c r="G1235" s="436"/>
      <c r="H1235" s="436"/>
    </row>
    <row r="1236" spans="1:8" s="422" customFormat="1" ht="11.25">
      <c r="A1236" s="437"/>
      <c r="B1236" s="437"/>
      <c r="C1236" s="437"/>
      <c r="D1236" s="437"/>
      <c r="E1236" s="437"/>
      <c r="F1236" s="437"/>
      <c r="G1236" s="437"/>
      <c r="H1236" s="437"/>
    </row>
    <row r="1237" spans="1:8" s="422" customFormat="1" ht="11.25">
      <c r="A1237" s="421" t="s">
        <v>593</v>
      </c>
      <c r="B1237" s="421"/>
      <c r="C1237" s="421"/>
    </row>
    <row r="1238" spans="1:8" s="422" customFormat="1" ht="11.25">
      <c r="A1238" s="438"/>
      <c r="B1238" s="439" t="s">
        <v>132</v>
      </c>
      <c r="C1238" s="439" t="s">
        <v>473</v>
      </c>
      <c r="D1238" s="439" t="s">
        <v>474</v>
      </c>
      <c r="E1238" s="439" t="s">
        <v>375</v>
      </c>
      <c r="F1238" s="439" t="s">
        <v>9</v>
      </c>
      <c r="G1238" s="439" t="s">
        <v>131</v>
      </c>
      <c r="H1238" s="439" t="s">
        <v>424</v>
      </c>
    </row>
    <row r="1239" spans="1:8" s="422" customFormat="1" ht="11.25">
      <c r="A1239" s="439" t="s">
        <v>394</v>
      </c>
      <c r="B1239" s="438">
        <v>2335335.64</v>
      </c>
      <c r="C1239" s="438">
        <v>2288657</v>
      </c>
      <c r="D1239" s="438">
        <v>2272101.25</v>
      </c>
      <c r="E1239" s="438">
        <v>2443376.2779999999</v>
      </c>
      <c r="F1239" s="438">
        <v>2323376.2779999999</v>
      </c>
      <c r="G1239" s="438">
        <v>2461733.7072000001</v>
      </c>
      <c r="H1239" s="438">
        <v>2390075.6461999998</v>
      </c>
    </row>
    <row r="1240" spans="1:8" s="422" customFormat="1" ht="11.25">
      <c r="A1240" s="439" t="s">
        <v>395</v>
      </c>
      <c r="B1240" s="438">
        <v>-37386.65</v>
      </c>
      <c r="C1240" s="438">
        <v>-92759.4</v>
      </c>
      <c r="D1240" s="438">
        <v>-38826.199999999997</v>
      </c>
      <c r="E1240" s="438">
        <v>-38826.199999999997</v>
      </c>
      <c r="F1240" s="438">
        <v>-38826.199999999997</v>
      </c>
      <c r="G1240" s="438">
        <v>-38826.199999999997</v>
      </c>
      <c r="H1240" s="438">
        <v>-38826.199999999997</v>
      </c>
    </row>
    <row r="1241" spans="1:8" s="422" customFormat="1" ht="11.25">
      <c r="A1241" s="439" t="s">
        <v>396</v>
      </c>
      <c r="B1241" s="438">
        <v>2297948.9900000002</v>
      </c>
      <c r="C1241" s="438">
        <v>2195897.6</v>
      </c>
      <c r="D1241" s="438">
        <v>2233275.0499999998</v>
      </c>
      <c r="E1241" s="438">
        <v>2404550.0779999997</v>
      </c>
      <c r="F1241" s="438">
        <v>2284550.0779999997</v>
      </c>
      <c r="G1241" s="438">
        <v>2422907.5071999999</v>
      </c>
      <c r="H1241" s="438">
        <v>2351249.4461999997</v>
      </c>
    </row>
    <row r="1242" spans="1:8" s="442" customFormat="1" ht="11.25">
      <c r="A1242" s="440" t="s">
        <v>397</v>
      </c>
      <c r="B1242" s="441">
        <v>1.6009112077782533E-2</v>
      </c>
      <c r="C1242" s="441">
        <v>4.0530057583989212E-2</v>
      </c>
      <c r="D1242" s="441">
        <v>1.7088234954318167E-2</v>
      </c>
      <c r="E1242" s="441">
        <v>1.5890389192032582E-2</v>
      </c>
      <c r="F1242" s="441">
        <v>1.6711111483595855E-2</v>
      </c>
      <c r="G1242" s="441">
        <v>1.5771892746336603E-2</v>
      </c>
      <c r="H1242" s="441">
        <v>1.6244757801590959E-2</v>
      </c>
    </row>
    <row r="1243" spans="1:8" s="422" customFormat="1" ht="11.25"/>
    <row r="1244" spans="1:8" s="422" customFormat="1" ht="11.25">
      <c r="A1244" s="443" t="s">
        <v>594</v>
      </c>
      <c r="B1244" s="443"/>
      <c r="C1244" s="444"/>
    </row>
    <row r="1245" spans="1:8" s="422" customFormat="1" ht="11.25">
      <c r="A1245" s="445" t="s">
        <v>595</v>
      </c>
      <c r="B1245" s="446"/>
      <c r="C1245" s="447"/>
      <c r="D1245" s="439" t="s">
        <v>474</v>
      </c>
      <c r="E1245" s="439" t="s">
        <v>375</v>
      </c>
      <c r="F1245" s="439" t="s">
        <v>9</v>
      </c>
      <c r="G1245" s="439" t="s">
        <v>131</v>
      </c>
      <c r="H1245" s="439" t="s">
        <v>424</v>
      </c>
    </row>
    <row r="1246" spans="1:8" s="422" customFormat="1" ht="11.25">
      <c r="A1246" s="448" t="s">
        <v>700</v>
      </c>
      <c r="B1246" s="449"/>
      <c r="C1246" s="449"/>
      <c r="D1246" s="457">
        <v>1</v>
      </c>
      <c r="E1246" s="457">
        <v>1</v>
      </c>
      <c r="F1246" s="457">
        <v>1</v>
      </c>
      <c r="G1246" s="457">
        <v>1</v>
      </c>
      <c r="H1246" s="457">
        <v>1</v>
      </c>
    </row>
    <row r="1247" spans="1:8" s="422" customFormat="1" ht="11.25">
      <c r="A1247" s="448" t="s">
        <v>701</v>
      </c>
      <c r="B1247" s="449"/>
      <c r="C1247" s="449"/>
      <c r="D1247" s="457">
        <v>1</v>
      </c>
      <c r="E1247" s="457">
        <v>1</v>
      </c>
      <c r="F1247" s="457">
        <v>1</v>
      </c>
      <c r="G1247" s="457">
        <v>1</v>
      </c>
      <c r="H1247" s="457">
        <v>1</v>
      </c>
    </row>
    <row r="1248" spans="1:8" s="422" customFormat="1" ht="11.25">
      <c r="A1248" s="448"/>
      <c r="B1248" s="449"/>
      <c r="C1248" s="449"/>
      <c r="D1248" s="438"/>
      <c r="E1248" s="438"/>
      <c r="F1248" s="438"/>
      <c r="G1248" s="438"/>
      <c r="H1248" s="438"/>
    </row>
    <row r="1249" spans="1:8" s="422" customFormat="1" ht="11.25"/>
    <row r="1250" spans="1:8" s="422" customFormat="1" ht="11.25">
      <c r="A1250" s="421" t="s">
        <v>423</v>
      </c>
      <c r="B1250" s="421"/>
      <c r="C1250" s="421"/>
    </row>
    <row r="1251" spans="1:8" s="422" customFormat="1" ht="11.25">
      <c r="A1251" s="450"/>
      <c r="B1251" s="439" t="s">
        <v>132</v>
      </c>
      <c r="C1251" s="439" t="s">
        <v>473</v>
      </c>
      <c r="D1251" s="439" t="s">
        <v>474</v>
      </c>
      <c r="E1251" s="439" t="s">
        <v>375</v>
      </c>
      <c r="F1251" s="439" t="s">
        <v>9</v>
      </c>
      <c r="G1251" s="439" t="s">
        <v>131</v>
      </c>
      <c r="H1251" s="439" t="s">
        <v>424</v>
      </c>
    </row>
    <row r="1252" spans="1:8" s="422" customFormat="1" ht="11.25">
      <c r="A1252" s="451" t="s">
        <v>398</v>
      </c>
      <c r="B1252" s="438">
        <v>0</v>
      </c>
      <c r="C1252" s="438">
        <v>0</v>
      </c>
      <c r="D1252" s="438">
        <v>0</v>
      </c>
      <c r="E1252" s="438">
        <v>0</v>
      </c>
      <c r="F1252" s="438">
        <v>0</v>
      </c>
      <c r="G1252" s="438">
        <v>0</v>
      </c>
      <c r="H1252" s="438">
        <v>0</v>
      </c>
    </row>
    <row r="1253" spans="1:8" s="422" customFormat="1" ht="11.25">
      <c r="A1253" s="451" t="s">
        <v>399</v>
      </c>
      <c r="B1253" s="438">
        <v>0</v>
      </c>
      <c r="C1253" s="438">
        <v>0</v>
      </c>
      <c r="D1253" s="438">
        <v>0</v>
      </c>
      <c r="E1253" s="438">
        <v>0</v>
      </c>
      <c r="F1253" s="438">
        <v>0</v>
      </c>
      <c r="G1253" s="438">
        <v>0</v>
      </c>
      <c r="H1253" s="438">
        <v>0</v>
      </c>
    </row>
    <row r="1254" spans="1:8" s="422" customFormat="1" ht="11.25">
      <c r="A1254" s="451" t="s">
        <v>400</v>
      </c>
      <c r="B1254" s="438">
        <v>0</v>
      </c>
      <c r="C1254" s="438">
        <v>0</v>
      </c>
      <c r="D1254" s="438">
        <v>0</v>
      </c>
      <c r="E1254" s="438">
        <v>0</v>
      </c>
      <c r="F1254" s="438">
        <v>0</v>
      </c>
      <c r="G1254" s="438">
        <v>0</v>
      </c>
      <c r="H1254" s="438">
        <v>0</v>
      </c>
    </row>
    <row r="1255" spans="1:8" s="422" customFormat="1" ht="11.25">
      <c r="A1255" s="451" t="s">
        <v>401</v>
      </c>
      <c r="B1255" s="438">
        <v>0</v>
      </c>
      <c r="C1255" s="438">
        <v>0</v>
      </c>
      <c r="D1255" s="438">
        <v>0</v>
      </c>
      <c r="E1255" s="438">
        <v>0</v>
      </c>
      <c r="F1255" s="438">
        <v>0</v>
      </c>
      <c r="G1255" s="438">
        <v>0</v>
      </c>
      <c r="H1255" s="438">
        <v>0</v>
      </c>
    </row>
    <row r="1256" spans="1:8" s="422" customFormat="1" ht="17.25" customHeight="1"/>
    <row r="1257" spans="1:8" s="422" customFormat="1" ht="11.25">
      <c r="A1257" s="421" t="s">
        <v>597</v>
      </c>
      <c r="B1257" s="421"/>
      <c r="C1257" s="421"/>
    </row>
    <row r="1258" spans="1:8" s="429" customFormat="1" ht="11.25">
      <c r="A1258" s="428"/>
      <c r="B1258" s="428"/>
      <c r="C1258" s="428"/>
    </row>
    <row r="1259" spans="1:8" s="429" customFormat="1" ht="11.25">
      <c r="A1259" s="428"/>
      <c r="B1259" s="428"/>
      <c r="C1259" s="428"/>
    </row>
    <row r="1260" spans="1:8" s="429" customFormat="1" ht="11.25">
      <c r="A1260" s="428"/>
      <c r="B1260" s="428"/>
      <c r="C1260" s="428"/>
    </row>
    <row r="1261" spans="1:8" s="422" customFormat="1" ht="11.25"/>
    <row r="1262" spans="1:8" s="422" customFormat="1" ht="11.25">
      <c r="A1262" s="421" t="s">
        <v>598</v>
      </c>
      <c r="B1262" s="421"/>
      <c r="C1262" s="421"/>
    </row>
    <row r="1263" spans="1:8" s="422" customFormat="1" ht="11.25">
      <c r="A1263" s="452" t="s">
        <v>599</v>
      </c>
      <c r="B1263" s="447"/>
      <c r="C1263" s="447"/>
      <c r="D1263" s="447"/>
      <c r="E1263" s="439" t="s">
        <v>375</v>
      </c>
      <c r="F1263" s="439" t="s">
        <v>9</v>
      </c>
      <c r="G1263" s="439" t="s">
        <v>131</v>
      </c>
      <c r="H1263" s="439" t="s">
        <v>424</v>
      </c>
    </row>
    <row r="1264" spans="1:8" s="422" customFormat="1" ht="11.25">
      <c r="A1264" s="448" t="s">
        <v>426</v>
      </c>
      <c r="B1264" s="449"/>
      <c r="C1264" s="449"/>
      <c r="D1264" s="449"/>
      <c r="E1264" s="438">
        <v>40000</v>
      </c>
      <c r="F1264" s="438">
        <v>40000</v>
      </c>
      <c r="G1264" s="438">
        <v>40000</v>
      </c>
      <c r="H1264" s="438">
        <v>40000</v>
      </c>
    </row>
    <row r="1265" spans="1:8" s="422" customFormat="1" ht="11.25">
      <c r="A1265" s="448" t="s">
        <v>427</v>
      </c>
      <c r="B1265" s="449"/>
      <c r="C1265" s="449"/>
      <c r="D1265" s="449"/>
      <c r="E1265" s="438">
        <v>0</v>
      </c>
      <c r="F1265" s="438">
        <v>0</v>
      </c>
      <c r="G1265" s="438">
        <v>50000</v>
      </c>
      <c r="H1265" s="438">
        <v>50000</v>
      </c>
    </row>
    <row r="1266" spans="1:8" s="422" customFormat="1" ht="11.25">
      <c r="A1266" s="448" t="s">
        <v>428</v>
      </c>
      <c r="B1266" s="449"/>
      <c r="C1266" s="449"/>
      <c r="D1266" s="449"/>
      <c r="E1266" s="438">
        <v>40000</v>
      </c>
      <c r="F1266" s="438">
        <v>40000</v>
      </c>
      <c r="G1266" s="438">
        <v>0</v>
      </c>
      <c r="H1266" s="438">
        <v>0</v>
      </c>
    </row>
    <row r="1267" spans="1:8" s="421" customFormat="1" ht="11.25">
      <c r="A1267" s="421" t="s">
        <v>391</v>
      </c>
      <c r="D1267" s="421" t="s">
        <v>472</v>
      </c>
    </row>
    <row r="1268" spans="1:8" s="422" customFormat="1" ht="11.25"/>
    <row r="1269" spans="1:8" s="421" customFormat="1" ht="11.25" customHeight="1">
      <c r="A1269" s="423" t="s">
        <v>392</v>
      </c>
      <c r="D1269" s="421" t="s">
        <v>141</v>
      </c>
    </row>
    <row r="1270" spans="1:8" s="421" customFormat="1" ht="7.5" customHeight="1">
      <c r="A1270" s="423"/>
    </row>
    <row r="1271" spans="1:8" s="421" customFormat="1" ht="11.25">
      <c r="A1271" s="424" t="s">
        <v>393</v>
      </c>
      <c r="D1271" s="583" t="s">
        <v>26</v>
      </c>
      <c r="E1271" s="583"/>
      <c r="F1271" s="583"/>
      <c r="G1271" s="583"/>
      <c r="H1271" s="583"/>
    </row>
    <row r="1272" spans="1:8" s="421" customFormat="1" ht="7.5" customHeight="1"/>
    <row r="1273" spans="1:8" s="422" customFormat="1" ht="11.25">
      <c r="A1273" s="421" t="s">
        <v>170</v>
      </c>
      <c r="B1273" s="421"/>
      <c r="C1273" s="421"/>
      <c r="D1273" s="422" t="s">
        <v>207</v>
      </c>
      <c r="E1273" s="422" t="s">
        <v>702</v>
      </c>
    </row>
    <row r="1274" spans="1:8" s="422" customFormat="1" ht="7.5" customHeight="1"/>
    <row r="1275" spans="1:8" s="427" customFormat="1" ht="11.25">
      <c r="A1275" s="425" t="s">
        <v>587</v>
      </c>
      <c r="B1275" s="425"/>
      <c r="C1275" s="425"/>
      <c r="D1275" s="426" t="s">
        <v>703</v>
      </c>
      <c r="E1275" s="584" t="s">
        <v>704</v>
      </c>
      <c r="F1275" s="584"/>
      <c r="G1275" s="584"/>
      <c r="H1275" s="584"/>
    </row>
    <row r="1276" spans="1:8" s="427" customFormat="1" ht="11.25">
      <c r="A1276" s="425"/>
      <c r="B1276" s="425"/>
      <c r="C1276" s="425"/>
      <c r="D1276" s="426" t="s">
        <v>705</v>
      </c>
      <c r="E1276" s="584" t="s">
        <v>706</v>
      </c>
      <c r="F1276" s="584"/>
      <c r="G1276" s="584"/>
      <c r="H1276" s="584"/>
    </row>
    <row r="1277" spans="1:8" s="427" customFormat="1" ht="11.25">
      <c r="A1277" s="425"/>
      <c r="B1277" s="425"/>
      <c r="C1277" s="425"/>
      <c r="D1277" s="426" t="s">
        <v>707</v>
      </c>
      <c r="E1277" s="584" t="s">
        <v>708</v>
      </c>
      <c r="F1277" s="584"/>
      <c r="G1277" s="584"/>
      <c r="H1277" s="584"/>
    </row>
    <row r="1278" spans="1:8" s="427" customFormat="1" ht="11.25">
      <c r="A1278" s="425"/>
      <c r="B1278" s="425"/>
      <c r="C1278" s="425"/>
      <c r="D1278" s="426" t="s">
        <v>709</v>
      </c>
      <c r="E1278" s="584" t="s">
        <v>710</v>
      </c>
      <c r="F1278" s="584"/>
      <c r="G1278" s="584"/>
      <c r="H1278" s="584"/>
    </row>
    <row r="1279" spans="1:8" s="427" customFormat="1" ht="11.25">
      <c r="A1279" s="425"/>
      <c r="B1279" s="425"/>
      <c r="C1279" s="425"/>
      <c r="D1279" s="426" t="s">
        <v>709</v>
      </c>
      <c r="E1279" s="584" t="s">
        <v>710</v>
      </c>
      <c r="F1279" s="584"/>
      <c r="G1279" s="584"/>
      <c r="H1279" s="584"/>
    </row>
    <row r="1280" spans="1:8" s="427" customFormat="1" ht="11.25">
      <c r="A1280" s="425"/>
      <c r="B1280" s="425"/>
      <c r="C1280" s="425"/>
      <c r="D1280" s="426"/>
      <c r="E1280" s="584"/>
      <c r="F1280" s="584"/>
      <c r="G1280" s="584"/>
      <c r="H1280" s="584"/>
    </row>
    <row r="1281" spans="1:8" s="427" customFormat="1" ht="11.25"/>
    <row r="1282" spans="1:8" s="422" customFormat="1" ht="11.25"/>
    <row r="1283" spans="1:8" s="422" customFormat="1" ht="11.25">
      <c r="A1283" s="421" t="s">
        <v>589</v>
      </c>
      <c r="B1283" s="421"/>
      <c r="C1283" s="421"/>
    </row>
    <row r="1284" spans="1:8" s="429" customFormat="1" ht="11.25">
      <c r="A1284" s="428"/>
      <c r="B1284" s="428"/>
      <c r="C1284" s="428"/>
    </row>
    <row r="1285" spans="1:8" s="429" customFormat="1" ht="11.25">
      <c r="A1285" s="428"/>
      <c r="B1285" s="428"/>
      <c r="C1285" s="428"/>
    </row>
    <row r="1286" spans="1:8" s="429" customFormat="1" ht="11.25">
      <c r="A1286" s="428"/>
      <c r="B1286" s="428"/>
      <c r="C1286" s="428"/>
    </row>
    <row r="1287" spans="1:8" s="429" customFormat="1" ht="11.25">
      <c r="A1287" s="428"/>
      <c r="B1287" s="428"/>
      <c r="C1287" s="428"/>
    </row>
    <row r="1288" spans="1:8" s="422" customFormat="1" ht="9" customHeight="1">
      <c r="A1288" s="430"/>
      <c r="B1288" s="430"/>
      <c r="C1288" s="430"/>
      <c r="D1288" s="430"/>
      <c r="E1288" s="430"/>
      <c r="F1288" s="430"/>
      <c r="G1288" s="430"/>
      <c r="H1288" s="430"/>
    </row>
    <row r="1289" spans="1:8" s="422" customFormat="1" ht="22.5" customHeight="1">
      <c r="A1289" s="585" t="s">
        <v>590</v>
      </c>
      <c r="B1289" s="585"/>
      <c r="C1289" s="585"/>
      <c r="D1289" s="586"/>
      <c r="E1289" s="586"/>
      <c r="F1289" s="586"/>
      <c r="G1289" s="586"/>
      <c r="H1289" s="586"/>
    </row>
    <row r="1290" spans="1:8" s="429" customFormat="1" ht="11.25">
      <c r="A1290" s="431"/>
      <c r="B1290" s="431"/>
      <c r="C1290" s="431"/>
      <c r="D1290" s="432"/>
      <c r="E1290" s="432"/>
      <c r="F1290" s="432"/>
      <c r="G1290" s="432"/>
      <c r="H1290" s="432"/>
    </row>
    <row r="1291" spans="1:8" s="429" customFormat="1" ht="11.25">
      <c r="A1291" s="431"/>
      <c r="B1291" s="431"/>
      <c r="C1291" s="431"/>
      <c r="D1291" s="432"/>
      <c r="E1291" s="432"/>
      <c r="F1291" s="432"/>
      <c r="G1291" s="432"/>
      <c r="H1291" s="432"/>
    </row>
    <row r="1292" spans="1:8" s="429" customFormat="1" ht="11.25">
      <c r="A1292" s="431"/>
      <c r="B1292" s="431"/>
      <c r="C1292" s="431"/>
      <c r="D1292" s="432"/>
      <c r="E1292" s="432"/>
      <c r="F1292" s="432"/>
      <c r="G1292" s="432"/>
      <c r="H1292" s="432"/>
    </row>
    <row r="1293" spans="1:8" s="429" customFormat="1" ht="11.25">
      <c r="A1293" s="431"/>
      <c r="B1293" s="431"/>
      <c r="C1293" s="431"/>
      <c r="D1293" s="432"/>
      <c r="E1293" s="432"/>
      <c r="F1293" s="432"/>
      <c r="G1293" s="432"/>
      <c r="H1293" s="432"/>
    </row>
    <row r="1294" spans="1:8" s="422" customFormat="1" ht="9" customHeight="1"/>
    <row r="1295" spans="1:8" s="422" customFormat="1" ht="9" customHeight="1"/>
    <row r="1296" spans="1:8" s="422" customFormat="1" ht="9" customHeight="1"/>
    <row r="1297" spans="1:8" s="422" customFormat="1" ht="9" customHeight="1"/>
    <row r="1298" spans="1:8" s="422" customFormat="1" ht="9" customHeight="1"/>
    <row r="1299" spans="1:8" s="422" customFormat="1" ht="11.25">
      <c r="A1299" s="421" t="s">
        <v>591</v>
      </c>
      <c r="B1299" s="421"/>
      <c r="C1299" s="421"/>
    </row>
    <row r="1300" spans="1:8" s="429" customFormat="1" ht="11.25">
      <c r="A1300" s="428"/>
      <c r="B1300" s="428"/>
      <c r="C1300" s="428"/>
    </row>
    <row r="1301" spans="1:8" s="429" customFormat="1" ht="11.25">
      <c r="A1301" s="428"/>
      <c r="B1301" s="428"/>
      <c r="C1301" s="428"/>
    </row>
    <row r="1302" spans="1:8" s="429" customFormat="1" ht="9" customHeight="1">
      <c r="A1302" s="428" t="s">
        <v>591</v>
      </c>
      <c r="B1302" s="428"/>
      <c r="C1302" s="428"/>
    </row>
    <row r="1303" spans="1:8" s="429" customFormat="1" ht="11.25">
      <c r="A1303" s="428"/>
      <c r="B1303" s="428"/>
      <c r="C1303" s="428"/>
    </row>
    <row r="1304" spans="1:8" s="429" customFormat="1" ht="11.25">
      <c r="A1304" s="428"/>
      <c r="B1304" s="428"/>
      <c r="C1304" s="428"/>
    </row>
    <row r="1305" spans="1:8" s="422" customFormat="1" ht="21" customHeight="1"/>
    <row r="1306" spans="1:8" s="422" customFormat="1" ht="11.25">
      <c r="A1306" s="433" t="s">
        <v>592</v>
      </c>
      <c r="B1306" s="434"/>
      <c r="C1306" s="434"/>
      <c r="D1306" s="434"/>
      <c r="E1306" s="434"/>
      <c r="F1306" s="434"/>
      <c r="G1306" s="434"/>
      <c r="H1306" s="434"/>
    </row>
    <row r="1307" spans="1:8" s="429" customFormat="1" ht="11.25">
      <c r="A1307" s="435"/>
      <c r="B1307" s="436"/>
      <c r="C1307" s="436"/>
      <c r="D1307" s="436"/>
      <c r="E1307" s="436"/>
      <c r="F1307" s="436"/>
      <c r="G1307" s="436"/>
      <c r="H1307" s="436"/>
    </row>
    <row r="1308" spans="1:8" s="429" customFormat="1" ht="19.899999999999999" customHeight="1">
      <c r="A1308" s="435"/>
      <c r="B1308" s="436"/>
      <c r="C1308" s="436"/>
      <c r="D1308" s="436"/>
      <c r="E1308" s="436"/>
      <c r="F1308" s="436"/>
      <c r="G1308" s="436"/>
      <c r="H1308" s="436"/>
    </row>
    <row r="1309" spans="1:8" s="422" customFormat="1" ht="11.25">
      <c r="A1309" s="437"/>
      <c r="B1309" s="437"/>
      <c r="C1309" s="437"/>
      <c r="D1309" s="437"/>
      <c r="E1309" s="437"/>
      <c r="F1309" s="437"/>
      <c r="G1309" s="437"/>
      <c r="H1309" s="437"/>
    </row>
    <row r="1310" spans="1:8" s="422" customFormat="1" ht="11.25">
      <c r="A1310" s="421" t="s">
        <v>593</v>
      </c>
      <c r="B1310" s="421"/>
      <c r="C1310" s="421"/>
    </row>
    <row r="1311" spans="1:8" s="422" customFormat="1" ht="11.25">
      <c r="A1311" s="438"/>
      <c r="B1311" s="439" t="s">
        <v>132</v>
      </c>
      <c r="C1311" s="439" t="s">
        <v>473</v>
      </c>
      <c r="D1311" s="439" t="s">
        <v>474</v>
      </c>
      <c r="E1311" s="439" t="s">
        <v>375</v>
      </c>
      <c r="F1311" s="439" t="s">
        <v>9</v>
      </c>
      <c r="G1311" s="439" t="s">
        <v>131</v>
      </c>
      <c r="H1311" s="439" t="s">
        <v>424</v>
      </c>
    </row>
    <row r="1312" spans="1:8" s="422" customFormat="1" ht="11.25">
      <c r="A1312" s="439" t="s">
        <v>394</v>
      </c>
      <c r="B1312" s="438">
        <v>3834872.7300000004</v>
      </c>
      <c r="C1312" s="438">
        <v>3891774</v>
      </c>
      <c r="D1312" s="438">
        <v>3860079.35</v>
      </c>
      <c r="E1312" s="438">
        <v>3911101.9529000004</v>
      </c>
      <c r="F1312" s="438">
        <v>3874753.66</v>
      </c>
      <c r="G1312" s="438">
        <v>3910016.1320000002</v>
      </c>
      <c r="H1312" s="438">
        <v>3922609.872</v>
      </c>
    </row>
    <row r="1313" spans="1:8" s="422" customFormat="1" ht="11.25">
      <c r="A1313" s="439" t="s">
        <v>395</v>
      </c>
      <c r="B1313" s="438">
        <v>-3225034.4</v>
      </c>
      <c r="C1313" s="438">
        <v>-3141141.8200000003</v>
      </c>
      <c r="D1313" s="438">
        <v>-2491123.7600000002</v>
      </c>
      <c r="E1313" s="438">
        <v>-2611123.7600000002</v>
      </c>
      <c r="F1313" s="438">
        <v>-2611123.7600000002</v>
      </c>
      <c r="G1313" s="438">
        <v>-2611123.7600000002</v>
      </c>
      <c r="H1313" s="438">
        <v>-2611123.7600000002</v>
      </c>
    </row>
    <row r="1314" spans="1:8" s="422" customFormat="1" ht="11.25">
      <c r="A1314" s="439" t="s">
        <v>396</v>
      </c>
      <c r="B1314" s="438">
        <v>609838.33000000054</v>
      </c>
      <c r="C1314" s="438">
        <v>750632.1799999997</v>
      </c>
      <c r="D1314" s="438">
        <v>1368955.5899999999</v>
      </c>
      <c r="E1314" s="438">
        <v>1299978.1929000001</v>
      </c>
      <c r="F1314" s="438">
        <v>1263629.8999999999</v>
      </c>
      <c r="G1314" s="438">
        <v>1298892.372</v>
      </c>
      <c r="H1314" s="438">
        <v>1311486.1119999997</v>
      </c>
    </row>
    <row r="1315" spans="1:8" s="442" customFormat="1" ht="11.25">
      <c r="A1315" s="440" t="s">
        <v>397</v>
      </c>
      <c r="B1315" s="441">
        <v>0.84097560129459614</v>
      </c>
      <c r="C1315" s="441">
        <v>0.8071233889737689</v>
      </c>
      <c r="D1315" s="441">
        <v>0.64535558316955333</v>
      </c>
      <c r="E1315" s="441">
        <v>0.66761843374190399</v>
      </c>
      <c r="F1315" s="441">
        <v>0.67388122939407713</v>
      </c>
      <c r="G1315" s="441">
        <v>0.66780383298940316</v>
      </c>
      <c r="H1315" s="441">
        <v>0.66565981456337908</v>
      </c>
    </row>
    <row r="1316" spans="1:8" s="422" customFormat="1" ht="11.25"/>
    <row r="1317" spans="1:8" s="422" customFormat="1" ht="11.25">
      <c r="A1317" s="443" t="s">
        <v>594</v>
      </c>
      <c r="B1317" s="443"/>
      <c r="C1317" s="444"/>
    </row>
    <row r="1318" spans="1:8" s="422" customFormat="1" ht="11.25">
      <c r="A1318" s="445" t="s">
        <v>595</v>
      </c>
      <c r="B1318" s="446"/>
      <c r="C1318" s="447"/>
      <c r="D1318" s="439" t="s">
        <v>474</v>
      </c>
      <c r="E1318" s="439" t="s">
        <v>375</v>
      </c>
      <c r="F1318" s="439" t="s">
        <v>9</v>
      </c>
      <c r="G1318" s="439" t="s">
        <v>131</v>
      </c>
      <c r="H1318" s="439" t="s">
        <v>424</v>
      </c>
    </row>
    <row r="1319" spans="1:8" s="422" customFormat="1" ht="11.25">
      <c r="A1319" s="448" t="s">
        <v>711</v>
      </c>
      <c r="B1319" s="449"/>
      <c r="C1319" s="449"/>
      <c r="D1319" s="457">
        <v>0.9</v>
      </c>
      <c r="E1319" s="457">
        <v>0.9</v>
      </c>
      <c r="F1319" s="457">
        <v>0.9</v>
      </c>
      <c r="G1319" s="457">
        <v>0.9</v>
      </c>
      <c r="H1319" s="457">
        <v>0.9</v>
      </c>
    </row>
    <row r="1320" spans="1:8" s="422" customFormat="1" ht="11.25">
      <c r="A1320" s="448"/>
      <c r="B1320" s="449"/>
      <c r="C1320" s="449"/>
      <c r="D1320" s="438"/>
      <c r="E1320" s="438"/>
      <c r="F1320" s="438"/>
      <c r="G1320" s="438"/>
      <c r="H1320" s="438"/>
    </row>
    <row r="1321" spans="1:8" s="422" customFormat="1" ht="11.25">
      <c r="A1321" s="448"/>
      <c r="B1321" s="449"/>
      <c r="C1321" s="449"/>
      <c r="D1321" s="438"/>
      <c r="E1321" s="438"/>
      <c r="F1321" s="438"/>
      <c r="G1321" s="438"/>
      <c r="H1321" s="438"/>
    </row>
    <row r="1322" spans="1:8" s="422" customFormat="1" ht="11.25"/>
    <row r="1323" spans="1:8" s="422" customFormat="1" ht="11.25">
      <c r="A1323" s="421" t="s">
        <v>423</v>
      </c>
      <c r="B1323" s="421"/>
      <c r="C1323" s="421"/>
    </row>
    <row r="1324" spans="1:8" s="422" customFormat="1" ht="11.25">
      <c r="A1324" s="450"/>
      <c r="B1324" s="439" t="s">
        <v>132</v>
      </c>
      <c r="C1324" s="439" t="s">
        <v>473</v>
      </c>
      <c r="D1324" s="439" t="s">
        <v>474</v>
      </c>
      <c r="E1324" s="439" t="s">
        <v>375</v>
      </c>
      <c r="F1324" s="439" t="s">
        <v>9</v>
      </c>
      <c r="G1324" s="439" t="s">
        <v>131</v>
      </c>
      <c r="H1324" s="439" t="s">
        <v>424</v>
      </c>
    </row>
    <row r="1325" spans="1:8" s="422" customFormat="1" ht="11.25">
      <c r="A1325" s="451" t="s">
        <v>398</v>
      </c>
      <c r="B1325" s="438">
        <v>0</v>
      </c>
      <c r="C1325" s="438">
        <v>23657.55</v>
      </c>
      <c r="D1325" s="438">
        <v>25000</v>
      </c>
      <c r="E1325" s="438">
        <v>25000</v>
      </c>
      <c r="F1325" s="438">
        <v>0</v>
      </c>
      <c r="G1325" s="438">
        <v>0</v>
      </c>
      <c r="H1325" s="438">
        <v>0</v>
      </c>
    </row>
    <row r="1326" spans="1:8" s="422" customFormat="1" ht="11.25">
      <c r="A1326" s="451" t="s">
        <v>399</v>
      </c>
      <c r="B1326" s="438">
        <v>0</v>
      </c>
      <c r="C1326" s="438">
        <v>0</v>
      </c>
      <c r="D1326" s="438">
        <v>25000</v>
      </c>
      <c r="E1326" s="438">
        <v>25000</v>
      </c>
      <c r="F1326" s="438">
        <v>0</v>
      </c>
      <c r="G1326" s="438">
        <v>0</v>
      </c>
      <c r="H1326" s="438">
        <v>0</v>
      </c>
    </row>
    <row r="1327" spans="1:8" s="422" customFormat="1" ht="11.25">
      <c r="A1327" s="451" t="s">
        <v>400</v>
      </c>
      <c r="B1327" s="438">
        <v>0</v>
      </c>
      <c r="C1327" s="438">
        <v>0</v>
      </c>
      <c r="D1327" s="438">
        <v>0</v>
      </c>
      <c r="E1327" s="438">
        <v>0</v>
      </c>
      <c r="F1327" s="438">
        <v>0</v>
      </c>
      <c r="G1327" s="438">
        <v>0</v>
      </c>
      <c r="H1327" s="438">
        <v>0</v>
      </c>
    </row>
    <row r="1328" spans="1:8" s="422" customFormat="1" ht="11.25">
      <c r="A1328" s="451" t="s">
        <v>401</v>
      </c>
      <c r="B1328" s="438">
        <v>0</v>
      </c>
      <c r="C1328" s="438">
        <v>23657.55</v>
      </c>
      <c r="D1328" s="438">
        <v>50000</v>
      </c>
      <c r="E1328" s="438">
        <v>50000</v>
      </c>
      <c r="F1328" s="438">
        <v>0</v>
      </c>
      <c r="G1328" s="438">
        <v>0</v>
      </c>
      <c r="H1328" s="438">
        <v>0</v>
      </c>
    </row>
    <row r="1329" spans="1:8" s="422" customFormat="1" ht="11.25"/>
    <row r="1330" spans="1:8" s="422" customFormat="1" ht="11.25">
      <c r="A1330" s="421" t="s">
        <v>597</v>
      </c>
      <c r="B1330" s="421"/>
      <c r="C1330" s="421"/>
    </row>
    <row r="1331" spans="1:8" s="429" customFormat="1" ht="11.25">
      <c r="A1331" s="428">
        <v>1</v>
      </c>
      <c r="B1331" s="428"/>
      <c r="C1331" s="428"/>
    </row>
    <row r="1332" spans="1:8" s="429" customFormat="1" ht="11.25">
      <c r="A1332" s="428"/>
      <c r="B1332" s="428"/>
      <c r="C1332" s="428"/>
    </row>
    <row r="1333" spans="1:8" s="429" customFormat="1" ht="11.25">
      <c r="A1333" s="428"/>
      <c r="B1333" s="428"/>
      <c r="C1333" s="428"/>
    </row>
    <row r="1334" spans="1:8" s="422" customFormat="1" ht="11.25"/>
    <row r="1335" spans="1:8" s="422" customFormat="1" ht="11.25">
      <c r="A1335" s="421" t="s">
        <v>598</v>
      </c>
      <c r="B1335" s="421"/>
      <c r="C1335" s="421"/>
    </row>
    <row r="1336" spans="1:8" s="422" customFormat="1" ht="11.25">
      <c r="A1336" s="452" t="s">
        <v>599</v>
      </c>
      <c r="B1336" s="447"/>
      <c r="C1336" s="447"/>
      <c r="D1336" s="447"/>
      <c r="E1336" s="439" t="s">
        <v>375</v>
      </c>
      <c r="F1336" s="439" t="s">
        <v>9</v>
      </c>
      <c r="G1336" s="439" t="s">
        <v>131</v>
      </c>
      <c r="H1336" s="439" t="s">
        <v>424</v>
      </c>
    </row>
    <row r="1337" spans="1:8" s="422" customFormat="1" ht="11.25">
      <c r="A1337" s="448"/>
      <c r="B1337" s="449"/>
      <c r="C1337" s="449"/>
      <c r="D1337" s="449"/>
      <c r="E1337" s="438">
        <v>0</v>
      </c>
      <c r="F1337" s="438">
        <v>0</v>
      </c>
      <c r="G1337" s="438">
        <v>0</v>
      </c>
      <c r="H1337" s="438">
        <v>0</v>
      </c>
    </row>
    <row r="1338" spans="1:8" s="422" customFormat="1" ht="11.25">
      <c r="A1338" s="448"/>
      <c r="B1338" s="449"/>
      <c r="C1338" s="449"/>
      <c r="D1338" s="449"/>
      <c r="E1338" s="438">
        <v>0</v>
      </c>
      <c r="F1338" s="438">
        <v>0</v>
      </c>
      <c r="G1338" s="438">
        <v>0</v>
      </c>
      <c r="H1338" s="438">
        <v>0</v>
      </c>
    </row>
    <row r="1339" spans="1:8" s="422" customFormat="1" ht="11.25">
      <c r="A1339" s="448"/>
      <c r="B1339" s="449"/>
      <c r="C1339" s="449"/>
      <c r="D1339" s="449"/>
      <c r="E1339" s="438">
        <v>0</v>
      </c>
      <c r="F1339" s="438">
        <v>0</v>
      </c>
      <c r="G1339" s="438">
        <v>0</v>
      </c>
      <c r="H1339" s="438">
        <v>0</v>
      </c>
    </row>
    <row r="1340" spans="1:8" s="421" customFormat="1" ht="11.25">
      <c r="A1340" s="421" t="s">
        <v>391</v>
      </c>
      <c r="D1340" s="421" t="s">
        <v>472</v>
      </c>
    </row>
    <row r="1341" spans="1:8" s="422" customFormat="1" ht="11.25"/>
    <row r="1342" spans="1:8" s="421" customFormat="1" ht="11.25" customHeight="1">
      <c r="A1342" s="423" t="s">
        <v>392</v>
      </c>
      <c r="D1342" s="421" t="s">
        <v>141</v>
      </c>
    </row>
    <row r="1343" spans="1:8" s="421" customFormat="1" ht="7.5" customHeight="1">
      <c r="A1343" s="423"/>
    </row>
    <row r="1344" spans="1:8" s="421" customFormat="1" ht="11.25">
      <c r="A1344" s="424" t="s">
        <v>393</v>
      </c>
      <c r="D1344" s="583" t="s">
        <v>26</v>
      </c>
      <c r="E1344" s="583"/>
      <c r="F1344" s="583"/>
      <c r="G1344" s="583"/>
      <c r="H1344" s="583"/>
    </row>
    <row r="1345" spans="1:8" s="421" customFormat="1" ht="7.5" customHeight="1"/>
    <row r="1346" spans="1:8" s="422" customFormat="1" ht="11.25">
      <c r="A1346" s="421" t="s">
        <v>170</v>
      </c>
      <c r="B1346" s="421"/>
      <c r="C1346" s="421"/>
      <c r="D1346" s="422" t="s">
        <v>208</v>
      </c>
      <c r="E1346" s="422" t="s">
        <v>209</v>
      </c>
    </row>
    <row r="1347" spans="1:8" s="422" customFormat="1" ht="7.5" customHeight="1"/>
    <row r="1348" spans="1:8" s="427" customFormat="1" ht="11.25">
      <c r="A1348" s="425" t="s">
        <v>587</v>
      </c>
      <c r="B1348" s="425"/>
      <c r="C1348" s="425"/>
      <c r="D1348" s="426" t="s">
        <v>712</v>
      </c>
      <c r="E1348" s="584" t="s">
        <v>713</v>
      </c>
      <c r="F1348" s="584"/>
      <c r="G1348" s="584"/>
      <c r="H1348" s="584"/>
    </row>
    <row r="1349" spans="1:8" s="427" customFormat="1" ht="11.25">
      <c r="A1349" s="425"/>
      <c r="B1349" s="425"/>
      <c r="C1349" s="425"/>
      <c r="D1349" s="426" t="s">
        <v>714</v>
      </c>
      <c r="E1349" s="584" t="s">
        <v>715</v>
      </c>
      <c r="F1349" s="584"/>
      <c r="G1349" s="584"/>
      <c r="H1349" s="584"/>
    </row>
    <row r="1350" spans="1:8" s="427" customFormat="1" ht="11.25">
      <c r="A1350" s="425"/>
      <c r="B1350" s="425"/>
      <c r="C1350" s="425"/>
      <c r="D1350" s="426"/>
      <c r="E1350" s="584"/>
      <c r="F1350" s="584"/>
      <c r="G1350" s="584"/>
      <c r="H1350" s="584"/>
    </row>
    <row r="1351" spans="1:8" s="427" customFormat="1" ht="11.25"/>
    <row r="1352" spans="1:8" s="422" customFormat="1" ht="11.25"/>
    <row r="1353" spans="1:8" s="422" customFormat="1" ht="11.25">
      <c r="A1353" s="421" t="s">
        <v>589</v>
      </c>
      <c r="B1353" s="421"/>
      <c r="C1353" s="421"/>
    </row>
    <row r="1354" spans="1:8" s="429" customFormat="1" ht="11.25">
      <c r="A1354" s="428"/>
      <c r="B1354" s="428"/>
      <c r="C1354" s="428"/>
    </row>
    <row r="1355" spans="1:8" s="429" customFormat="1" ht="11.25">
      <c r="A1355" s="428"/>
      <c r="B1355" s="428"/>
      <c r="C1355" s="428"/>
    </row>
    <row r="1356" spans="1:8" s="429" customFormat="1" ht="11.25">
      <c r="A1356" s="428"/>
      <c r="B1356" s="428"/>
      <c r="C1356" s="428"/>
    </row>
    <row r="1357" spans="1:8" s="429" customFormat="1" ht="11.25">
      <c r="A1357" s="428"/>
      <c r="B1357" s="428"/>
      <c r="C1357" s="428"/>
    </row>
    <row r="1358" spans="1:8" s="429" customFormat="1" ht="11.25">
      <c r="A1358" s="428"/>
      <c r="B1358" s="428"/>
      <c r="C1358" s="428"/>
    </row>
    <row r="1359" spans="1:8" s="429" customFormat="1" ht="11.25">
      <c r="A1359" s="428"/>
      <c r="B1359" s="428"/>
      <c r="C1359" s="428"/>
    </row>
    <row r="1360" spans="1:8" s="422" customFormat="1" ht="9" customHeight="1">
      <c r="A1360" s="430"/>
      <c r="B1360" s="430"/>
      <c r="C1360" s="430"/>
      <c r="D1360" s="430"/>
      <c r="E1360" s="430"/>
      <c r="F1360" s="430"/>
      <c r="G1360" s="430"/>
      <c r="H1360" s="430"/>
    </row>
    <row r="1361" spans="1:8" s="422" customFormat="1" ht="22.5" customHeight="1">
      <c r="A1361" s="585" t="s">
        <v>590</v>
      </c>
      <c r="B1361" s="585"/>
      <c r="C1361" s="585"/>
      <c r="D1361" s="586"/>
      <c r="E1361" s="586"/>
      <c r="F1361" s="586"/>
      <c r="G1361" s="586"/>
      <c r="H1361" s="586"/>
    </row>
    <row r="1362" spans="1:8" s="429" customFormat="1" ht="11.25">
      <c r="A1362" s="431"/>
      <c r="B1362" s="431"/>
      <c r="C1362" s="431"/>
      <c r="D1362" s="432"/>
      <c r="E1362" s="432"/>
      <c r="F1362" s="432"/>
      <c r="G1362" s="432"/>
      <c r="H1362" s="432"/>
    </row>
    <row r="1363" spans="1:8" s="429" customFormat="1" ht="11.25">
      <c r="A1363" s="431"/>
      <c r="B1363" s="431"/>
      <c r="C1363" s="431"/>
      <c r="D1363" s="432"/>
      <c r="E1363" s="432"/>
      <c r="F1363" s="432"/>
      <c r="G1363" s="432"/>
      <c r="H1363" s="432"/>
    </row>
    <row r="1364" spans="1:8" s="429" customFormat="1" ht="11.25">
      <c r="A1364" s="431"/>
      <c r="B1364" s="431"/>
      <c r="C1364" s="431"/>
      <c r="D1364" s="432"/>
      <c r="E1364" s="432"/>
      <c r="F1364" s="432"/>
      <c r="G1364" s="432"/>
      <c r="H1364" s="432"/>
    </row>
    <row r="1365" spans="1:8" s="429" customFormat="1" ht="16.5" customHeight="1">
      <c r="A1365" s="431"/>
      <c r="B1365" s="431"/>
      <c r="C1365" s="431"/>
      <c r="D1365" s="432"/>
      <c r="E1365" s="432"/>
      <c r="F1365" s="432"/>
      <c r="G1365" s="432"/>
      <c r="H1365" s="432"/>
    </row>
    <row r="1366" spans="1:8" s="422" customFormat="1" ht="9" customHeight="1"/>
    <row r="1367" spans="1:8" s="422" customFormat="1" ht="11.25">
      <c r="A1367" s="421" t="s">
        <v>591</v>
      </c>
      <c r="B1367" s="421"/>
      <c r="C1367" s="421"/>
    </row>
    <row r="1368" spans="1:8" s="429" customFormat="1" ht="11.25">
      <c r="A1368" s="428"/>
      <c r="B1368" s="428"/>
      <c r="C1368" s="428"/>
    </row>
    <row r="1369" spans="1:8" s="429" customFormat="1" ht="11.25">
      <c r="A1369" s="428"/>
      <c r="B1369" s="428"/>
      <c r="C1369" s="428"/>
    </row>
    <row r="1370" spans="1:8" s="429" customFormat="1" ht="11.25">
      <c r="A1370" s="428"/>
      <c r="B1370" s="428"/>
      <c r="C1370" s="428"/>
    </row>
    <row r="1371" spans="1:8" s="429" customFormat="1" ht="11.25">
      <c r="A1371" s="428"/>
      <c r="B1371" s="428"/>
      <c r="C1371" s="428"/>
    </row>
    <row r="1372" spans="1:8" s="429" customFormat="1" ht="27.75" customHeight="1">
      <c r="A1372" s="428"/>
      <c r="B1372" s="428"/>
      <c r="C1372" s="428"/>
    </row>
    <row r="1373" spans="1:8" s="422" customFormat="1" ht="9" customHeight="1"/>
    <row r="1374" spans="1:8" s="422" customFormat="1" ht="11.25">
      <c r="A1374" s="433" t="s">
        <v>592</v>
      </c>
      <c r="B1374" s="434"/>
      <c r="C1374" s="434"/>
      <c r="D1374" s="434"/>
      <c r="E1374" s="434"/>
      <c r="F1374" s="434"/>
      <c r="G1374" s="434"/>
      <c r="H1374" s="434"/>
    </row>
    <row r="1375" spans="1:8" s="429" customFormat="1" ht="11.25">
      <c r="A1375" s="435"/>
      <c r="B1375" s="436"/>
      <c r="C1375" s="436"/>
      <c r="D1375" s="436"/>
      <c r="E1375" s="436"/>
      <c r="F1375" s="436"/>
      <c r="G1375" s="436"/>
      <c r="H1375" s="436"/>
    </row>
    <row r="1376" spans="1:8" s="429" customFormat="1" ht="11.25">
      <c r="A1376" s="435"/>
      <c r="B1376" s="436"/>
      <c r="C1376" s="436"/>
      <c r="D1376" s="436"/>
      <c r="E1376" s="436"/>
      <c r="F1376" s="436"/>
      <c r="G1376" s="436"/>
      <c r="H1376" s="436"/>
    </row>
    <row r="1377" spans="1:8" s="422" customFormat="1" ht="11.25">
      <c r="A1377" s="437"/>
      <c r="B1377" s="437"/>
      <c r="C1377" s="437"/>
      <c r="D1377" s="437"/>
      <c r="E1377" s="437"/>
      <c r="F1377" s="437"/>
      <c r="G1377" s="437"/>
      <c r="H1377" s="437"/>
    </row>
    <row r="1378" spans="1:8" s="422" customFormat="1" ht="11.25">
      <c r="A1378" s="421" t="s">
        <v>593</v>
      </c>
      <c r="B1378" s="421"/>
      <c r="C1378" s="421"/>
    </row>
    <row r="1379" spans="1:8" s="422" customFormat="1" ht="11.25">
      <c r="A1379" s="438"/>
      <c r="B1379" s="439" t="s">
        <v>132</v>
      </c>
      <c r="C1379" s="439" t="s">
        <v>473</v>
      </c>
      <c r="D1379" s="439" t="s">
        <v>474</v>
      </c>
      <c r="E1379" s="439" t="s">
        <v>375</v>
      </c>
      <c r="F1379" s="439" t="s">
        <v>9</v>
      </c>
      <c r="G1379" s="439" t="s">
        <v>131</v>
      </c>
      <c r="H1379" s="439" t="s">
        <v>424</v>
      </c>
    </row>
    <row r="1380" spans="1:8" s="422" customFormat="1" ht="11.25">
      <c r="A1380" s="439" t="s">
        <v>394</v>
      </c>
      <c r="B1380" s="438">
        <v>152445.73000000001</v>
      </c>
      <c r="C1380" s="438">
        <v>177736.16</v>
      </c>
      <c r="D1380" s="438">
        <v>207525.63999999998</v>
      </c>
      <c r="E1380" s="438">
        <v>340606.79000000004</v>
      </c>
      <c r="F1380" s="438">
        <v>338468.79000000004</v>
      </c>
      <c r="G1380" s="438">
        <v>342283.04800000001</v>
      </c>
      <c r="H1380" s="438">
        <v>343645.283</v>
      </c>
    </row>
    <row r="1381" spans="1:8" s="422" customFormat="1" ht="11.25">
      <c r="A1381" s="439" t="s">
        <v>395</v>
      </c>
      <c r="B1381" s="438">
        <v>-39409.72</v>
      </c>
      <c r="C1381" s="438">
        <v>-41775.740000000005</v>
      </c>
      <c r="D1381" s="438">
        <v>-16081.679999999998</v>
      </c>
      <c r="E1381" s="438">
        <v>-16081.679999999998</v>
      </c>
      <c r="F1381" s="438">
        <v>-16081.679999999998</v>
      </c>
      <c r="G1381" s="438">
        <v>-16081.679999999998</v>
      </c>
      <c r="H1381" s="438">
        <v>-16081.679999999998</v>
      </c>
    </row>
    <row r="1382" spans="1:8" s="422" customFormat="1" ht="11.25">
      <c r="A1382" s="439" t="s">
        <v>396</v>
      </c>
      <c r="B1382" s="438">
        <v>113036.01000000001</v>
      </c>
      <c r="C1382" s="438">
        <v>135960.41999999998</v>
      </c>
      <c r="D1382" s="438">
        <v>191443.96</v>
      </c>
      <c r="E1382" s="438">
        <v>324525.11000000004</v>
      </c>
      <c r="F1382" s="438">
        <v>322387.11000000004</v>
      </c>
      <c r="G1382" s="438">
        <v>326201.36800000002</v>
      </c>
      <c r="H1382" s="438">
        <v>327563.603</v>
      </c>
    </row>
    <row r="1383" spans="1:8" s="442" customFormat="1" ht="11.25">
      <c r="A1383" s="440" t="s">
        <v>397</v>
      </c>
      <c r="B1383" s="441">
        <v>0.2585163913741631</v>
      </c>
      <c r="C1383" s="441">
        <v>0.23504356119767639</v>
      </c>
      <c r="D1383" s="441">
        <v>7.7492496830753058E-2</v>
      </c>
      <c r="E1383" s="441">
        <v>4.7214795688600326E-2</v>
      </c>
      <c r="F1383" s="441">
        <v>4.7513036578645841E-2</v>
      </c>
      <c r="G1383" s="441">
        <v>4.6983571327785995E-2</v>
      </c>
      <c r="H1383" s="441">
        <v>4.6797325019590039E-2</v>
      </c>
    </row>
    <row r="1384" spans="1:8" s="422" customFormat="1" ht="11.25"/>
    <row r="1385" spans="1:8" s="422" customFormat="1" ht="11.25">
      <c r="A1385" s="443" t="s">
        <v>594</v>
      </c>
      <c r="B1385" s="443"/>
      <c r="C1385" s="444"/>
    </row>
    <row r="1386" spans="1:8" s="422" customFormat="1" ht="11.25">
      <c r="A1386" s="445" t="s">
        <v>595</v>
      </c>
      <c r="B1386" s="446"/>
      <c r="C1386" s="447"/>
      <c r="D1386" s="439" t="s">
        <v>474</v>
      </c>
      <c r="E1386" s="439" t="s">
        <v>375</v>
      </c>
      <c r="F1386" s="439" t="s">
        <v>9</v>
      </c>
      <c r="G1386" s="439" t="s">
        <v>131</v>
      </c>
      <c r="H1386" s="439" t="s">
        <v>424</v>
      </c>
    </row>
    <row r="1387" spans="1:8" s="422" customFormat="1" ht="35.25" customHeight="1">
      <c r="A1387" s="454" t="s">
        <v>716</v>
      </c>
      <c r="B1387" s="455"/>
      <c r="C1387" s="455"/>
      <c r="D1387" s="457">
        <v>1</v>
      </c>
      <c r="E1387" s="457">
        <v>1</v>
      </c>
      <c r="F1387" s="457">
        <v>1</v>
      </c>
      <c r="G1387" s="457">
        <v>1</v>
      </c>
      <c r="H1387" s="457">
        <v>1</v>
      </c>
    </row>
    <row r="1388" spans="1:8" s="422" customFormat="1" ht="33" customHeight="1">
      <c r="A1388" s="454" t="s">
        <v>717</v>
      </c>
      <c r="B1388" s="455"/>
      <c r="C1388" s="455"/>
      <c r="D1388" s="457">
        <v>1</v>
      </c>
      <c r="E1388" s="457">
        <v>1</v>
      </c>
      <c r="F1388" s="457">
        <v>1</v>
      </c>
      <c r="G1388" s="457">
        <v>1</v>
      </c>
      <c r="H1388" s="457">
        <v>1</v>
      </c>
    </row>
    <row r="1389" spans="1:8" s="422" customFormat="1" ht="11.25">
      <c r="A1389" s="448"/>
      <c r="B1389" s="449"/>
      <c r="C1389" s="449"/>
      <c r="D1389" s="438"/>
      <c r="E1389" s="438"/>
      <c r="F1389" s="438"/>
      <c r="G1389" s="438"/>
      <c r="H1389" s="438"/>
    </row>
    <row r="1390" spans="1:8" s="422" customFormat="1" ht="11.25"/>
    <row r="1391" spans="1:8" s="422" customFormat="1" ht="11.25">
      <c r="A1391" s="421" t="s">
        <v>423</v>
      </c>
      <c r="B1391" s="421"/>
      <c r="C1391" s="421"/>
    </row>
    <row r="1392" spans="1:8" s="422" customFormat="1" ht="11.25">
      <c r="A1392" s="450"/>
      <c r="B1392" s="439" t="s">
        <v>132</v>
      </c>
      <c r="C1392" s="439" t="s">
        <v>473</v>
      </c>
      <c r="D1392" s="439" t="s">
        <v>474</v>
      </c>
      <c r="E1392" s="439" t="s">
        <v>375</v>
      </c>
      <c r="F1392" s="439" t="s">
        <v>9</v>
      </c>
      <c r="G1392" s="439" t="s">
        <v>131</v>
      </c>
      <c r="H1392" s="439" t="s">
        <v>424</v>
      </c>
    </row>
    <row r="1393" spans="1:8" s="422" customFormat="1" ht="11.25">
      <c r="A1393" s="451" t="s">
        <v>398</v>
      </c>
      <c r="B1393" s="438">
        <v>0</v>
      </c>
      <c r="C1393" s="438">
        <v>0</v>
      </c>
      <c r="D1393" s="438">
        <v>0</v>
      </c>
      <c r="E1393" s="438">
        <v>0</v>
      </c>
      <c r="F1393" s="438">
        <v>0</v>
      </c>
      <c r="G1393" s="438">
        <v>0</v>
      </c>
      <c r="H1393" s="438">
        <v>0</v>
      </c>
    </row>
    <row r="1394" spans="1:8" s="422" customFormat="1" ht="11.25">
      <c r="A1394" s="451" t="s">
        <v>399</v>
      </c>
      <c r="B1394" s="438">
        <v>0</v>
      </c>
      <c r="C1394" s="438">
        <v>0</v>
      </c>
      <c r="D1394" s="438">
        <v>0</v>
      </c>
      <c r="E1394" s="438">
        <v>0</v>
      </c>
      <c r="F1394" s="438">
        <v>0</v>
      </c>
      <c r="G1394" s="438">
        <v>0</v>
      </c>
      <c r="H1394" s="438">
        <v>0</v>
      </c>
    </row>
    <row r="1395" spans="1:8" s="422" customFormat="1" ht="11.25">
      <c r="A1395" s="451" t="s">
        <v>400</v>
      </c>
      <c r="B1395" s="438">
        <v>0</v>
      </c>
      <c r="C1395" s="438">
        <v>0</v>
      </c>
      <c r="D1395" s="438">
        <v>0</v>
      </c>
      <c r="E1395" s="438">
        <v>0</v>
      </c>
      <c r="F1395" s="438">
        <v>0</v>
      </c>
      <c r="G1395" s="438">
        <v>0</v>
      </c>
      <c r="H1395" s="438">
        <v>0</v>
      </c>
    </row>
    <row r="1396" spans="1:8" s="422" customFormat="1" ht="11.25">
      <c r="A1396" s="451" t="s">
        <v>401</v>
      </c>
      <c r="B1396" s="438">
        <v>0</v>
      </c>
      <c r="C1396" s="438">
        <v>0</v>
      </c>
      <c r="D1396" s="438">
        <v>0</v>
      </c>
      <c r="E1396" s="438">
        <v>0</v>
      </c>
      <c r="F1396" s="438">
        <v>0</v>
      </c>
      <c r="G1396" s="438">
        <v>0</v>
      </c>
      <c r="H1396" s="438">
        <v>0</v>
      </c>
    </row>
    <row r="1397" spans="1:8" s="422" customFormat="1" ht="11.25"/>
    <row r="1398" spans="1:8" s="422" customFormat="1" ht="11.25">
      <c r="A1398" s="421" t="s">
        <v>597</v>
      </c>
      <c r="B1398" s="421"/>
      <c r="C1398" s="421"/>
    </row>
    <row r="1399" spans="1:8" s="429" customFormat="1" ht="11.25">
      <c r="A1399" s="428"/>
      <c r="B1399" s="428"/>
      <c r="C1399" s="428"/>
    </row>
    <row r="1400" spans="1:8" s="429" customFormat="1" ht="11.25">
      <c r="A1400" s="428"/>
      <c r="B1400" s="428"/>
      <c r="C1400" s="428"/>
    </row>
    <row r="1401" spans="1:8" s="429" customFormat="1" ht="11.25">
      <c r="A1401" s="428"/>
      <c r="B1401" s="428"/>
      <c r="C1401" s="428"/>
    </row>
    <row r="1402" spans="1:8" s="422" customFormat="1" ht="11.25"/>
    <row r="1403" spans="1:8" s="422" customFormat="1" ht="11.25">
      <c r="A1403" s="421" t="s">
        <v>598</v>
      </c>
      <c r="B1403" s="421"/>
      <c r="C1403" s="421"/>
    </row>
    <row r="1404" spans="1:8" s="422" customFormat="1" ht="11.25">
      <c r="A1404" s="452" t="s">
        <v>599</v>
      </c>
      <c r="B1404" s="447"/>
      <c r="C1404" s="447"/>
      <c r="D1404" s="447"/>
      <c r="E1404" s="439" t="s">
        <v>375</v>
      </c>
      <c r="F1404" s="439" t="s">
        <v>9</v>
      </c>
      <c r="G1404" s="439" t="s">
        <v>131</v>
      </c>
      <c r="H1404" s="439" t="s">
        <v>424</v>
      </c>
    </row>
    <row r="1405" spans="1:8" s="422" customFormat="1" ht="11.25">
      <c r="A1405" s="448" t="s">
        <v>429</v>
      </c>
      <c r="B1405" s="449"/>
      <c r="C1405" s="449"/>
      <c r="D1405" s="449"/>
      <c r="E1405" s="438">
        <v>134250</v>
      </c>
      <c r="F1405" s="438">
        <v>134250</v>
      </c>
      <c r="G1405" s="438">
        <v>136000</v>
      </c>
      <c r="H1405" s="438">
        <v>136625</v>
      </c>
    </row>
    <row r="1406" spans="1:8" s="422" customFormat="1" ht="11.25">
      <c r="A1406" s="448"/>
      <c r="B1406" s="449"/>
      <c r="C1406" s="449"/>
      <c r="D1406" s="449"/>
      <c r="E1406" s="438">
        <v>0</v>
      </c>
      <c r="F1406" s="438">
        <v>0</v>
      </c>
      <c r="G1406" s="438">
        <v>0</v>
      </c>
      <c r="H1406" s="438">
        <v>0</v>
      </c>
    </row>
    <row r="1407" spans="1:8" s="422" customFormat="1" ht="11.25">
      <c r="A1407" s="448"/>
      <c r="B1407" s="449"/>
      <c r="C1407" s="449"/>
      <c r="D1407" s="449"/>
      <c r="E1407" s="438">
        <v>0</v>
      </c>
      <c r="F1407" s="438">
        <v>0</v>
      </c>
      <c r="G1407" s="438">
        <v>0</v>
      </c>
      <c r="H1407" s="438">
        <v>0</v>
      </c>
    </row>
    <row r="1408" spans="1:8" s="421" customFormat="1" ht="11.25">
      <c r="A1408" s="421" t="s">
        <v>391</v>
      </c>
      <c r="D1408" s="421" t="s">
        <v>472</v>
      </c>
    </row>
    <row r="1409" spans="1:8" s="422" customFormat="1" ht="11.25"/>
    <row r="1410" spans="1:8" s="421" customFormat="1" ht="11.25" customHeight="1">
      <c r="A1410" s="423" t="s">
        <v>392</v>
      </c>
      <c r="D1410" s="421" t="s">
        <v>141</v>
      </c>
    </row>
    <row r="1411" spans="1:8" s="421" customFormat="1" ht="7.5" customHeight="1">
      <c r="A1411" s="423"/>
    </row>
    <row r="1412" spans="1:8" s="421" customFormat="1" ht="11.25">
      <c r="A1412" s="424" t="s">
        <v>393</v>
      </c>
      <c r="D1412" s="583" t="s">
        <v>26</v>
      </c>
      <c r="E1412" s="583"/>
      <c r="F1412" s="583"/>
      <c r="G1412" s="583"/>
      <c r="H1412" s="583"/>
    </row>
    <row r="1413" spans="1:8" s="421" customFormat="1" ht="7.5" customHeight="1"/>
    <row r="1414" spans="1:8" s="422" customFormat="1" ht="11.25">
      <c r="A1414" s="421" t="s">
        <v>170</v>
      </c>
      <c r="B1414" s="421"/>
      <c r="C1414" s="421"/>
      <c r="D1414" s="422" t="s">
        <v>210</v>
      </c>
      <c r="E1414" s="422" t="s">
        <v>718</v>
      </c>
    </row>
    <row r="1415" spans="1:8" s="422" customFormat="1" ht="7.5" customHeight="1"/>
    <row r="1416" spans="1:8" s="427" customFormat="1" ht="11.25">
      <c r="A1416" s="425" t="s">
        <v>587</v>
      </c>
      <c r="B1416" s="425"/>
      <c r="C1416" s="425"/>
      <c r="D1416" s="426" t="s">
        <v>719</v>
      </c>
      <c r="E1416" s="584" t="s">
        <v>720</v>
      </c>
      <c r="F1416" s="584"/>
      <c r="G1416" s="584"/>
      <c r="H1416" s="584"/>
    </row>
    <row r="1417" spans="1:8" s="427" customFormat="1" ht="11.25">
      <c r="A1417" s="425"/>
      <c r="B1417" s="425"/>
      <c r="C1417" s="425"/>
      <c r="D1417" s="426" t="s">
        <v>721</v>
      </c>
      <c r="E1417" s="584" t="s">
        <v>722</v>
      </c>
      <c r="F1417" s="584"/>
      <c r="G1417" s="584"/>
      <c r="H1417" s="584"/>
    </row>
    <row r="1418" spans="1:8" s="427" customFormat="1" ht="11.25">
      <c r="A1418" s="425"/>
      <c r="B1418" s="425"/>
      <c r="C1418" s="425"/>
      <c r="D1418" s="426" t="s">
        <v>723</v>
      </c>
      <c r="E1418" s="584" t="s">
        <v>724</v>
      </c>
      <c r="F1418" s="584"/>
      <c r="G1418" s="584"/>
      <c r="H1418" s="584"/>
    </row>
    <row r="1419" spans="1:8" s="427" customFormat="1" ht="11.25">
      <c r="A1419" s="425"/>
      <c r="B1419" s="425"/>
      <c r="C1419" s="425"/>
      <c r="D1419" s="426"/>
      <c r="E1419" s="584"/>
      <c r="F1419" s="584"/>
      <c r="G1419" s="584"/>
      <c r="H1419" s="584"/>
    </row>
    <row r="1420" spans="1:8" s="427" customFormat="1" ht="11.25"/>
    <row r="1421" spans="1:8" s="422" customFormat="1" ht="11.25"/>
    <row r="1422" spans="1:8" s="422" customFormat="1" ht="11.25">
      <c r="A1422" s="421" t="s">
        <v>589</v>
      </c>
      <c r="B1422" s="421"/>
      <c r="C1422" s="421"/>
    </row>
    <row r="1423" spans="1:8" s="429" customFormat="1" ht="11.25">
      <c r="A1423" s="428"/>
      <c r="B1423" s="428"/>
      <c r="C1423" s="428"/>
    </row>
    <row r="1424" spans="1:8" s="429" customFormat="1" ht="11.25">
      <c r="A1424" s="428"/>
      <c r="B1424" s="428"/>
      <c r="C1424" s="428"/>
    </row>
    <row r="1425" spans="1:8" s="429" customFormat="1" ht="11.25">
      <c r="A1425" s="428"/>
      <c r="B1425" s="428"/>
      <c r="C1425" s="428"/>
    </row>
    <row r="1426" spans="1:8" s="429" customFormat="1" ht="11.25">
      <c r="A1426" s="428"/>
      <c r="B1426" s="428"/>
      <c r="C1426" s="428"/>
    </row>
    <row r="1427" spans="1:8" s="429" customFormat="1" ht="11.25">
      <c r="A1427" s="428"/>
      <c r="B1427" s="428"/>
      <c r="C1427" s="428"/>
    </row>
    <row r="1428" spans="1:8" s="429" customFormat="1" ht="11.25">
      <c r="A1428" s="428"/>
      <c r="B1428" s="428"/>
      <c r="C1428" s="428"/>
    </row>
    <row r="1429" spans="1:8" s="422" customFormat="1" ht="9" customHeight="1">
      <c r="A1429" s="430"/>
      <c r="B1429" s="430"/>
      <c r="C1429" s="430"/>
      <c r="D1429" s="430"/>
      <c r="E1429" s="430"/>
      <c r="F1429" s="430"/>
      <c r="G1429" s="430"/>
      <c r="H1429" s="430"/>
    </row>
    <row r="1430" spans="1:8" s="422" customFormat="1" ht="22.5" customHeight="1">
      <c r="A1430" s="585" t="s">
        <v>590</v>
      </c>
      <c r="B1430" s="585"/>
      <c r="C1430" s="585"/>
      <c r="D1430" s="586"/>
      <c r="E1430" s="586"/>
      <c r="F1430" s="586"/>
      <c r="G1430" s="586"/>
      <c r="H1430" s="586"/>
    </row>
    <row r="1431" spans="1:8" s="429" customFormat="1" ht="11.25">
      <c r="A1431" s="431"/>
      <c r="B1431" s="431"/>
      <c r="C1431" s="431"/>
      <c r="D1431" s="432"/>
      <c r="E1431" s="432"/>
      <c r="F1431" s="432"/>
      <c r="G1431" s="432"/>
      <c r="H1431" s="432"/>
    </row>
    <row r="1432" spans="1:8" s="429" customFormat="1" ht="11.25">
      <c r="A1432" s="431"/>
      <c r="B1432" s="431"/>
      <c r="C1432" s="431"/>
      <c r="D1432" s="432"/>
      <c r="E1432" s="432"/>
      <c r="F1432" s="432"/>
      <c r="G1432" s="432"/>
      <c r="H1432" s="432"/>
    </row>
    <row r="1433" spans="1:8" s="429" customFormat="1" ht="11.25">
      <c r="A1433" s="431"/>
      <c r="B1433" s="431"/>
      <c r="C1433" s="431"/>
      <c r="D1433" s="432"/>
      <c r="E1433" s="432"/>
      <c r="F1433" s="432"/>
      <c r="G1433" s="432"/>
      <c r="H1433" s="432"/>
    </row>
    <row r="1434" spans="1:8" s="429" customFormat="1" ht="11.25">
      <c r="A1434" s="431"/>
      <c r="B1434" s="431"/>
      <c r="C1434" s="431"/>
      <c r="D1434" s="432"/>
      <c r="E1434" s="432"/>
      <c r="F1434" s="432"/>
      <c r="G1434" s="432"/>
      <c r="H1434" s="432"/>
    </row>
    <row r="1435" spans="1:8" s="422" customFormat="1" ht="9" customHeight="1"/>
    <row r="1436" spans="1:8" s="422" customFormat="1" ht="11.25">
      <c r="A1436" s="421" t="s">
        <v>591</v>
      </c>
      <c r="B1436" s="421"/>
      <c r="C1436" s="421"/>
    </row>
    <row r="1437" spans="1:8" s="429" customFormat="1" ht="11.25">
      <c r="A1437" s="428"/>
      <c r="B1437" s="428"/>
      <c r="C1437" s="428"/>
    </row>
    <row r="1438" spans="1:8" s="429" customFormat="1" ht="11.25">
      <c r="A1438" s="428"/>
      <c r="B1438" s="428"/>
      <c r="C1438" s="428"/>
    </row>
    <row r="1439" spans="1:8" s="429" customFormat="1" ht="11.25">
      <c r="A1439" s="428"/>
      <c r="B1439" s="428"/>
      <c r="C1439" s="428"/>
    </row>
    <row r="1440" spans="1:8" s="429" customFormat="1" ht="11.25">
      <c r="A1440" s="428"/>
      <c r="B1440" s="428"/>
      <c r="C1440" s="428"/>
    </row>
    <row r="1441" spans="1:8" s="429" customFormat="1" ht="11.25">
      <c r="A1441" s="428"/>
      <c r="B1441" s="428"/>
      <c r="C1441" s="428"/>
    </row>
    <row r="1442" spans="1:8" s="422" customFormat="1" ht="9" customHeight="1"/>
    <row r="1443" spans="1:8" s="422" customFormat="1" ht="11.25">
      <c r="A1443" s="433" t="s">
        <v>592</v>
      </c>
      <c r="B1443" s="434"/>
      <c r="C1443" s="434"/>
      <c r="D1443" s="434"/>
      <c r="E1443" s="434"/>
      <c r="F1443" s="434"/>
      <c r="G1443" s="434"/>
      <c r="H1443" s="434"/>
    </row>
    <row r="1444" spans="1:8" s="429" customFormat="1" ht="11.25">
      <c r="A1444" s="435"/>
      <c r="B1444" s="436"/>
      <c r="C1444" s="436"/>
      <c r="D1444" s="436"/>
      <c r="E1444" s="436"/>
      <c r="F1444" s="436"/>
      <c r="G1444" s="436"/>
      <c r="H1444" s="436"/>
    </row>
    <row r="1445" spans="1:8" s="429" customFormat="1" ht="11.25">
      <c r="A1445" s="435"/>
      <c r="B1445" s="436"/>
      <c r="C1445" s="436"/>
      <c r="D1445" s="436"/>
      <c r="E1445" s="436"/>
      <c r="F1445" s="436"/>
      <c r="G1445" s="436"/>
      <c r="H1445" s="436"/>
    </row>
    <row r="1446" spans="1:8" s="422" customFormat="1" ht="11.25">
      <c r="A1446" s="437"/>
      <c r="B1446" s="437"/>
      <c r="C1446" s="437"/>
      <c r="D1446" s="437"/>
      <c r="E1446" s="437"/>
      <c r="F1446" s="437"/>
      <c r="G1446" s="437"/>
      <c r="H1446" s="437"/>
    </row>
    <row r="1447" spans="1:8" s="422" customFormat="1" ht="11.25">
      <c r="A1447" s="421" t="s">
        <v>593</v>
      </c>
      <c r="B1447" s="421"/>
      <c r="C1447" s="421"/>
    </row>
    <row r="1448" spans="1:8" s="422" customFormat="1" ht="11.25">
      <c r="A1448" s="438"/>
      <c r="B1448" s="439" t="s">
        <v>132</v>
      </c>
      <c r="C1448" s="439" t="s">
        <v>473</v>
      </c>
      <c r="D1448" s="439" t="s">
        <v>474</v>
      </c>
      <c r="E1448" s="439" t="s">
        <v>375</v>
      </c>
      <c r="F1448" s="439" t="s">
        <v>9</v>
      </c>
      <c r="G1448" s="439" t="s">
        <v>131</v>
      </c>
      <c r="H1448" s="439" t="s">
        <v>424</v>
      </c>
    </row>
    <row r="1449" spans="1:8" s="422" customFormat="1" ht="11.25">
      <c r="A1449" s="439" t="s">
        <v>394</v>
      </c>
      <c r="B1449" s="438">
        <v>415866.03</v>
      </c>
      <c r="C1449" s="438">
        <v>485542.56</v>
      </c>
      <c r="D1449" s="438">
        <v>398110.14</v>
      </c>
      <c r="E1449" s="438">
        <v>396074.02380000002</v>
      </c>
      <c r="F1449" s="438">
        <v>391798.02380000002</v>
      </c>
      <c r="G1449" s="438">
        <v>395758.01312000002</v>
      </c>
      <c r="H1449" s="438">
        <v>397172.29502000002</v>
      </c>
    </row>
    <row r="1450" spans="1:8" s="422" customFormat="1" ht="11.25">
      <c r="A1450" s="439" t="s">
        <v>395</v>
      </c>
      <c r="B1450" s="438">
        <v>-24945.38</v>
      </c>
      <c r="C1450" s="438">
        <v>-27805.99</v>
      </c>
      <c r="D1450" s="438">
        <v>-20676.36</v>
      </c>
      <c r="E1450" s="438">
        <v>-20676.36</v>
      </c>
      <c r="F1450" s="438">
        <v>-20676.36</v>
      </c>
      <c r="G1450" s="438">
        <v>-20676.36</v>
      </c>
      <c r="H1450" s="438">
        <v>-20667.36</v>
      </c>
    </row>
    <row r="1451" spans="1:8" s="422" customFormat="1" ht="11.25">
      <c r="A1451" s="439" t="s">
        <v>396</v>
      </c>
      <c r="B1451" s="438">
        <v>390920.65</v>
      </c>
      <c r="C1451" s="438">
        <v>457736.57</v>
      </c>
      <c r="D1451" s="438">
        <v>377433.78</v>
      </c>
      <c r="E1451" s="438">
        <v>375397.66380000004</v>
      </c>
      <c r="F1451" s="438">
        <v>371121.66380000004</v>
      </c>
      <c r="G1451" s="438">
        <v>375081.65312000003</v>
      </c>
      <c r="H1451" s="438">
        <v>376504.93502000003</v>
      </c>
    </row>
    <row r="1452" spans="1:8" s="442" customFormat="1" ht="11.25">
      <c r="A1452" s="440" t="s">
        <v>397</v>
      </c>
      <c r="B1452" s="441">
        <v>5.9984173268492258E-2</v>
      </c>
      <c r="C1452" s="441">
        <v>5.7267873695768301E-2</v>
      </c>
      <c r="D1452" s="441">
        <v>5.1936280748840005E-2</v>
      </c>
      <c r="E1452" s="441">
        <v>5.2203272008670414E-2</v>
      </c>
      <c r="F1452" s="441">
        <v>5.277300737625619E-2</v>
      </c>
      <c r="G1452" s="441">
        <v>5.2244956045225055E-2</v>
      </c>
      <c r="H1452" s="441">
        <v>5.2036257964466717E-2</v>
      </c>
    </row>
    <row r="1453" spans="1:8" s="422" customFormat="1" ht="11.25"/>
    <row r="1454" spans="1:8" s="422" customFormat="1" ht="11.25">
      <c r="A1454" s="443" t="s">
        <v>594</v>
      </c>
      <c r="B1454" s="443"/>
      <c r="C1454" s="444"/>
    </row>
    <row r="1455" spans="1:8" s="422" customFormat="1" ht="11.25">
      <c r="A1455" s="445" t="s">
        <v>595</v>
      </c>
      <c r="B1455" s="446"/>
      <c r="C1455" s="447"/>
      <c r="D1455" s="439" t="s">
        <v>474</v>
      </c>
      <c r="E1455" s="439" t="s">
        <v>375</v>
      </c>
      <c r="F1455" s="439" t="s">
        <v>9</v>
      </c>
      <c r="G1455" s="439" t="s">
        <v>131</v>
      </c>
      <c r="H1455" s="439" t="s">
        <v>424</v>
      </c>
    </row>
    <row r="1456" spans="1:8" s="422" customFormat="1" ht="11.25">
      <c r="A1456" s="448" t="s">
        <v>725</v>
      </c>
      <c r="B1456" s="449"/>
      <c r="C1456" s="449"/>
      <c r="D1456" s="457">
        <v>0.2</v>
      </c>
      <c r="E1456" s="457">
        <v>0.2</v>
      </c>
      <c r="F1456" s="457">
        <v>0.2</v>
      </c>
      <c r="G1456" s="457">
        <v>0.2</v>
      </c>
      <c r="H1456" s="457">
        <v>0.2</v>
      </c>
    </row>
    <row r="1457" spans="1:8" s="422" customFormat="1" ht="11.25">
      <c r="A1457" s="448"/>
      <c r="B1457" s="449"/>
      <c r="C1457" s="449"/>
      <c r="D1457" s="438"/>
      <c r="E1457" s="438"/>
      <c r="F1457" s="438"/>
      <c r="G1457" s="438"/>
      <c r="H1457" s="438"/>
    </row>
    <row r="1458" spans="1:8" s="422" customFormat="1" ht="11.25">
      <c r="A1458" s="448"/>
      <c r="B1458" s="449"/>
      <c r="C1458" s="449"/>
      <c r="D1458" s="438"/>
      <c r="E1458" s="438"/>
      <c r="F1458" s="438"/>
      <c r="G1458" s="438"/>
      <c r="H1458" s="438"/>
    </row>
    <row r="1459" spans="1:8" s="422" customFormat="1" ht="11.25"/>
    <row r="1460" spans="1:8" s="422" customFormat="1" ht="11.25">
      <c r="A1460" s="421" t="s">
        <v>423</v>
      </c>
      <c r="B1460" s="421"/>
      <c r="C1460" s="421"/>
    </row>
    <row r="1461" spans="1:8" s="422" customFormat="1" ht="11.25">
      <c r="A1461" s="450"/>
      <c r="B1461" s="439" t="s">
        <v>132</v>
      </c>
      <c r="C1461" s="439" t="s">
        <v>473</v>
      </c>
      <c r="D1461" s="439" t="s">
        <v>474</v>
      </c>
      <c r="E1461" s="439" t="s">
        <v>375</v>
      </c>
      <c r="F1461" s="439" t="s">
        <v>9</v>
      </c>
      <c r="G1461" s="439" t="s">
        <v>131</v>
      </c>
      <c r="H1461" s="439" t="s">
        <v>424</v>
      </c>
    </row>
    <row r="1462" spans="1:8" s="422" customFormat="1" ht="11.25">
      <c r="A1462" s="451" t="s">
        <v>398</v>
      </c>
      <c r="B1462" s="438">
        <v>0</v>
      </c>
      <c r="C1462" s="438">
        <v>0</v>
      </c>
      <c r="D1462" s="438">
        <v>0</v>
      </c>
      <c r="E1462" s="438">
        <v>0</v>
      </c>
      <c r="F1462" s="438">
        <v>0</v>
      </c>
      <c r="G1462" s="438">
        <v>0</v>
      </c>
      <c r="H1462" s="438">
        <v>0</v>
      </c>
    </row>
    <row r="1463" spans="1:8" s="422" customFormat="1" ht="11.25">
      <c r="A1463" s="451" t="s">
        <v>399</v>
      </c>
      <c r="B1463" s="438">
        <v>0</v>
      </c>
      <c r="C1463" s="438">
        <v>0</v>
      </c>
      <c r="D1463" s="438">
        <v>0</v>
      </c>
      <c r="E1463" s="438">
        <v>0</v>
      </c>
      <c r="F1463" s="438">
        <v>0</v>
      </c>
      <c r="G1463" s="438">
        <v>0</v>
      </c>
      <c r="H1463" s="438">
        <v>0</v>
      </c>
    </row>
    <row r="1464" spans="1:8" s="422" customFormat="1" ht="11.25">
      <c r="A1464" s="451" t="s">
        <v>400</v>
      </c>
      <c r="B1464" s="438">
        <v>0</v>
      </c>
      <c r="C1464" s="438">
        <v>0</v>
      </c>
      <c r="D1464" s="438">
        <v>0</v>
      </c>
      <c r="E1464" s="438">
        <v>0</v>
      </c>
      <c r="F1464" s="438">
        <v>0</v>
      </c>
      <c r="G1464" s="438">
        <v>0</v>
      </c>
      <c r="H1464" s="438">
        <v>0</v>
      </c>
    </row>
    <row r="1465" spans="1:8" s="422" customFormat="1" ht="11.25">
      <c r="A1465" s="451" t="s">
        <v>401</v>
      </c>
      <c r="B1465" s="438">
        <v>0</v>
      </c>
      <c r="C1465" s="438">
        <v>0</v>
      </c>
      <c r="D1465" s="438">
        <v>0</v>
      </c>
      <c r="E1465" s="438">
        <v>0</v>
      </c>
      <c r="F1465" s="438">
        <v>0</v>
      </c>
      <c r="G1465" s="438">
        <v>0</v>
      </c>
      <c r="H1465" s="438">
        <v>0</v>
      </c>
    </row>
    <row r="1466" spans="1:8" s="422" customFormat="1" ht="11.25"/>
    <row r="1467" spans="1:8" s="422" customFormat="1" ht="11.25">
      <c r="A1467" s="421" t="s">
        <v>597</v>
      </c>
      <c r="B1467" s="421"/>
      <c r="C1467" s="421"/>
    </row>
    <row r="1468" spans="1:8" s="429" customFormat="1" ht="11.25">
      <c r="A1468" s="428"/>
      <c r="B1468" s="428"/>
      <c r="C1468" s="428"/>
    </row>
    <row r="1469" spans="1:8" s="429" customFormat="1" ht="11.25">
      <c r="A1469" s="428"/>
      <c r="B1469" s="428"/>
      <c r="C1469" s="428"/>
    </row>
    <row r="1470" spans="1:8" s="429" customFormat="1" ht="11.25">
      <c r="A1470" s="428"/>
      <c r="B1470" s="428"/>
      <c r="C1470" s="428"/>
    </row>
    <row r="1471" spans="1:8" s="422" customFormat="1" ht="11.25"/>
    <row r="1472" spans="1:8" s="422" customFormat="1" ht="11.25">
      <c r="A1472" s="421" t="s">
        <v>598</v>
      </c>
      <c r="B1472" s="421"/>
      <c r="C1472" s="421"/>
    </row>
    <row r="1473" spans="1:8" s="422" customFormat="1" ht="11.25">
      <c r="A1473" s="452" t="s">
        <v>599</v>
      </c>
      <c r="B1473" s="447"/>
      <c r="C1473" s="447"/>
      <c r="D1473" s="447"/>
      <c r="E1473" s="439" t="s">
        <v>375</v>
      </c>
      <c r="F1473" s="439" t="s">
        <v>9</v>
      </c>
      <c r="G1473" s="439" t="s">
        <v>131</v>
      </c>
      <c r="H1473" s="439" t="s">
        <v>424</v>
      </c>
    </row>
    <row r="1474" spans="1:8" s="422" customFormat="1" ht="11.25">
      <c r="A1474" s="448"/>
      <c r="B1474" s="449"/>
      <c r="C1474" s="449"/>
      <c r="D1474" s="449"/>
      <c r="E1474" s="438">
        <v>0</v>
      </c>
      <c r="F1474" s="438">
        <v>0</v>
      </c>
      <c r="G1474" s="438">
        <v>0</v>
      </c>
      <c r="H1474" s="438">
        <v>0</v>
      </c>
    </row>
    <row r="1475" spans="1:8" s="422" customFormat="1" ht="11.25">
      <c r="A1475" s="448"/>
      <c r="B1475" s="449"/>
      <c r="C1475" s="449"/>
      <c r="D1475" s="449"/>
      <c r="E1475" s="438">
        <v>0</v>
      </c>
      <c r="F1475" s="438">
        <v>0</v>
      </c>
      <c r="G1475" s="438">
        <v>0</v>
      </c>
      <c r="H1475" s="438">
        <v>0</v>
      </c>
    </row>
    <row r="1476" spans="1:8" s="422" customFormat="1" ht="11.25">
      <c r="A1476" s="448"/>
      <c r="B1476" s="449"/>
      <c r="C1476" s="449"/>
      <c r="D1476" s="449"/>
      <c r="E1476" s="438">
        <v>0</v>
      </c>
      <c r="F1476" s="438">
        <v>0</v>
      </c>
      <c r="G1476" s="438">
        <v>0</v>
      </c>
      <c r="H1476" s="438">
        <v>0</v>
      </c>
    </row>
    <row r="1477" spans="1:8" s="421" customFormat="1" ht="11.25">
      <c r="A1477" s="421" t="s">
        <v>391</v>
      </c>
      <c r="D1477" s="421" t="s">
        <v>472</v>
      </c>
    </row>
    <row r="1478" spans="1:8" s="422" customFormat="1" ht="11.25"/>
    <row r="1479" spans="1:8" s="421" customFormat="1" ht="11.25" customHeight="1">
      <c r="A1479" s="423" t="s">
        <v>392</v>
      </c>
      <c r="D1479" s="421" t="s">
        <v>141</v>
      </c>
    </row>
    <row r="1480" spans="1:8" s="421" customFormat="1" ht="12" customHeight="1">
      <c r="A1480" s="423"/>
    </row>
    <row r="1481" spans="1:8" s="421" customFormat="1" ht="11.25">
      <c r="A1481" s="424" t="s">
        <v>393</v>
      </c>
      <c r="D1481" s="583" t="s">
        <v>144</v>
      </c>
      <c r="E1481" s="583"/>
      <c r="F1481" s="583"/>
      <c r="G1481" s="583"/>
      <c r="H1481" s="583"/>
    </row>
    <row r="1482" spans="1:8" s="421" customFormat="1" ht="7.5" customHeight="1"/>
    <row r="1483" spans="1:8" s="422" customFormat="1" ht="11.25">
      <c r="A1483" s="421" t="s">
        <v>170</v>
      </c>
      <c r="B1483" s="421"/>
      <c r="C1483" s="421"/>
      <c r="D1483" s="422" t="s">
        <v>212</v>
      </c>
      <c r="E1483" s="422" t="s">
        <v>726</v>
      </c>
    </row>
    <row r="1484" spans="1:8" s="422" customFormat="1" ht="7.5" customHeight="1"/>
    <row r="1485" spans="1:8" s="427" customFormat="1" ht="11.25">
      <c r="A1485" s="425" t="s">
        <v>587</v>
      </c>
      <c r="B1485" s="425"/>
      <c r="C1485" s="425"/>
      <c r="D1485" s="426" t="s">
        <v>727</v>
      </c>
      <c r="E1485" s="584" t="s">
        <v>728</v>
      </c>
      <c r="F1485" s="584"/>
      <c r="G1485" s="584"/>
      <c r="H1485" s="584"/>
    </row>
    <row r="1486" spans="1:8" s="427" customFormat="1" ht="11.25">
      <c r="A1486" s="425"/>
      <c r="B1486" s="425"/>
      <c r="C1486" s="425"/>
      <c r="D1486" s="426" t="s">
        <v>729</v>
      </c>
      <c r="E1486" s="584" t="s">
        <v>730</v>
      </c>
      <c r="F1486" s="584"/>
      <c r="G1486" s="584"/>
      <c r="H1486" s="584"/>
    </row>
    <row r="1487" spans="1:8" s="427" customFormat="1" ht="11.25">
      <c r="A1487" s="425"/>
      <c r="B1487" s="425"/>
      <c r="C1487" s="425"/>
      <c r="D1487" s="426" t="s">
        <v>731</v>
      </c>
      <c r="E1487" s="584" t="s">
        <v>732</v>
      </c>
      <c r="F1487" s="584"/>
      <c r="G1487" s="584"/>
      <c r="H1487" s="584"/>
    </row>
    <row r="1488" spans="1:8" s="427" customFormat="1" ht="11.25">
      <c r="A1488" s="425"/>
      <c r="B1488" s="425"/>
      <c r="C1488" s="425"/>
      <c r="D1488" s="426" t="s">
        <v>733</v>
      </c>
      <c r="E1488" s="584" t="s">
        <v>734</v>
      </c>
      <c r="F1488" s="584"/>
      <c r="G1488" s="584"/>
      <c r="H1488" s="584"/>
    </row>
    <row r="1489" spans="1:8" s="427" customFormat="1" ht="11.25">
      <c r="A1489" s="425"/>
      <c r="B1489" s="425"/>
      <c r="C1489" s="425"/>
      <c r="D1489" s="426"/>
      <c r="E1489" s="584"/>
      <c r="F1489" s="584"/>
      <c r="G1489" s="584"/>
      <c r="H1489" s="584"/>
    </row>
    <row r="1490" spans="1:8" s="427" customFormat="1" ht="11.25"/>
    <row r="1491" spans="1:8" s="422" customFormat="1" ht="11.25"/>
    <row r="1492" spans="1:8" s="422" customFormat="1" ht="11.25">
      <c r="A1492" s="421" t="s">
        <v>589</v>
      </c>
      <c r="B1492" s="421"/>
      <c r="C1492" s="421"/>
    </row>
    <row r="1493" spans="1:8" s="429" customFormat="1" ht="11.25">
      <c r="A1493" s="428"/>
      <c r="B1493" s="428"/>
      <c r="C1493" s="428"/>
    </row>
    <row r="1494" spans="1:8" s="429" customFormat="1" ht="11.25">
      <c r="A1494" s="428"/>
      <c r="B1494" s="428"/>
      <c r="C1494" s="428"/>
    </row>
    <row r="1495" spans="1:8" s="429" customFormat="1" ht="11.25">
      <c r="A1495" s="428"/>
      <c r="B1495" s="428"/>
      <c r="C1495" s="428"/>
    </row>
    <row r="1496" spans="1:8" s="429" customFormat="1" ht="11.25">
      <c r="A1496" s="428"/>
      <c r="B1496" s="428"/>
      <c r="C1496" s="428"/>
    </row>
    <row r="1497" spans="1:8" s="429" customFormat="1" ht="11.25">
      <c r="A1497" s="428"/>
      <c r="B1497" s="428"/>
      <c r="C1497" s="428"/>
    </row>
    <row r="1498" spans="1:8" s="429" customFormat="1" ht="11.25">
      <c r="A1498" s="428"/>
      <c r="B1498" s="428"/>
      <c r="C1498" s="428"/>
    </row>
    <row r="1499" spans="1:8" s="429" customFormat="1" ht="11.25">
      <c r="A1499" s="428"/>
      <c r="B1499" s="428"/>
      <c r="C1499" s="428"/>
    </row>
    <row r="1500" spans="1:8" s="429" customFormat="1" ht="11.25">
      <c r="A1500" s="428"/>
      <c r="B1500" s="428"/>
      <c r="C1500" s="428"/>
    </row>
    <row r="1501" spans="1:8" s="429" customFormat="1" ht="11.25" customHeight="1">
      <c r="A1501" s="428"/>
      <c r="B1501" s="428"/>
      <c r="C1501" s="428"/>
    </row>
    <row r="1502" spans="1:8" s="429" customFormat="1" ht="11.25" customHeight="1">
      <c r="A1502" s="428"/>
      <c r="B1502" s="428"/>
      <c r="C1502" s="428"/>
    </row>
    <row r="1503" spans="1:8" s="429" customFormat="1" ht="10.9" customHeight="1">
      <c r="A1503" s="428"/>
      <c r="B1503" s="428"/>
      <c r="C1503" s="428"/>
    </row>
    <row r="1504" spans="1:8" s="422" customFormat="1" ht="11.25" customHeight="1">
      <c r="A1504" s="430"/>
      <c r="B1504" s="430"/>
      <c r="C1504" s="430"/>
      <c r="D1504" s="430"/>
      <c r="E1504" s="430"/>
      <c r="F1504" s="430"/>
      <c r="G1504" s="430"/>
      <c r="H1504" s="430"/>
    </row>
    <row r="1505" spans="1:8" s="422" customFormat="1" ht="22.5" customHeight="1">
      <c r="A1505" s="585" t="s">
        <v>590</v>
      </c>
      <c r="B1505" s="585"/>
      <c r="C1505" s="585"/>
      <c r="D1505" s="586"/>
      <c r="E1505" s="586"/>
      <c r="F1505" s="586"/>
      <c r="G1505" s="586"/>
      <c r="H1505" s="586"/>
    </row>
    <row r="1506" spans="1:8" s="429" customFormat="1" ht="11.25">
      <c r="A1506" s="431"/>
      <c r="B1506" s="431"/>
      <c r="C1506" s="431"/>
      <c r="D1506" s="432"/>
      <c r="E1506" s="432"/>
      <c r="F1506" s="432"/>
      <c r="G1506" s="432"/>
      <c r="H1506" s="432"/>
    </row>
    <row r="1507" spans="1:8" s="429" customFormat="1" ht="11.25">
      <c r="A1507" s="431"/>
      <c r="B1507" s="431"/>
      <c r="C1507" s="431"/>
      <c r="D1507" s="432"/>
      <c r="E1507" s="432"/>
      <c r="F1507" s="432"/>
      <c r="G1507" s="432"/>
      <c r="H1507" s="432"/>
    </row>
    <row r="1508" spans="1:8" s="429" customFormat="1" ht="11.25">
      <c r="A1508" s="431"/>
      <c r="B1508" s="431"/>
      <c r="C1508" s="431"/>
      <c r="D1508" s="432"/>
      <c r="E1508" s="432"/>
      <c r="F1508" s="432"/>
      <c r="G1508" s="432"/>
      <c r="H1508" s="432"/>
    </row>
    <row r="1509" spans="1:8" s="429" customFormat="1" ht="11.25">
      <c r="A1509" s="431"/>
      <c r="B1509" s="431"/>
      <c r="C1509" s="431"/>
      <c r="D1509" s="432"/>
      <c r="E1509" s="432"/>
      <c r="F1509" s="432"/>
      <c r="G1509" s="432"/>
      <c r="H1509" s="432"/>
    </row>
    <row r="1510" spans="1:8" s="429" customFormat="1" ht="11.25">
      <c r="A1510" s="431"/>
      <c r="B1510" s="431"/>
      <c r="C1510" s="431"/>
      <c r="D1510" s="432"/>
      <c r="E1510" s="432"/>
      <c r="F1510" s="432"/>
      <c r="G1510" s="432"/>
      <c r="H1510" s="432"/>
    </row>
    <row r="1511" spans="1:8" s="429" customFormat="1" ht="11.25">
      <c r="A1511" s="431"/>
      <c r="B1511" s="431"/>
      <c r="C1511" s="431"/>
      <c r="D1511" s="432"/>
      <c r="E1511" s="432"/>
      <c r="F1511" s="432"/>
      <c r="G1511" s="432"/>
      <c r="H1511" s="432"/>
    </row>
    <row r="1512" spans="1:8" s="429" customFormat="1" ht="11.25">
      <c r="A1512" s="431"/>
      <c r="B1512" s="431"/>
      <c r="C1512" s="431"/>
      <c r="D1512" s="432"/>
      <c r="E1512" s="432"/>
      <c r="F1512" s="432"/>
      <c r="G1512" s="432"/>
      <c r="H1512" s="432"/>
    </row>
    <row r="1513" spans="1:8" s="429" customFormat="1" ht="11.25">
      <c r="A1513" s="431"/>
      <c r="B1513" s="431"/>
      <c r="C1513" s="431"/>
      <c r="D1513" s="432"/>
      <c r="E1513" s="432"/>
      <c r="F1513" s="432"/>
      <c r="G1513" s="432"/>
      <c r="H1513" s="432"/>
    </row>
    <row r="1514" spans="1:8" s="429" customFormat="1" ht="11.25">
      <c r="A1514" s="431"/>
      <c r="B1514" s="431"/>
      <c r="C1514" s="431"/>
      <c r="D1514" s="432"/>
      <c r="E1514" s="432"/>
      <c r="F1514" s="432"/>
      <c r="G1514" s="432"/>
      <c r="H1514" s="432"/>
    </row>
    <row r="1518" spans="1:8" s="429" customFormat="1" ht="1.5" customHeight="1">
      <c r="A1518" s="431"/>
      <c r="B1518" s="431"/>
      <c r="C1518" s="431"/>
      <c r="D1518" s="432"/>
      <c r="E1518" s="432"/>
      <c r="F1518" s="432"/>
      <c r="G1518" s="432"/>
      <c r="H1518" s="432"/>
    </row>
    <row r="1519" spans="1:8" s="429" customFormat="1" ht="11.25" hidden="1">
      <c r="A1519" s="431"/>
      <c r="B1519" s="431"/>
      <c r="C1519" s="431"/>
      <c r="D1519" s="432"/>
      <c r="E1519" s="432"/>
      <c r="F1519" s="432"/>
      <c r="G1519" s="432"/>
      <c r="H1519" s="432"/>
    </row>
    <row r="1520" spans="1:8" s="422" customFormat="1" ht="11.25" customHeight="1"/>
    <row r="1521" spans="1:8" s="422" customFormat="1" ht="11.25">
      <c r="A1521" s="421" t="s">
        <v>591</v>
      </c>
      <c r="B1521" s="421"/>
      <c r="C1521" s="421"/>
    </row>
    <row r="1522" spans="1:8" s="429" customFormat="1" ht="11.25">
      <c r="A1522" s="428"/>
      <c r="B1522" s="428"/>
      <c r="C1522" s="428"/>
    </row>
    <row r="1523" spans="1:8" s="429" customFormat="1" ht="11.25">
      <c r="A1523" s="428"/>
      <c r="B1523" s="428"/>
      <c r="C1523" s="428"/>
    </row>
    <row r="1524" spans="1:8" s="429" customFormat="1" ht="42.75" customHeight="1">
      <c r="A1524" s="428"/>
      <c r="B1524" s="428"/>
      <c r="C1524" s="428"/>
    </row>
    <row r="1525" spans="1:8" s="429" customFormat="1" ht="11.25" customHeight="1">
      <c r="A1525" s="428"/>
      <c r="B1525" s="428"/>
      <c r="C1525" s="428"/>
    </row>
    <row r="1526" spans="1:8" s="422" customFormat="1" ht="9" customHeight="1"/>
    <row r="1527" spans="1:8" s="422" customFormat="1" ht="9" customHeight="1"/>
    <row r="1528" spans="1:8" s="422" customFormat="1" ht="9" customHeight="1"/>
    <row r="1529" spans="1:8" s="422" customFormat="1" ht="9" customHeight="1"/>
    <row r="1530" spans="1:8" s="422" customFormat="1" ht="11.25">
      <c r="A1530" s="433" t="s">
        <v>592</v>
      </c>
      <c r="B1530" s="434"/>
      <c r="C1530" s="434"/>
      <c r="D1530" s="434"/>
      <c r="E1530" s="434"/>
      <c r="F1530" s="434"/>
      <c r="G1530" s="434"/>
      <c r="H1530" s="434"/>
    </row>
    <row r="1531" spans="1:8" s="429" customFormat="1" ht="11.25">
      <c r="A1531" s="435"/>
      <c r="B1531" s="436"/>
      <c r="C1531" s="436"/>
      <c r="D1531" s="436"/>
      <c r="E1531" s="436"/>
      <c r="F1531" s="436"/>
      <c r="G1531" s="436"/>
      <c r="H1531" s="436"/>
    </row>
    <row r="1532" spans="1:8" s="429" customFormat="1" ht="8.25" customHeight="1">
      <c r="A1532" s="435"/>
      <c r="B1532" s="436"/>
      <c r="C1532" s="436"/>
      <c r="D1532" s="436"/>
      <c r="E1532" s="436"/>
      <c r="F1532" s="436"/>
      <c r="G1532" s="436"/>
      <c r="H1532" s="436"/>
    </row>
    <row r="1533" spans="1:8" s="422" customFormat="1" ht="11.25">
      <c r="A1533" s="437"/>
      <c r="B1533" s="437"/>
      <c r="C1533" s="437"/>
      <c r="D1533" s="437"/>
      <c r="E1533" s="437"/>
      <c r="F1533" s="437"/>
      <c r="G1533" s="437"/>
      <c r="H1533" s="437"/>
    </row>
    <row r="1534" spans="1:8" s="422" customFormat="1" ht="11.25">
      <c r="A1534" s="421" t="s">
        <v>593</v>
      </c>
      <c r="B1534" s="421"/>
      <c r="C1534" s="421"/>
    </row>
    <row r="1535" spans="1:8" s="422" customFormat="1" ht="11.25">
      <c r="A1535" s="438"/>
      <c r="B1535" s="439" t="s">
        <v>132</v>
      </c>
      <c r="C1535" s="439" t="s">
        <v>473</v>
      </c>
      <c r="D1535" s="439" t="s">
        <v>474</v>
      </c>
      <c r="E1535" s="439" t="s">
        <v>375</v>
      </c>
      <c r="F1535" s="439" t="s">
        <v>9</v>
      </c>
      <c r="G1535" s="439" t="s">
        <v>131</v>
      </c>
      <c r="H1535" s="439" t="s">
        <v>424</v>
      </c>
    </row>
    <row r="1536" spans="1:8" s="422" customFormat="1" ht="11.25">
      <c r="A1536" s="439" t="s">
        <v>394</v>
      </c>
      <c r="B1536" s="438">
        <v>4260521.91</v>
      </c>
      <c r="C1536" s="438">
        <v>4366899.8900000006</v>
      </c>
      <c r="D1536" s="438">
        <v>4671324.6499999994</v>
      </c>
      <c r="E1536" s="438">
        <v>4599067.8416000009</v>
      </c>
      <c r="F1536" s="438">
        <v>4736669.8316000002</v>
      </c>
      <c r="G1536" s="438">
        <v>4771913.9798400002</v>
      </c>
      <c r="H1536" s="438">
        <v>4535744.9156400003</v>
      </c>
    </row>
    <row r="1537" spans="1:8" s="422" customFormat="1" ht="11.25">
      <c r="A1537" s="439" t="s">
        <v>395</v>
      </c>
      <c r="B1537" s="438">
        <v>-98579.85</v>
      </c>
      <c r="C1537" s="438">
        <v>-130505.95</v>
      </c>
      <c r="D1537" s="438">
        <v>-167135.9</v>
      </c>
      <c r="E1537" s="438">
        <v>-167136</v>
      </c>
      <c r="F1537" s="438">
        <v>-167136</v>
      </c>
      <c r="G1537" s="438">
        <v>-167136</v>
      </c>
      <c r="H1537" s="438">
        <v>-167136</v>
      </c>
    </row>
    <row r="1538" spans="1:8" s="422" customFormat="1" ht="11.25">
      <c r="A1538" s="439" t="s">
        <v>396</v>
      </c>
      <c r="B1538" s="438">
        <v>4161942.06</v>
      </c>
      <c r="C1538" s="438">
        <v>4236393.9400000004</v>
      </c>
      <c r="D1538" s="438">
        <v>4504188.7499999991</v>
      </c>
      <c r="E1538" s="438">
        <v>4431931.8416000009</v>
      </c>
      <c r="F1538" s="438">
        <v>4569533.8316000002</v>
      </c>
      <c r="G1538" s="438">
        <v>4604777.9798400002</v>
      </c>
      <c r="H1538" s="438">
        <v>4368608.9156400003</v>
      </c>
    </row>
    <row r="1539" spans="1:8" s="442" customFormat="1" ht="11.25">
      <c r="A1539" s="440" t="s">
        <v>397</v>
      </c>
      <c r="B1539" s="441">
        <v>2.3137975131314371E-2</v>
      </c>
      <c r="C1539" s="441">
        <v>2.9885262609031318E-2</v>
      </c>
      <c r="D1539" s="441">
        <v>3.5779123165845479E-2</v>
      </c>
      <c r="E1539" s="441">
        <v>3.6341277353685204E-2</v>
      </c>
      <c r="F1539" s="441">
        <v>3.5285549962755819E-2</v>
      </c>
      <c r="G1539" s="441">
        <v>3.5024939826263167E-2</v>
      </c>
      <c r="H1539" s="441">
        <v>3.6848633048936985E-2</v>
      </c>
    </row>
    <row r="1540" spans="1:8" s="422" customFormat="1" ht="11.25"/>
    <row r="1541" spans="1:8" s="422" customFormat="1" ht="11.25">
      <c r="A1541" s="443" t="s">
        <v>594</v>
      </c>
      <c r="B1541" s="443"/>
      <c r="C1541" s="444"/>
    </row>
    <row r="1542" spans="1:8" s="422" customFormat="1" ht="11.25">
      <c r="A1542" s="445" t="s">
        <v>595</v>
      </c>
      <c r="B1542" s="446"/>
      <c r="C1542" s="447"/>
      <c r="D1542" s="439" t="s">
        <v>474</v>
      </c>
      <c r="E1542" s="439" t="s">
        <v>375</v>
      </c>
      <c r="F1542" s="439" t="s">
        <v>9</v>
      </c>
      <c r="G1542" s="439" t="s">
        <v>131</v>
      </c>
      <c r="H1542" s="439" t="s">
        <v>424</v>
      </c>
    </row>
    <row r="1543" spans="1:8" s="422" customFormat="1" ht="11.25">
      <c r="A1543" s="448" t="s">
        <v>596</v>
      </c>
      <c r="B1543" s="449"/>
      <c r="C1543" s="449"/>
      <c r="D1543" s="438"/>
      <c r="E1543" s="438"/>
      <c r="F1543" s="438"/>
      <c r="G1543" s="438"/>
      <c r="H1543" s="438"/>
    </row>
    <row r="1544" spans="1:8" s="422" customFormat="1" ht="11.25">
      <c r="A1544" s="448"/>
      <c r="B1544" s="449"/>
      <c r="C1544" s="449"/>
      <c r="D1544" s="438"/>
      <c r="E1544" s="438"/>
      <c r="F1544" s="438"/>
      <c r="G1544" s="438"/>
      <c r="H1544" s="438"/>
    </row>
    <row r="1545" spans="1:8" s="422" customFormat="1" ht="11.25">
      <c r="A1545" s="448"/>
      <c r="B1545" s="449"/>
      <c r="C1545" s="449"/>
      <c r="D1545" s="438"/>
      <c r="E1545" s="438"/>
      <c r="F1545" s="438"/>
      <c r="G1545" s="438"/>
      <c r="H1545" s="438"/>
    </row>
    <row r="1546" spans="1:8" s="422" customFormat="1" ht="11.25"/>
    <row r="1547" spans="1:8" s="422" customFormat="1" ht="11.25">
      <c r="A1547" s="421" t="s">
        <v>423</v>
      </c>
      <c r="B1547" s="421"/>
      <c r="C1547" s="421"/>
    </row>
    <row r="1548" spans="1:8" s="422" customFormat="1" ht="11.25">
      <c r="A1548" s="450"/>
      <c r="B1548" s="439" t="s">
        <v>132</v>
      </c>
      <c r="C1548" s="439" t="s">
        <v>473</v>
      </c>
      <c r="D1548" s="439" t="s">
        <v>474</v>
      </c>
      <c r="E1548" s="439" t="s">
        <v>375</v>
      </c>
      <c r="F1548" s="439" t="s">
        <v>9</v>
      </c>
      <c r="G1548" s="439" t="s">
        <v>131</v>
      </c>
      <c r="H1548" s="439" t="s">
        <v>424</v>
      </c>
    </row>
    <row r="1549" spans="1:8" s="422" customFormat="1" ht="11.25">
      <c r="A1549" s="451" t="s">
        <v>398</v>
      </c>
      <c r="B1549" s="438">
        <v>416267.85</v>
      </c>
      <c r="C1549" s="438">
        <v>515150.2</v>
      </c>
      <c r="D1549" s="438">
        <v>1355000</v>
      </c>
      <c r="E1549" s="438">
        <v>1595000</v>
      </c>
      <c r="F1549" s="438">
        <v>1650000</v>
      </c>
      <c r="G1549" s="438">
        <v>975000</v>
      </c>
      <c r="H1549" s="438">
        <v>750000</v>
      </c>
    </row>
    <row r="1550" spans="1:8" s="422" customFormat="1" ht="11.25">
      <c r="A1550" s="451" t="s">
        <v>399</v>
      </c>
      <c r="B1550" s="438">
        <v>0</v>
      </c>
      <c r="C1550" s="438">
        <v>0</v>
      </c>
      <c r="D1550" s="438">
        <v>85000</v>
      </c>
      <c r="E1550" s="438">
        <v>125000</v>
      </c>
      <c r="F1550" s="438">
        <v>145000</v>
      </c>
      <c r="G1550" s="438">
        <v>65000</v>
      </c>
      <c r="H1550" s="438">
        <v>35000</v>
      </c>
    </row>
    <row r="1551" spans="1:8" s="422" customFormat="1" ht="11.25">
      <c r="A1551" s="451" t="s">
        <v>400</v>
      </c>
      <c r="B1551" s="438">
        <v>-281388.27</v>
      </c>
      <c r="C1551" s="438">
        <v>-250000</v>
      </c>
      <c r="D1551" s="438">
        <v>0</v>
      </c>
      <c r="E1551" s="438">
        <v>0</v>
      </c>
      <c r="F1551" s="438">
        <v>0</v>
      </c>
      <c r="G1551" s="438">
        <v>0</v>
      </c>
      <c r="H1551" s="438">
        <v>0</v>
      </c>
    </row>
    <row r="1552" spans="1:8" s="422" customFormat="1" ht="11.25">
      <c r="A1552" s="451" t="s">
        <v>401</v>
      </c>
      <c r="B1552" s="438">
        <v>134879.57999999996</v>
      </c>
      <c r="C1552" s="438">
        <v>265150.2</v>
      </c>
      <c r="D1552" s="438">
        <v>1440000</v>
      </c>
      <c r="E1552" s="438">
        <v>1720000</v>
      </c>
      <c r="F1552" s="438">
        <v>1795000</v>
      </c>
      <c r="G1552" s="438">
        <v>1040000</v>
      </c>
      <c r="H1552" s="438">
        <v>785000</v>
      </c>
    </row>
    <row r="1553" spans="1:3" s="422" customFormat="1" ht="11.25"/>
    <row r="1554" spans="1:3" s="422" customFormat="1" ht="11.25">
      <c r="A1554" s="421" t="s">
        <v>597</v>
      </c>
      <c r="B1554" s="421"/>
      <c r="C1554" s="421"/>
    </row>
    <row r="1555" spans="1:3" s="429" customFormat="1" ht="11.25">
      <c r="A1555" s="428"/>
      <c r="B1555" s="428"/>
      <c r="C1555" s="428"/>
    </row>
    <row r="1556" spans="1:3" s="429" customFormat="1" ht="11.25">
      <c r="A1556" s="428"/>
      <c r="B1556" s="428"/>
      <c r="C1556" s="428"/>
    </row>
    <row r="1557" spans="1:3" s="429" customFormat="1" ht="11.25">
      <c r="A1557" s="428"/>
      <c r="B1557" s="428"/>
      <c r="C1557" s="428"/>
    </row>
    <row r="1558" spans="1:3" s="429" customFormat="1" ht="11.25">
      <c r="A1558" s="428"/>
      <c r="B1558" s="428"/>
      <c r="C1558" s="428"/>
    </row>
    <row r="1559" spans="1:3" s="429" customFormat="1" ht="11.25">
      <c r="A1559" s="428"/>
      <c r="B1559" s="428"/>
      <c r="C1559" s="428"/>
    </row>
    <row r="1560" spans="1:3" s="429" customFormat="1" ht="11.25">
      <c r="A1560" s="428"/>
      <c r="B1560" s="428"/>
      <c r="C1560" s="428"/>
    </row>
    <row r="1561" spans="1:3" s="422" customFormat="1" ht="11.25"/>
    <row r="1562" spans="1:3" s="422" customFormat="1" ht="11.25"/>
    <row r="1563" spans="1:3" s="422" customFormat="1" ht="11.25"/>
    <row r="1564" spans="1:3" s="422" customFormat="1" ht="11.25"/>
    <row r="1565" spans="1:3" s="422" customFormat="1" ht="13.5" customHeight="1"/>
    <row r="1566" spans="1:3" s="422" customFormat="1" ht="12" customHeight="1"/>
    <row r="1567" spans="1:3" s="422" customFormat="1" ht="12" customHeight="1"/>
    <row r="1568" spans="1:3" s="422" customFormat="1" ht="11.25"/>
    <row r="1569" spans="1:8" s="422" customFormat="1" ht="11.25">
      <c r="A1569" s="421" t="s">
        <v>598</v>
      </c>
      <c r="B1569" s="421"/>
      <c r="C1569" s="421"/>
    </row>
    <row r="1570" spans="1:8" s="422" customFormat="1" ht="11.25">
      <c r="A1570" s="452" t="s">
        <v>599</v>
      </c>
      <c r="B1570" s="447"/>
      <c r="C1570" s="447"/>
      <c r="D1570" s="447"/>
      <c r="E1570" s="439" t="s">
        <v>375</v>
      </c>
      <c r="F1570" s="439" t="s">
        <v>9</v>
      </c>
      <c r="G1570" s="439" t="s">
        <v>131</v>
      </c>
      <c r="H1570" s="439" t="s">
        <v>424</v>
      </c>
    </row>
    <row r="1571" spans="1:8" s="422" customFormat="1" ht="11.25">
      <c r="A1571" s="448" t="s">
        <v>430</v>
      </c>
      <c r="B1571" s="449"/>
      <c r="C1571" s="449"/>
      <c r="D1571" s="449"/>
      <c r="E1571" s="438">
        <v>0</v>
      </c>
      <c r="F1571" s="438">
        <v>250000</v>
      </c>
      <c r="G1571" s="438">
        <v>250000</v>
      </c>
      <c r="H1571" s="438">
        <v>0</v>
      </c>
    </row>
    <row r="1572" spans="1:8" s="422" customFormat="1" ht="11.25">
      <c r="A1572" s="448"/>
      <c r="B1572" s="449"/>
      <c r="C1572" s="449"/>
      <c r="D1572" s="449"/>
      <c r="E1572" s="438">
        <v>0</v>
      </c>
      <c r="F1572" s="438">
        <v>0</v>
      </c>
      <c r="G1572" s="438">
        <v>0</v>
      </c>
      <c r="H1572" s="438">
        <v>0</v>
      </c>
    </row>
    <row r="1573" spans="1:8" s="422" customFormat="1" ht="11.25">
      <c r="A1573" s="448"/>
      <c r="B1573" s="449"/>
      <c r="C1573" s="449"/>
      <c r="D1573" s="449"/>
      <c r="E1573" s="438">
        <v>0</v>
      </c>
      <c r="F1573" s="438">
        <v>0</v>
      </c>
      <c r="G1573" s="438">
        <v>0</v>
      </c>
      <c r="H1573" s="438">
        <v>0</v>
      </c>
    </row>
    <row r="1574" spans="1:8" s="421" customFormat="1" ht="11.25">
      <c r="A1574" s="421" t="s">
        <v>391</v>
      </c>
      <c r="D1574" s="421" t="s">
        <v>472</v>
      </c>
    </row>
    <row r="1575" spans="1:8" s="422" customFormat="1" ht="11.25"/>
    <row r="1576" spans="1:8" s="421" customFormat="1" ht="11.25" customHeight="1">
      <c r="A1576" s="423" t="s">
        <v>392</v>
      </c>
      <c r="D1576" s="421" t="s">
        <v>145</v>
      </c>
    </row>
    <row r="1577" spans="1:8" s="421" customFormat="1" ht="7.5" customHeight="1">
      <c r="A1577" s="423"/>
    </row>
    <row r="1578" spans="1:8" s="421" customFormat="1" ht="11.25">
      <c r="A1578" s="424" t="s">
        <v>393</v>
      </c>
      <c r="D1578" s="583" t="s">
        <v>735</v>
      </c>
      <c r="E1578" s="583"/>
      <c r="F1578" s="583"/>
      <c r="G1578" s="583"/>
      <c r="H1578" s="583"/>
    </row>
    <row r="1579" spans="1:8" s="421" customFormat="1" ht="7.5" customHeight="1"/>
    <row r="1580" spans="1:8" s="422" customFormat="1" ht="11.25">
      <c r="A1580" s="421" t="s">
        <v>170</v>
      </c>
      <c r="B1580" s="421"/>
      <c r="C1580" s="421"/>
      <c r="D1580" s="422" t="s">
        <v>216</v>
      </c>
      <c r="E1580" s="422" t="s">
        <v>615</v>
      </c>
    </row>
    <row r="1581" spans="1:8" s="422" customFormat="1" ht="7.5" customHeight="1"/>
    <row r="1582" spans="1:8" s="427" customFormat="1" ht="11.25">
      <c r="A1582" s="425" t="s">
        <v>587</v>
      </c>
      <c r="B1582" s="425"/>
      <c r="C1582" s="425"/>
      <c r="D1582" s="426" t="s">
        <v>736</v>
      </c>
      <c r="E1582" s="584" t="s">
        <v>655</v>
      </c>
      <c r="F1582" s="584"/>
      <c r="G1582" s="584"/>
      <c r="H1582" s="584"/>
    </row>
    <row r="1583" spans="1:8" s="427" customFormat="1" ht="11.25">
      <c r="A1583" s="425"/>
      <c r="B1583" s="425"/>
      <c r="C1583" s="425"/>
      <c r="D1583" s="426" t="s">
        <v>737</v>
      </c>
      <c r="E1583" s="584" t="s">
        <v>621</v>
      </c>
      <c r="F1583" s="584"/>
      <c r="G1583" s="584"/>
      <c r="H1583" s="584"/>
    </row>
    <row r="1584" spans="1:8" s="427" customFormat="1" ht="11.25">
      <c r="A1584" s="425"/>
      <c r="B1584" s="425"/>
      <c r="C1584" s="425"/>
      <c r="D1584" s="426" t="s">
        <v>738</v>
      </c>
      <c r="E1584" s="584" t="s">
        <v>230</v>
      </c>
      <c r="F1584" s="584"/>
      <c r="G1584" s="584"/>
      <c r="H1584" s="584"/>
    </row>
    <row r="1585" spans="1:8" s="427" customFormat="1" ht="11.25">
      <c r="A1585" s="425"/>
      <c r="B1585" s="425"/>
      <c r="C1585" s="425"/>
      <c r="D1585" s="426" t="s">
        <v>737</v>
      </c>
      <c r="E1585" s="584" t="s">
        <v>621</v>
      </c>
      <c r="F1585" s="584"/>
      <c r="G1585" s="584"/>
      <c r="H1585" s="584"/>
    </row>
    <row r="1586" spans="1:8" s="427" customFormat="1" ht="11.25">
      <c r="A1586" s="425"/>
      <c r="B1586" s="425"/>
      <c r="C1586" s="425"/>
      <c r="D1586" s="426"/>
      <c r="E1586" s="584"/>
      <c r="F1586" s="584"/>
      <c r="G1586" s="584"/>
      <c r="H1586" s="584"/>
    </row>
    <row r="1587" spans="1:8" s="427" customFormat="1" ht="11.25"/>
    <row r="1588" spans="1:8" s="422" customFormat="1" ht="11.25"/>
    <row r="1589" spans="1:8" s="422" customFormat="1" ht="11.25">
      <c r="A1589" s="421" t="s">
        <v>589</v>
      </c>
      <c r="B1589" s="421"/>
      <c r="C1589" s="421"/>
    </row>
    <row r="1590" spans="1:8" s="429" customFormat="1" ht="11.25">
      <c r="A1590" s="428"/>
      <c r="B1590" s="428"/>
      <c r="C1590" s="428"/>
    </row>
    <row r="1591" spans="1:8" s="429" customFormat="1" ht="11.25">
      <c r="A1591" s="428"/>
      <c r="B1591" s="428"/>
      <c r="C1591" s="428"/>
    </row>
    <row r="1592" spans="1:8" s="429" customFormat="1" ht="11.25">
      <c r="A1592" s="428"/>
      <c r="B1592" s="428"/>
      <c r="C1592" s="428"/>
    </row>
    <row r="1593" spans="1:8" s="429" customFormat="1" ht="11.25"/>
    <row r="1594" spans="1:8" s="422" customFormat="1" ht="9" customHeight="1">
      <c r="A1594" s="430"/>
      <c r="B1594" s="430"/>
      <c r="C1594" s="430"/>
      <c r="D1594" s="430"/>
      <c r="E1594" s="430"/>
      <c r="F1594" s="430"/>
      <c r="G1594" s="430"/>
      <c r="H1594" s="430"/>
    </row>
    <row r="1595" spans="1:8" s="422" customFormat="1" ht="22.5" customHeight="1">
      <c r="A1595" s="585" t="s">
        <v>590</v>
      </c>
      <c r="B1595" s="585"/>
      <c r="C1595" s="585"/>
      <c r="D1595" s="586"/>
      <c r="E1595" s="586"/>
      <c r="F1595" s="586"/>
      <c r="G1595" s="586"/>
      <c r="H1595" s="586"/>
    </row>
    <row r="1596" spans="1:8" s="429" customFormat="1" ht="11.25">
      <c r="A1596" s="431"/>
      <c r="B1596" s="431"/>
      <c r="C1596" s="431"/>
      <c r="D1596" s="432"/>
      <c r="E1596" s="432"/>
      <c r="F1596" s="432"/>
      <c r="G1596" s="432"/>
      <c r="H1596" s="432"/>
    </row>
    <row r="1597" spans="1:8" s="429" customFormat="1" ht="11.25">
      <c r="A1597" s="431"/>
      <c r="B1597" s="431"/>
      <c r="C1597" s="431"/>
      <c r="D1597" s="432"/>
      <c r="E1597" s="432"/>
      <c r="F1597" s="432"/>
      <c r="G1597" s="432"/>
      <c r="H1597" s="432"/>
    </row>
    <row r="1598" spans="1:8" s="429" customFormat="1" ht="11.25">
      <c r="A1598" s="431"/>
      <c r="B1598" s="431"/>
      <c r="C1598" s="431"/>
      <c r="D1598" s="432"/>
      <c r="E1598" s="432"/>
      <c r="F1598" s="432"/>
      <c r="G1598" s="432"/>
      <c r="H1598" s="432"/>
    </row>
    <row r="1599" spans="1:8" s="429" customFormat="1" ht="11.25">
      <c r="A1599" s="431"/>
      <c r="B1599" s="431"/>
      <c r="C1599" s="431"/>
      <c r="D1599" s="432"/>
      <c r="E1599" s="432"/>
      <c r="F1599" s="432"/>
      <c r="G1599" s="432"/>
      <c r="H1599" s="432"/>
    </row>
    <row r="1600" spans="1:8" s="422" customFormat="1" ht="9" customHeight="1"/>
    <row r="1601" spans="1:8" s="422" customFormat="1" ht="11.25">
      <c r="A1601" s="421" t="s">
        <v>591</v>
      </c>
      <c r="B1601" s="421"/>
      <c r="C1601" s="421"/>
    </row>
    <row r="1602" spans="1:8" s="429" customFormat="1" ht="11.25">
      <c r="A1602" s="428"/>
      <c r="B1602" s="428"/>
      <c r="C1602" s="428"/>
    </row>
    <row r="1603" spans="1:8" s="429" customFormat="1" ht="11.25">
      <c r="A1603" s="428"/>
      <c r="B1603" s="428"/>
      <c r="C1603" s="428"/>
    </row>
    <row r="1604" spans="1:8" s="429" customFormat="1" ht="11.25">
      <c r="A1604" s="428"/>
      <c r="B1604" s="428"/>
      <c r="C1604" s="428"/>
    </row>
    <row r="1605" spans="1:8" s="422" customFormat="1" ht="9" customHeight="1"/>
    <row r="1606" spans="1:8" s="422" customFormat="1" ht="11.25">
      <c r="A1606" s="433" t="s">
        <v>592</v>
      </c>
      <c r="B1606" s="434"/>
      <c r="C1606" s="434"/>
      <c r="D1606" s="434"/>
      <c r="E1606" s="434"/>
      <c r="F1606" s="434"/>
      <c r="G1606" s="434"/>
      <c r="H1606" s="434"/>
    </row>
    <row r="1607" spans="1:8" s="429" customFormat="1" ht="11.25">
      <c r="A1607" s="435"/>
      <c r="B1607" s="436"/>
      <c r="C1607" s="436"/>
      <c r="D1607" s="436"/>
      <c r="E1607" s="436"/>
      <c r="F1607" s="436"/>
      <c r="G1607" s="436"/>
      <c r="H1607" s="436"/>
    </row>
    <row r="1608" spans="1:8" s="429" customFormat="1" ht="11.25">
      <c r="A1608" s="435"/>
      <c r="B1608" s="436"/>
      <c r="C1608" s="436"/>
      <c r="D1608" s="436"/>
      <c r="E1608" s="436"/>
      <c r="F1608" s="436"/>
      <c r="G1608" s="436"/>
      <c r="H1608" s="436"/>
    </row>
    <row r="1609" spans="1:8" s="422" customFormat="1" ht="11.25">
      <c r="A1609" s="437"/>
      <c r="B1609" s="437"/>
      <c r="C1609" s="437"/>
      <c r="D1609" s="437"/>
      <c r="E1609" s="437"/>
      <c r="F1609" s="437"/>
      <c r="G1609" s="437"/>
      <c r="H1609" s="437"/>
    </row>
    <row r="1610" spans="1:8" s="422" customFormat="1" ht="11.25">
      <c r="A1610" s="421" t="s">
        <v>593</v>
      </c>
      <c r="B1610" s="421"/>
      <c r="C1610" s="421"/>
    </row>
    <row r="1611" spans="1:8" s="422" customFormat="1" ht="11.25">
      <c r="A1611" s="438"/>
      <c r="B1611" s="439" t="s">
        <v>132</v>
      </c>
      <c r="C1611" s="439" t="s">
        <v>473</v>
      </c>
      <c r="D1611" s="439" t="s">
        <v>474</v>
      </c>
      <c r="E1611" s="439" t="s">
        <v>375</v>
      </c>
      <c r="F1611" s="439" t="s">
        <v>9</v>
      </c>
      <c r="G1611" s="439" t="s">
        <v>131</v>
      </c>
      <c r="H1611" s="439" t="s">
        <v>424</v>
      </c>
    </row>
    <row r="1612" spans="1:8" s="422" customFormat="1" ht="11.25">
      <c r="A1612" s="439" t="s">
        <v>394</v>
      </c>
      <c r="B1612" s="438">
        <v>1397624.26</v>
      </c>
      <c r="C1612" s="438">
        <v>1326362</v>
      </c>
      <c r="D1612" s="438">
        <v>1420423.1099999999</v>
      </c>
      <c r="E1612" s="438">
        <v>1426461.6003999999</v>
      </c>
      <c r="F1612" s="438">
        <v>1401007.6003999999</v>
      </c>
      <c r="G1612" s="438">
        <v>1414329.84696</v>
      </c>
      <c r="H1612" s="438">
        <v>1419087.7921599997</v>
      </c>
    </row>
    <row r="1613" spans="1:8" s="422" customFormat="1" ht="11.25">
      <c r="A1613" s="439" t="s">
        <v>395</v>
      </c>
      <c r="B1613" s="438">
        <v>-337216.75</v>
      </c>
      <c r="C1613" s="438">
        <v>-336697.35</v>
      </c>
      <c r="D1613" s="438">
        <v>-336646.12</v>
      </c>
      <c r="E1613" s="438">
        <v>-336668</v>
      </c>
      <c r="F1613" s="438">
        <v>-336668</v>
      </c>
      <c r="G1613" s="438">
        <v>-336668</v>
      </c>
      <c r="H1613" s="438">
        <v>-336668</v>
      </c>
    </row>
    <row r="1614" spans="1:8" s="422" customFormat="1" ht="11.25">
      <c r="A1614" s="439" t="s">
        <v>396</v>
      </c>
      <c r="B1614" s="438">
        <v>1060407.51</v>
      </c>
      <c r="C1614" s="438">
        <v>989664.65</v>
      </c>
      <c r="D1614" s="438">
        <v>1083776.9899999998</v>
      </c>
      <c r="E1614" s="438">
        <v>1089793.6003999999</v>
      </c>
      <c r="F1614" s="438">
        <v>1064339.6003999999</v>
      </c>
      <c r="G1614" s="438">
        <v>1077661.84696</v>
      </c>
      <c r="H1614" s="438">
        <v>1082419.7921599997</v>
      </c>
    </row>
    <row r="1615" spans="1:8" s="442" customFormat="1" ht="11.25">
      <c r="A1615" s="440" t="s">
        <v>397</v>
      </c>
      <c r="B1615" s="441">
        <v>0.24127854649575128</v>
      </c>
      <c r="C1615" s="441">
        <v>0.25385026862952947</v>
      </c>
      <c r="D1615" s="441">
        <v>0.23700411351375439</v>
      </c>
      <c r="E1615" s="441">
        <v>0.23601616749136015</v>
      </c>
      <c r="F1615" s="441">
        <v>0.24030419242827686</v>
      </c>
      <c r="G1615" s="441">
        <v>0.23804065276826589</v>
      </c>
      <c r="H1615" s="441">
        <v>0.23724254542952283</v>
      </c>
    </row>
    <row r="1616" spans="1:8" s="422" customFormat="1" ht="11.25"/>
    <row r="1617" spans="1:8" s="422" customFormat="1" ht="11.25">
      <c r="A1617" s="443" t="s">
        <v>594</v>
      </c>
      <c r="B1617" s="443"/>
      <c r="C1617" s="444"/>
    </row>
    <row r="1618" spans="1:8" s="422" customFormat="1" ht="11.25">
      <c r="A1618" s="445" t="s">
        <v>595</v>
      </c>
      <c r="B1618" s="446"/>
      <c r="C1618" s="447"/>
      <c r="D1618" s="439" t="s">
        <v>474</v>
      </c>
      <c r="E1618" s="439" t="s">
        <v>375</v>
      </c>
      <c r="F1618" s="439" t="s">
        <v>9</v>
      </c>
      <c r="G1618" s="439" t="s">
        <v>131</v>
      </c>
      <c r="H1618" s="439" t="s">
        <v>424</v>
      </c>
    </row>
    <row r="1619" spans="1:8" s="422" customFormat="1" ht="11.25">
      <c r="A1619" s="448" t="s">
        <v>739</v>
      </c>
      <c r="B1619" s="449"/>
      <c r="C1619" s="449"/>
      <c r="D1619" s="438"/>
      <c r="E1619" s="438"/>
      <c r="F1619" s="438"/>
      <c r="G1619" s="438"/>
      <c r="H1619" s="438"/>
    </row>
    <row r="1620" spans="1:8" s="422" customFormat="1" ht="11.25">
      <c r="A1620" s="448" t="s">
        <v>740</v>
      </c>
      <c r="B1620" s="449"/>
      <c r="C1620" s="449"/>
      <c r="D1620" s="438"/>
      <c r="E1620" s="438"/>
      <c r="F1620" s="438"/>
      <c r="G1620" s="438"/>
      <c r="H1620" s="438"/>
    </row>
    <row r="1621" spans="1:8" s="422" customFormat="1" ht="11.25">
      <c r="A1621" s="448" t="s">
        <v>741</v>
      </c>
      <c r="B1621" s="449"/>
      <c r="C1621" s="449"/>
      <c r="D1621" s="438"/>
      <c r="E1621" s="438"/>
      <c r="F1621" s="438"/>
      <c r="G1621" s="438"/>
      <c r="H1621" s="438"/>
    </row>
    <row r="1622" spans="1:8" s="422" customFormat="1" ht="11.25"/>
    <row r="1623" spans="1:8" s="422" customFormat="1" ht="11.25">
      <c r="A1623" s="421" t="s">
        <v>423</v>
      </c>
      <c r="B1623" s="421"/>
      <c r="C1623" s="421"/>
    </row>
    <row r="1624" spans="1:8" s="422" customFormat="1" ht="11.25">
      <c r="A1624" s="450"/>
      <c r="B1624" s="439" t="s">
        <v>132</v>
      </c>
      <c r="C1624" s="439" t="s">
        <v>473</v>
      </c>
      <c r="D1624" s="439" t="s">
        <v>474</v>
      </c>
      <c r="E1624" s="439" t="s">
        <v>375</v>
      </c>
      <c r="F1624" s="439" t="s">
        <v>9</v>
      </c>
      <c r="G1624" s="439" t="s">
        <v>131</v>
      </c>
      <c r="H1624" s="439" t="s">
        <v>424</v>
      </c>
    </row>
    <row r="1625" spans="1:8" s="422" customFormat="1" ht="11.25">
      <c r="A1625" s="451" t="s">
        <v>398</v>
      </c>
      <c r="B1625" s="438">
        <v>0</v>
      </c>
      <c r="C1625" s="438">
        <v>0</v>
      </c>
      <c r="D1625" s="438">
        <v>0</v>
      </c>
      <c r="E1625" s="438">
        <v>0</v>
      </c>
      <c r="F1625" s="438">
        <v>0</v>
      </c>
      <c r="G1625" s="438">
        <v>0</v>
      </c>
      <c r="H1625" s="438">
        <v>0</v>
      </c>
    </row>
    <row r="1626" spans="1:8" s="422" customFormat="1" ht="11.25">
      <c r="A1626" s="451" t="s">
        <v>399</v>
      </c>
      <c r="B1626" s="438">
        <v>0</v>
      </c>
      <c r="C1626" s="438">
        <v>0</v>
      </c>
      <c r="D1626" s="438">
        <v>0</v>
      </c>
      <c r="E1626" s="438">
        <v>0</v>
      </c>
      <c r="F1626" s="438">
        <v>0</v>
      </c>
      <c r="G1626" s="438">
        <v>0</v>
      </c>
      <c r="H1626" s="438">
        <v>0</v>
      </c>
    </row>
    <row r="1627" spans="1:8" s="422" customFormat="1" ht="11.25">
      <c r="A1627" s="451" t="s">
        <v>400</v>
      </c>
      <c r="B1627" s="438">
        <v>0</v>
      </c>
      <c r="C1627" s="438">
        <v>0</v>
      </c>
      <c r="D1627" s="438">
        <v>0</v>
      </c>
      <c r="E1627" s="438">
        <v>0</v>
      </c>
      <c r="F1627" s="438">
        <v>0</v>
      </c>
      <c r="G1627" s="438">
        <v>0</v>
      </c>
      <c r="H1627" s="438">
        <v>0</v>
      </c>
    </row>
    <row r="1628" spans="1:8" s="422" customFormat="1" ht="11.25">
      <c r="A1628" s="451" t="s">
        <v>401</v>
      </c>
      <c r="B1628" s="438">
        <v>0</v>
      </c>
      <c r="C1628" s="438">
        <v>0</v>
      </c>
      <c r="D1628" s="438">
        <v>0</v>
      </c>
      <c r="E1628" s="438">
        <v>0</v>
      </c>
      <c r="F1628" s="438">
        <v>0</v>
      </c>
      <c r="G1628" s="438">
        <v>0</v>
      </c>
      <c r="H1628" s="438">
        <v>0</v>
      </c>
    </row>
    <row r="1629" spans="1:8" s="422" customFormat="1" ht="11.25"/>
    <row r="1630" spans="1:8" s="422" customFormat="1" ht="11.25">
      <c r="A1630" s="421" t="s">
        <v>597</v>
      </c>
      <c r="B1630" s="421"/>
      <c r="C1630" s="421"/>
    </row>
    <row r="1631" spans="1:8" s="429" customFormat="1" ht="11.25">
      <c r="A1631" s="428"/>
      <c r="B1631" s="428"/>
      <c r="C1631" s="428"/>
    </row>
    <row r="1632" spans="1:8" s="429" customFormat="1" ht="11.25">
      <c r="A1632" s="428"/>
      <c r="B1632" s="428"/>
      <c r="C1632" s="428"/>
    </row>
    <row r="1633" spans="1:8" s="429" customFormat="1" ht="11.25">
      <c r="A1633" s="428"/>
      <c r="B1633" s="428"/>
      <c r="C1633" s="428"/>
    </row>
    <row r="1634" spans="1:8" s="422" customFormat="1" ht="11.25"/>
    <row r="1635" spans="1:8" s="422" customFormat="1" ht="11.25">
      <c r="A1635" s="421" t="s">
        <v>598</v>
      </c>
      <c r="B1635" s="421"/>
      <c r="C1635" s="421"/>
    </row>
    <row r="1636" spans="1:8" s="422" customFormat="1" ht="11.25">
      <c r="A1636" s="452" t="s">
        <v>599</v>
      </c>
      <c r="B1636" s="447"/>
      <c r="C1636" s="447"/>
      <c r="D1636" s="447"/>
      <c r="E1636" s="439" t="s">
        <v>375</v>
      </c>
      <c r="F1636" s="439" t="s">
        <v>9</v>
      </c>
      <c r="G1636" s="439" t="s">
        <v>131</v>
      </c>
      <c r="H1636" s="439" t="s">
        <v>424</v>
      </c>
    </row>
    <row r="1637" spans="1:8" s="422" customFormat="1" ht="11.25">
      <c r="A1637" s="448"/>
      <c r="B1637" s="449"/>
      <c r="C1637" s="449"/>
      <c r="D1637" s="449"/>
      <c r="E1637" s="438">
        <v>0</v>
      </c>
      <c r="F1637" s="438">
        <v>0</v>
      </c>
      <c r="G1637" s="438">
        <v>0</v>
      </c>
      <c r="H1637" s="438">
        <v>0</v>
      </c>
    </row>
    <row r="1638" spans="1:8" s="422" customFormat="1" ht="11.25">
      <c r="A1638" s="448"/>
      <c r="B1638" s="449"/>
      <c r="C1638" s="449"/>
      <c r="D1638" s="449"/>
      <c r="E1638" s="438">
        <v>0</v>
      </c>
      <c r="F1638" s="438">
        <v>0</v>
      </c>
      <c r="G1638" s="438">
        <v>0</v>
      </c>
      <c r="H1638" s="438">
        <v>0</v>
      </c>
    </row>
    <row r="1639" spans="1:8" s="422" customFormat="1" ht="11.25">
      <c r="A1639" s="448"/>
      <c r="B1639" s="449"/>
      <c r="C1639" s="449"/>
      <c r="D1639" s="449"/>
      <c r="E1639" s="438">
        <v>0</v>
      </c>
      <c r="F1639" s="438">
        <v>0</v>
      </c>
      <c r="G1639" s="438">
        <v>0</v>
      </c>
      <c r="H1639" s="438">
        <v>0</v>
      </c>
    </row>
    <row r="1640" spans="1:8" s="421" customFormat="1" ht="11.25">
      <c r="A1640" s="421" t="s">
        <v>391</v>
      </c>
      <c r="D1640" s="421" t="s">
        <v>472</v>
      </c>
    </row>
    <row r="1641" spans="1:8" s="422" customFormat="1" ht="11.25"/>
    <row r="1642" spans="1:8" s="421" customFormat="1" ht="11.25" customHeight="1">
      <c r="A1642" s="423" t="s">
        <v>392</v>
      </c>
      <c r="D1642" s="421" t="s">
        <v>145</v>
      </c>
    </row>
    <row r="1643" spans="1:8" s="421" customFormat="1" ht="7.5" customHeight="1">
      <c r="A1643" s="423"/>
    </row>
    <row r="1644" spans="1:8" s="421" customFormat="1" ht="11.25">
      <c r="A1644" s="424" t="s">
        <v>393</v>
      </c>
      <c r="D1644" s="583" t="s">
        <v>735</v>
      </c>
      <c r="E1644" s="583"/>
      <c r="F1644" s="583"/>
      <c r="G1644" s="583"/>
      <c r="H1644" s="583"/>
    </row>
    <row r="1645" spans="1:8" s="421" customFormat="1" ht="7.5" customHeight="1"/>
    <row r="1646" spans="1:8" s="422" customFormat="1" ht="11.25">
      <c r="A1646" s="421" t="s">
        <v>170</v>
      </c>
      <c r="B1646" s="421"/>
      <c r="C1646" s="421"/>
      <c r="D1646" s="422" t="s">
        <v>217</v>
      </c>
      <c r="E1646" s="422" t="s">
        <v>742</v>
      </c>
    </row>
    <row r="1647" spans="1:8" s="422" customFormat="1" ht="7.5" customHeight="1"/>
    <row r="1648" spans="1:8" s="427" customFormat="1" ht="11.25">
      <c r="A1648" s="425" t="s">
        <v>587</v>
      </c>
      <c r="B1648" s="425"/>
      <c r="C1648" s="425"/>
      <c r="D1648" s="426" t="s">
        <v>743</v>
      </c>
      <c r="E1648" s="584" t="s">
        <v>660</v>
      </c>
      <c r="F1648" s="584"/>
      <c r="G1648" s="584"/>
      <c r="H1648" s="584"/>
    </row>
    <row r="1649" spans="1:8" s="427" customFormat="1" ht="11.25">
      <c r="A1649" s="425"/>
      <c r="B1649" s="425"/>
      <c r="C1649" s="425"/>
      <c r="D1649" s="426" t="s">
        <v>744</v>
      </c>
      <c r="E1649" s="584" t="s">
        <v>745</v>
      </c>
      <c r="F1649" s="584"/>
      <c r="G1649" s="584"/>
      <c r="H1649" s="584"/>
    </row>
    <row r="1650" spans="1:8" s="427" customFormat="1" ht="11.25">
      <c r="A1650" s="425"/>
      <c r="B1650" s="425"/>
      <c r="C1650" s="425"/>
      <c r="D1650" s="426" t="s">
        <v>746</v>
      </c>
      <c r="E1650" s="584" t="s">
        <v>662</v>
      </c>
      <c r="F1650" s="584"/>
      <c r="G1650" s="584"/>
      <c r="H1650" s="584"/>
    </row>
    <row r="1651" spans="1:8" s="427" customFormat="1" ht="11.25">
      <c r="A1651" s="425"/>
      <c r="B1651" s="425"/>
      <c r="C1651" s="425"/>
      <c r="D1651" s="426" t="s">
        <v>747</v>
      </c>
      <c r="E1651" s="584" t="s">
        <v>748</v>
      </c>
      <c r="F1651" s="584"/>
      <c r="G1651" s="584"/>
      <c r="H1651" s="584"/>
    </row>
    <row r="1652" spans="1:8" s="427" customFormat="1" ht="11.25">
      <c r="A1652" s="425"/>
      <c r="B1652" s="425"/>
      <c r="C1652" s="425"/>
      <c r="D1652" s="426" t="s">
        <v>749</v>
      </c>
      <c r="E1652" s="584" t="s">
        <v>750</v>
      </c>
      <c r="F1652" s="584"/>
      <c r="G1652" s="584"/>
      <c r="H1652" s="584"/>
    </row>
    <row r="1653" spans="1:8" s="427" customFormat="1" ht="11.25">
      <c r="A1653" s="425"/>
      <c r="B1653" s="425"/>
      <c r="C1653" s="425"/>
      <c r="D1653" s="426"/>
      <c r="E1653" s="584"/>
      <c r="F1653" s="584"/>
      <c r="G1653" s="584"/>
      <c r="H1653" s="584"/>
    </row>
    <row r="1654" spans="1:8" s="427" customFormat="1" ht="11.25">
      <c r="A1654" s="425"/>
      <c r="B1654" s="425"/>
      <c r="C1654" s="425"/>
      <c r="D1654" s="426"/>
      <c r="E1654" s="584"/>
      <c r="F1654" s="584"/>
      <c r="G1654" s="584"/>
      <c r="H1654" s="584"/>
    </row>
    <row r="1655" spans="1:8" s="427" customFormat="1" ht="11.25">
      <c r="A1655" s="425"/>
      <c r="B1655" s="425"/>
      <c r="C1655" s="425"/>
      <c r="D1655" s="426"/>
      <c r="E1655" s="584"/>
      <c r="F1655" s="584"/>
      <c r="G1655" s="584"/>
      <c r="H1655" s="584"/>
    </row>
    <row r="1656" spans="1:8" s="427" customFormat="1" ht="11.25"/>
    <row r="1657" spans="1:8" s="422" customFormat="1" ht="11.25"/>
    <row r="1658" spans="1:8" s="422" customFormat="1" ht="11.25">
      <c r="A1658" s="421" t="s">
        <v>589</v>
      </c>
      <c r="B1658" s="421"/>
      <c r="C1658" s="421"/>
    </row>
    <row r="1659" spans="1:8" s="429" customFormat="1" ht="11.25">
      <c r="A1659" s="428"/>
      <c r="B1659" s="428"/>
      <c r="C1659" s="428"/>
    </row>
    <row r="1660" spans="1:8" s="429" customFormat="1" ht="11.25">
      <c r="A1660" s="428"/>
      <c r="B1660" s="428"/>
      <c r="C1660" s="428"/>
    </row>
    <row r="1661" spans="1:8" s="429" customFormat="1" ht="11.25">
      <c r="A1661" s="428"/>
      <c r="B1661" s="428"/>
      <c r="C1661" s="428"/>
    </row>
    <row r="1662" spans="1:8" s="422" customFormat="1" ht="9" customHeight="1">
      <c r="A1662" s="430"/>
      <c r="B1662" s="430"/>
      <c r="C1662" s="430"/>
      <c r="D1662" s="430"/>
      <c r="E1662" s="430"/>
      <c r="F1662" s="430"/>
      <c r="G1662" s="430"/>
      <c r="H1662" s="430"/>
    </row>
    <row r="1663" spans="1:8" s="422" customFormat="1" ht="22.5" customHeight="1">
      <c r="A1663" s="585" t="s">
        <v>590</v>
      </c>
      <c r="B1663" s="585"/>
      <c r="C1663" s="585"/>
      <c r="D1663" s="586"/>
      <c r="E1663" s="586"/>
      <c r="F1663" s="586"/>
      <c r="G1663" s="586"/>
      <c r="H1663" s="586"/>
    </row>
    <row r="1664" spans="1:8" s="429" customFormat="1" ht="11.25">
      <c r="A1664" s="431"/>
      <c r="B1664" s="431"/>
      <c r="C1664" s="431"/>
      <c r="D1664" s="432"/>
      <c r="E1664" s="432"/>
      <c r="F1664" s="432"/>
      <c r="G1664" s="432"/>
      <c r="H1664" s="432"/>
    </row>
    <row r="1665" spans="1:8" s="429" customFormat="1" ht="11.25">
      <c r="A1665" s="431"/>
      <c r="B1665" s="431"/>
      <c r="C1665" s="431"/>
      <c r="D1665" s="432"/>
      <c r="E1665" s="432"/>
      <c r="F1665" s="432"/>
      <c r="G1665" s="432"/>
      <c r="H1665" s="432"/>
    </row>
    <row r="1666" spans="1:8" s="429" customFormat="1" ht="11.25">
      <c r="A1666" s="431"/>
      <c r="B1666" s="431"/>
      <c r="C1666" s="431"/>
      <c r="D1666" s="432"/>
      <c r="E1666" s="432"/>
      <c r="F1666" s="432"/>
      <c r="G1666" s="432"/>
      <c r="H1666" s="432"/>
    </row>
    <row r="1667" spans="1:8" s="422" customFormat="1" ht="9" customHeight="1"/>
    <row r="1668" spans="1:8" s="422" customFormat="1" ht="11.25">
      <c r="A1668" s="421" t="s">
        <v>591</v>
      </c>
      <c r="B1668" s="421"/>
      <c r="C1668" s="421"/>
    </row>
    <row r="1669" spans="1:8" s="429" customFormat="1" ht="11.25">
      <c r="A1669" s="428"/>
      <c r="B1669" s="428"/>
      <c r="C1669" s="428"/>
    </row>
    <row r="1670" spans="1:8" s="429" customFormat="1" ht="11.25">
      <c r="A1670" s="428"/>
      <c r="B1670" s="428"/>
      <c r="C1670" s="428"/>
    </row>
    <row r="1671" spans="1:8" s="429" customFormat="1" ht="11.25">
      <c r="A1671" s="428"/>
      <c r="B1671" s="428"/>
      <c r="C1671" s="428"/>
    </row>
    <row r="1672" spans="1:8" s="422" customFormat="1" ht="9" customHeight="1"/>
    <row r="1673" spans="1:8" s="422" customFormat="1" ht="11.25">
      <c r="A1673" s="433" t="s">
        <v>592</v>
      </c>
      <c r="B1673" s="434"/>
      <c r="C1673" s="434"/>
      <c r="D1673" s="434"/>
      <c r="E1673" s="434"/>
      <c r="F1673" s="434"/>
      <c r="G1673" s="434"/>
      <c r="H1673" s="434"/>
    </row>
    <row r="1674" spans="1:8" s="429" customFormat="1" ht="11.25">
      <c r="A1674" s="435"/>
      <c r="B1674" s="436"/>
      <c r="C1674" s="436"/>
      <c r="D1674" s="436"/>
      <c r="E1674" s="436"/>
      <c r="F1674" s="436"/>
      <c r="G1674" s="436"/>
      <c r="H1674" s="436"/>
    </row>
    <row r="1675" spans="1:8" s="429" customFormat="1" ht="11.25">
      <c r="A1675" s="435"/>
      <c r="B1675" s="436"/>
      <c r="C1675" s="436"/>
      <c r="D1675" s="436"/>
      <c r="E1675" s="436"/>
      <c r="F1675" s="436"/>
      <c r="G1675" s="436"/>
      <c r="H1675" s="436"/>
    </row>
    <row r="1676" spans="1:8" s="422" customFormat="1" ht="11.25">
      <c r="A1676" s="437"/>
      <c r="B1676" s="437"/>
      <c r="C1676" s="437"/>
      <c r="D1676" s="437"/>
      <c r="E1676" s="437"/>
      <c r="F1676" s="437"/>
      <c r="G1676" s="437"/>
      <c r="H1676" s="437"/>
    </row>
    <row r="1677" spans="1:8" s="422" customFormat="1" ht="11.25">
      <c r="A1677" s="421" t="s">
        <v>593</v>
      </c>
      <c r="B1677" s="421"/>
      <c r="C1677" s="421"/>
    </row>
    <row r="1678" spans="1:8" s="422" customFormat="1" ht="11.25">
      <c r="A1678" s="438"/>
      <c r="B1678" s="439" t="s">
        <v>132</v>
      </c>
      <c r="C1678" s="439" t="s">
        <v>473</v>
      </c>
      <c r="D1678" s="439" t="s">
        <v>474</v>
      </c>
      <c r="E1678" s="439" t="s">
        <v>375</v>
      </c>
      <c r="F1678" s="439" t="s">
        <v>9</v>
      </c>
      <c r="G1678" s="439" t="s">
        <v>131</v>
      </c>
      <c r="H1678" s="439" t="s">
        <v>424</v>
      </c>
    </row>
    <row r="1679" spans="1:8" s="422" customFormat="1" ht="11.25">
      <c r="A1679" s="439" t="s">
        <v>394</v>
      </c>
      <c r="B1679" s="438">
        <v>1952242.9100000001</v>
      </c>
      <c r="C1679" s="438">
        <v>1746773.8499999999</v>
      </c>
      <c r="D1679" s="438">
        <v>1783505.36</v>
      </c>
      <c r="E1679" s="438">
        <v>1774211.8176</v>
      </c>
      <c r="F1679" s="438">
        <v>1774211.8176</v>
      </c>
      <c r="G1679" s="438">
        <v>1794068.09824</v>
      </c>
      <c r="H1679" s="438">
        <v>1801159.6270399999</v>
      </c>
    </row>
    <row r="1680" spans="1:8" s="422" customFormat="1" ht="11.25">
      <c r="A1680" s="439" t="s">
        <v>395</v>
      </c>
      <c r="B1680" s="438">
        <v>-583520.30000000005</v>
      </c>
      <c r="C1680" s="438">
        <v>-579726.96</v>
      </c>
      <c r="D1680" s="438">
        <v>-580595.52</v>
      </c>
      <c r="E1680" s="438">
        <v>-580595.52</v>
      </c>
      <c r="F1680" s="438">
        <v>-580595.52</v>
      </c>
      <c r="G1680" s="438">
        <v>-580595.52</v>
      </c>
      <c r="H1680" s="438">
        <v>-580595.52</v>
      </c>
    </row>
    <row r="1681" spans="1:8" s="422" customFormat="1" ht="11.25">
      <c r="A1681" s="439" t="s">
        <v>396</v>
      </c>
      <c r="B1681" s="438">
        <v>1368722.61</v>
      </c>
      <c r="C1681" s="438">
        <v>1167046.8899999999</v>
      </c>
      <c r="D1681" s="438">
        <v>1202909.8400000001</v>
      </c>
      <c r="E1681" s="438">
        <v>1193616.2975999999</v>
      </c>
      <c r="F1681" s="438">
        <v>1193616.2975999999</v>
      </c>
      <c r="G1681" s="438">
        <v>1213472.5782399999</v>
      </c>
      <c r="H1681" s="438">
        <v>1220564.1070399999</v>
      </c>
    </row>
    <row r="1682" spans="1:8" s="442" customFormat="1" ht="11.25">
      <c r="A1682" s="440" t="s">
        <v>397</v>
      </c>
      <c r="B1682" s="441">
        <v>0.29889738464974114</v>
      </c>
      <c r="C1682" s="441">
        <v>0.33188438217116656</v>
      </c>
      <c r="D1682" s="441">
        <v>0.3255361789324816</v>
      </c>
      <c r="E1682" s="441">
        <v>0.32724137796882635</v>
      </c>
      <c r="F1682" s="441">
        <v>0.32724137796882635</v>
      </c>
      <c r="G1682" s="441">
        <v>0.32361955522734642</v>
      </c>
      <c r="H1682" s="441">
        <v>0.32234539975456944</v>
      </c>
    </row>
    <row r="1683" spans="1:8" s="422" customFormat="1" ht="11.25"/>
    <row r="1684" spans="1:8" s="422" customFormat="1" ht="11.25">
      <c r="A1684" s="443" t="s">
        <v>594</v>
      </c>
      <c r="B1684" s="443"/>
      <c r="C1684" s="444"/>
    </row>
    <row r="1685" spans="1:8" s="422" customFormat="1" ht="11.25">
      <c r="A1685" s="445" t="s">
        <v>595</v>
      </c>
      <c r="B1685" s="446"/>
      <c r="C1685" s="447"/>
      <c r="D1685" s="439" t="s">
        <v>474</v>
      </c>
      <c r="E1685" s="439" t="s">
        <v>375</v>
      </c>
      <c r="F1685" s="439" t="s">
        <v>9</v>
      </c>
      <c r="G1685" s="439" t="s">
        <v>131</v>
      </c>
      <c r="H1685" s="439" t="s">
        <v>424</v>
      </c>
    </row>
    <row r="1686" spans="1:8" s="422" customFormat="1" ht="11.25">
      <c r="A1686" s="448" t="s">
        <v>739</v>
      </c>
      <c r="B1686" s="449"/>
      <c r="C1686" s="449"/>
      <c r="D1686" s="438"/>
      <c r="E1686" s="438"/>
      <c r="F1686" s="438"/>
      <c r="G1686" s="438"/>
      <c r="H1686" s="438"/>
    </row>
    <row r="1687" spans="1:8" s="422" customFormat="1" ht="11.25">
      <c r="A1687" s="448" t="s">
        <v>740</v>
      </c>
      <c r="B1687" s="449"/>
      <c r="C1687" s="449"/>
      <c r="D1687" s="438"/>
      <c r="E1687" s="438"/>
      <c r="F1687" s="438"/>
      <c r="G1687" s="438"/>
      <c r="H1687" s="438"/>
    </row>
    <row r="1688" spans="1:8" s="422" customFormat="1" ht="11.25">
      <c r="A1688" s="448" t="s">
        <v>741</v>
      </c>
      <c r="B1688" s="449"/>
      <c r="C1688" s="449"/>
      <c r="D1688" s="438"/>
      <c r="E1688" s="438"/>
      <c r="F1688" s="438"/>
      <c r="G1688" s="438"/>
      <c r="H1688" s="438"/>
    </row>
    <row r="1689" spans="1:8" s="422" customFormat="1" ht="11.25"/>
    <row r="1690" spans="1:8" s="422" customFormat="1" ht="11.25">
      <c r="A1690" s="421" t="s">
        <v>423</v>
      </c>
      <c r="B1690" s="421"/>
      <c r="C1690" s="421"/>
    </row>
    <row r="1691" spans="1:8" s="422" customFormat="1" ht="11.25">
      <c r="A1691" s="450"/>
      <c r="B1691" s="439" t="s">
        <v>132</v>
      </c>
      <c r="C1691" s="439" t="s">
        <v>473</v>
      </c>
      <c r="D1691" s="439" t="s">
        <v>474</v>
      </c>
      <c r="E1691" s="439" t="s">
        <v>375</v>
      </c>
      <c r="F1691" s="439" t="s">
        <v>9</v>
      </c>
      <c r="G1691" s="439" t="s">
        <v>131</v>
      </c>
      <c r="H1691" s="439" t="s">
        <v>424</v>
      </c>
    </row>
    <row r="1692" spans="1:8" s="422" customFormat="1" ht="11.25">
      <c r="A1692" s="451" t="s">
        <v>398</v>
      </c>
      <c r="B1692" s="438">
        <v>0</v>
      </c>
      <c r="C1692" s="438">
        <v>0</v>
      </c>
      <c r="D1692" s="438">
        <v>0</v>
      </c>
      <c r="E1692" s="438">
        <v>0</v>
      </c>
      <c r="F1692" s="438">
        <v>0</v>
      </c>
      <c r="G1692" s="438">
        <v>0</v>
      </c>
      <c r="H1692" s="438">
        <v>0</v>
      </c>
    </row>
    <row r="1693" spans="1:8" s="422" customFormat="1" ht="11.25">
      <c r="A1693" s="451" t="s">
        <v>399</v>
      </c>
      <c r="B1693" s="438">
        <v>0</v>
      </c>
      <c r="C1693" s="438">
        <v>0</v>
      </c>
      <c r="D1693" s="438">
        <v>0</v>
      </c>
      <c r="E1693" s="438">
        <v>0</v>
      </c>
      <c r="F1693" s="438">
        <v>0</v>
      </c>
      <c r="G1693" s="438">
        <v>0</v>
      </c>
      <c r="H1693" s="438">
        <v>0</v>
      </c>
    </row>
    <row r="1694" spans="1:8" s="422" customFormat="1" ht="11.25">
      <c r="A1694" s="451" t="s">
        <v>400</v>
      </c>
      <c r="B1694" s="438">
        <v>0</v>
      </c>
      <c r="C1694" s="438">
        <v>0</v>
      </c>
      <c r="D1694" s="438">
        <v>0</v>
      </c>
      <c r="E1694" s="438">
        <v>0</v>
      </c>
      <c r="F1694" s="438">
        <v>0</v>
      </c>
      <c r="G1694" s="438">
        <v>0</v>
      </c>
      <c r="H1694" s="438">
        <v>0</v>
      </c>
    </row>
    <row r="1695" spans="1:8" s="422" customFormat="1" ht="11.25">
      <c r="A1695" s="451" t="s">
        <v>401</v>
      </c>
      <c r="B1695" s="438">
        <v>0</v>
      </c>
      <c r="C1695" s="438">
        <v>0</v>
      </c>
      <c r="D1695" s="438">
        <v>0</v>
      </c>
      <c r="E1695" s="438">
        <v>0</v>
      </c>
      <c r="F1695" s="438">
        <v>0</v>
      </c>
      <c r="G1695" s="438">
        <v>0</v>
      </c>
      <c r="H1695" s="438">
        <v>0</v>
      </c>
    </row>
    <row r="1696" spans="1:8" s="422" customFormat="1" ht="11.25"/>
    <row r="1697" spans="1:8" s="422" customFormat="1" ht="11.25">
      <c r="A1697" s="421" t="s">
        <v>597</v>
      </c>
      <c r="B1697" s="421"/>
      <c r="C1697" s="421"/>
    </row>
    <row r="1698" spans="1:8" s="429" customFormat="1" ht="11.25">
      <c r="A1698" s="428"/>
      <c r="B1698" s="428"/>
      <c r="C1698" s="428"/>
    </row>
    <row r="1699" spans="1:8" s="429" customFormat="1" ht="11.25">
      <c r="A1699" s="428"/>
      <c r="B1699" s="428"/>
      <c r="C1699" s="428"/>
    </row>
    <row r="1700" spans="1:8" s="429" customFormat="1" ht="11.25">
      <c r="A1700" s="428"/>
      <c r="B1700" s="428"/>
      <c r="C1700" s="428"/>
    </row>
    <row r="1701" spans="1:8" s="422" customFormat="1" ht="11.25"/>
    <row r="1702" spans="1:8" s="422" customFormat="1" ht="11.25">
      <c r="A1702" s="421" t="s">
        <v>598</v>
      </c>
      <c r="B1702" s="421"/>
      <c r="C1702" s="421"/>
    </row>
    <row r="1703" spans="1:8" s="422" customFormat="1" ht="11.25">
      <c r="A1703" s="452" t="s">
        <v>599</v>
      </c>
      <c r="B1703" s="447"/>
      <c r="C1703" s="447"/>
      <c r="D1703" s="447"/>
      <c r="E1703" s="439" t="s">
        <v>375</v>
      </c>
      <c r="F1703" s="439" t="s">
        <v>9</v>
      </c>
      <c r="G1703" s="439" t="s">
        <v>131</v>
      </c>
      <c r="H1703" s="439" t="s">
        <v>424</v>
      </c>
    </row>
    <row r="1704" spans="1:8" s="422" customFormat="1" ht="11.25">
      <c r="A1704" s="448"/>
      <c r="B1704" s="449"/>
      <c r="C1704" s="449"/>
      <c r="D1704" s="449"/>
      <c r="E1704" s="438">
        <v>0</v>
      </c>
      <c r="F1704" s="438">
        <v>0</v>
      </c>
      <c r="G1704" s="438">
        <v>0</v>
      </c>
      <c r="H1704" s="438">
        <v>0</v>
      </c>
    </row>
    <row r="1705" spans="1:8" s="422" customFormat="1" ht="11.25">
      <c r="A1705" s="448"/>
      <c r="B1705" s="449"/>
      <c r="C1705" s="449"/>
      <c r="D1705" s="449"/>
      <c r="E1705" s="438">
        <v>0</v>
      </c>
      <c r="F1705" s="438">
        <v>0</v>
      </c>
      <c r="G1705" s="438">
        <v>0</v>
      </c>
      <c r="H1705" s="438">
        <v>0</v>
      </c>
    </row>
    <row r="1706" spans="1:8" s="422" customFormat="1" ht="11.25">
      <c r="A1706" s="448"/>
      <c r="B1706" s="449"/>
      <c r="C1706" s="449"/>
      <c r="D1706" s="449"/>
      <c r="E1706" s="438">
        <v>0</v>
      </c>
      <c r="F1706" s="438">
        <v>0</v>
      </c>
      <c r="G1706" s="438">
        <v>0</v>
      </c>
      <c r="H1706" s="438">
        <v>0</v>
      </c>
    </row>
    <row r="1707" spans="1:8" s="421" customFormat="1" ht="11.25">
      <c r="A1707" s="421" t="s">
        <v>391</v>
      </c>
      <c r="D1707" s="421" t="s">
        <v>472</v>
      </c>
    </row>
    <row r="1708" spans="1:8" s="422" customFormat="1" ht="11.25"/>
    <row r="1709" spans="1:8" s="421" customFormat="1" ht="11.25" customHeight="1">
      <c r="A1709" s="423" t="s">
        <v>392</v>
      </c>
      <c r="D1709" s="421" t="s">
        <v>145</v>
      </c>
    </row>
    <row r="1710" spans="1:8" s="421" customFormat="1" ht="7.5" customHeight="1">
      <c r="A1710" s="423"/>
    </row>
    <row r="1711" spans="1:8" s="421" customFormat="1" ht="11.25">
      <c r="A1711" s="424" t="s">
        <v>393</v>
      </c>
      <c r="D1711" s="583" t="s">
        <v>362</v>
      </c>
      <c r="E1711" s="583"/>
      <c r="F1711" s="583"/>
      <c r="G1711" s="583"/>
      <c r="H1711" s="583"/>
    </row>
    <row r="1712" spans="1:8" s="421" customFormat="1" ht="7.5" customHeight="1"/>
    <row r="1713" spans="1:8" s="422" customFormat="1" ht="11.25">
      <c r="A1713" s="421" t="s">
        <v>170</v>
      </c>
      <c r="B1713" s="421"/>
      <c r="C1713" s="421"/>
      <c r="D1713" s="422" t="s">
        <v>218</v>
      </c>
      <c r="E1713" s="422" t="s">
        <v>362</v>
      </c>
    </row>
    <row r="1714" spans="1:8" s="422" customFormat="1" ht="7.5" customHeight="1"/>
    <row r="1715" spans="1:8" s="427" customFormat="1" ht="11.25">
      <c r="A1715" s="425" t="s">
        <v>587</v>
      </c>
      <c r="B1715" s="425"/>
      <c r="C1715" s="425"/>
      <c r="D1715" s="426" t="s">
        <v>751</v>
      </c>
      <c r="E1715" s="584" t="s">
        <v>752</v>
      </c>
      <c r="F1715" s="584"/>
      <c r="G1715" s="584"/>
      <c r="H1715" s="584"/>
    </row>
    <row r="1716" spans="1:8" s="427" customFormat="1" ht="11.25">
      <c r="A1716" s="425"/>
      <c r="B1716" s="425"/>
      <c r="C1716" s="425"/>
      <c r="D1716" s="426"/>
      <c r="E1716" s="584"/>
      <c r="F1716" s="584"/>
      <c r="G1716" s="584"/>
      <c r="H1716" s="584"/>
    </row>
    <row r="1717" spans="1:8" s="427" customFormat="1" ht="11.25">
      <c r="A1717" s="425"/>
      <c r="B1717" s="425"/>
      <c r="C1717" s="425"/>
      <c r="D1717" s="426"/>
      <c r="E1717" s="584"/>
      <c r="F1717" s="584"/>
      <c r="G1717" s="584"/>
      <c r="H1717" s="584"/>
    </row>
    <row r="1718" spans="1:8" s="427" customFormat="1" ht="11.25">
      <c r="A1718" s="425"/>
      <c r="B1718" s="425"/>
      <c r="C1718" s="425"/>
      <c r="D1718" s="426"/>
      <c r="E1718" s="584"/>
      <c r="F1718" s="584"/>
      <c r="G1718" s="584"/>
      <c r="H1718" s="584"/>
    </row>
    <row r="1719" spans="1:8" s="427" customFormat="1" ht="11.25">
      <c r="A1719" s="425"/>
      <c r="B1719" s="425"/>
      <c r="C1719" s="425"/>
      <c r="D1719" s="426"/>
      <c r="E1719" s="584"/>
      <c r="F1719" s="584"/>
      <c r="G1719" s="584"/>
      <c r="H1719" s="584"/>
    </row>
    <row r="1720" spans="1:8" s="427" customFormat="1" ht="11.25"/>
    <row r="1721" spans="1:8" s="422" customFormat="1" ht="11.25"/>
    <row r="1722" spans="1:8" s="422" customFormat="1" ht="11.25">
      <c r="A1722" s="421" t="s">
        <v>589</v>
      </c>
      <c r="B1722" s="421"/>
      <c r="C1722" s="421"/>
    </row>
    <row r="1723" spans="1:8" s="429" customFormat="1" ht="11.25">
      <c r="A1723" s="428"/>
      <c r="B1723" s="428"/>
      <c r="C1723" s="428"/>
    </row>
    <row r="1724" spans="1:8" s="429" customFormat="1" ht="11.25">
      <c r="A1724" s="428"/>
      <c r="B1724" s="428"/>
      <c r="C1724" s="428"/>
    </row>
    <row r="1725" spans="1:8" s="429" customFormat="1" ht="11.25">
      <c r="A1725" s="428"/>
      <c r="B1725" s="428"/>
      <c r="C1725" s="428"/>
    </row>
    <row r="1726" spans="1:8" s="422" customFormat="1" ht="9" customHeight="1">
      <c r="A1726" s="430"/>
      <c r="B1726" s="430"/>
      <c r="C1726" s="430"/>
      <c r="D1726" s="430"/>
      <c r="E1726" s="430"/>
      <c r="F1726" s="430"/>
      <c r="G1726" s="430"/>
      <c r="H1726" s="430"/>
    </row>
    <row r="1727" spans="1:8" s="422" customFormat="1" ht="22.5" customHeight="1">
      <c r="A1727" s="585" t="s">
        <v>590</v>
      </c>
      <c r="B1727" s="585"/>
      <c r="C1727" s="585"/>
      <c r="D1727" s="586"/>
      <c r="E1727" s="586"/>
      <c r="F1727" s="586"/>
      <c r="G1727" s="586"/>
      <c r="H1727" s="586"/>
    </row>
    <row r="1728" spans="1:8" s="429" customFormat="1" ht="11.25">
      <c r="A1728" s="431"/>
      <c r="B1728" s="431"/>
      <c r="C1728" s="431"/>
      <c r="D1728" s="432"/>
      <c r="E1728" s="432"/>
      <c r="F1728" s="432"/>
      <c r="G1728" s="432"/>
      <c r="H1728" s="432"/>
    </row>
    <row r="1729" spans="1:8" s="429" customFormat="1" ht="11.25">
      <c r="A1729" s="431"/>
      <c r="B1729" s="431"/>
      <c r="C1729" s="431"/>
      <c r="D1729" s="432"/>
      <c r="E1729" s="432"/>
      <c r="F1729" s="432"/>
      <c r="G1729" s="432"/>
      <c r="H1729" s="432"/>
    </row>
    <row r="1730" spans="1:8" s="429" customFormat="1" ht="11.25">
      <c r="A1730" s="431"/>
      <c r="B1730" s="431"/>
      <c r="C1730" s="431"/>
      <c r="D1730" s="432"/>
      <c r="E1730" s="432"/>
      <c r="F1730" s="432"/>
      <c r="G1730" s="432"/>
      <c r="H1730" s="432"/>
    </row>
    <row r="1731" spans="1:8" s="429" customFormat="1" ht="11.25">
      <c r="A1731" s="431"/>
      <c r="B1731" s="431"/>
      <c r="C1731" s="431"/>
      <c r="D1731" s="432"/>
      <c r="E1731" s="432"/>
      <c r="F1731" s="432"/>
      <c r="G1731" s="432"/>
      <c r="H1731" s="432"/>
    </row>
    <row r="1732" spans="1:8" s="429" customFormat="1" ht="11.25">
      <c r="A1732" s="431"/>
      <c r="B1732" s="431"/>
      <c r="C1732" s="431"/>
      <c r="D1732" s="432"/>
      <c r="E1732" s="432"/>
      <c r="F1732" s="432"/>
      <c r="G1732" s="432"/>
      <c r="H1732" s="432"/>
    </row>
    <row r="1733" spans="1:8" s="422" customFormat="1" ht="9" customHeight="1"/>
    <row r="1734" spans="1:8" s="422" customFormat="1" ht="11.25">
      <c r="A1734" s="421" t="s">
        <v>591</v>
      </c>
      <c r="B1734" s="421"/>
      <c r="C1734" s="421"/>
    </row>
    <row r="1735" spans="1:8" s="429" customFormat="1" ht="11.25">
      <c r="A1735" s="428"/>
      <c r="B1735" s="428"/>
      <c r="C1735" s="428"/>
    </row>
    <row r="1736" spans="1:8" s="429" customFormat="1" ht="11.25">
      <c r="A1736" s="428"/>
      <c r="B1736" s="428"/>
      <c r="C1736" s="428"/>
    </row>
    <row r="1737" spans="1:8" s="429" customFormat="1" ht="11.25">
      <c r="A1737" s="428"/>
      <c r="B1737" s="428"/>
      <c r="C1737" s="428"/>
    </row>
    <row r="1738" spans="1:8" s="429" customFormat="1" ht="11.25">
      <c r="A1738" s="428"/>
      <c r="B1738" s="428"/>
      <c r="C1738" s="428"/>
    </row>
    <row r="1739" spans="1:8" s="429" customFormat="1" ht="11.25">
      <c r="A1739" s="428"/>
      <c r="B1739" s="428"/>
      <c r="C1739" s="428"/>
    </row>
    <row r="1740" spans="1:8" s="429" customFormat="1" ht="11.25">
      <c r="A1740" s="428"/>
      <c r="B1740" s="428"/>
      <c r="C1740" s="428"/>
    </row>
    <row r="1741" spans="1:8" s="422" customFormat="1" ht="9" customHeight="1"/>
    <row r="1742" spans="1:8" s="422" customFormat="1" ht="11.25">
      <c r="A1742" s="433" t="s">
        <v>592</v>
      </c>
      <c r="B1742" s="434"/>
      <c r="C1742" s="434"/>
      <c r="D1742" s="434"/>
      <c r="E1742" s="434"/>
      <c r="F1742" s="434"/>
      <c r="G1742" s="434"/>
      <c r="H1742" s="434"/>
    </row>
    <row r="1743" spans="1:8" s="429" customFormat="1" ht="11.25">
      <c r="A1743" s="435"/>
      <c r="B1743" s="436"/>
      <c r="C1743" s="436"/>
      <c r="D1743" s="436"/>
      <c r="E1743" s="436"/>
      <c r="F1743" s="436"/>
      <c r="G1743" s="436"/>
      <c r="H1743" s="436"/>
    </row>
    <row r="1744" spans="1:8" s="429" customFormat="1" ht="11.25">
      <c r="A1744" s="435"/>
      <c r="B1744" s="436"/>
      <c r="C1744" s="436"/>
      <c r="D1744" s="436"/>
      <c r="E1744" s="436"/>
      <c r="F1744" s="436"/>
      <c r="G1744" s="436"/>
      <c r="H1744" s="436"/>
    </row>
    <row r="1745" spans="1:8" s="422" customFormat="1" ht="11.25">
      <c r="A1745" s="437"/>
      <c r="B1745" s="437"/>
      <c r="C1745" s="437"/>
      <c r="D1745" s="437"/>
      <c r="E1745" s="437"/>
      <c r="F1745" s="437"/>
      <c r="G1745" s="437"/>
      <c r="H1745" s="437"/>
    </row>
    <row r="1746" spans="1:8" s="422" customFormat="1" ht="11.25">
      <c r="A1746" s="421" t="s">
        <v>593</v>
      </c>
      <c r="B1746" s="421"/>
      <c r="C1746" s="421"/>
    </row>
    <row r="1747" spans="1:8" s="422" customFormat="1" ht="11.25">
      <c r="A1747" s="438"/>
      <c r="B1747" s="439" t="s">
        <v>132</v>
      </c>
      <c r="C1747" s="439" t="s">
        <v>473</v>
      </c>
      <c r="D1747" s="439" t="s">
        <v>474</v>
      </c>
      <c r="E1747" s="439" t="s">
        <v>375</v>
      </c>
      <c r="F1747" s="439" t="s">
        <v>9</v>
      </c>
      <c r="G1747" s="439" t="s">
        <v>131</v>
      </c>
      <c r="H1747" s="439" t="s">
        <v>424</v>
      </c>
    </row>
    <row r="1748" spans="1:8" s="422" customFormat="1" ht="11.25">
      <c r="A1748" s="439" t="s">
        <v>394</v>
      </c>
      <c r="B1748" s="438">
        <v>29740039.75</v>
      </c>
      <c r="C1748" s="438">
        <v>29940000</v>
      </c>
      <c r="D1748" s="438">
        <v>31475094</v>
      </c>
      <c r="E1748" s="438">
        <v>32229162</v>
      </c>
      <c r="F1748" s="438">
        <v>32507521</v>
      </c>
      <c r="G1748" s="438">
        <v>32816858</v>
      </c>
      <c r="H1748" s="438">
        <v>33129172</v>
      </c>
    </row>
    <row r="1749" spans="1:8" s="422" customFormat="1" ht="11.25">
      <c r="A1749" s="439" t="s">
        <v>395</v>
      </c>
      <c r="B1749" s="438">
        <v>-236.65</v>
      </c>
      <c r="C1749" s="438">
        <v>0</v>
      </c>
      <c r="D1749" s="438">
        <v>0</v>
      </c>
      <c r="E1749" s="438">
        <v>0</v>
      </c>
      <c r="F1749" s="438">
        <v>0</v>
      </c>
      <c r="G1749" s="438">
        <v>0</v>
      </c>
      <c r="H1749" s="438">
        <v>0</v>
      </c>
    </row>
    <row r="1750" spans="1:8" s="422" customFormat="1" ht="11.25">
      <c r="A1750" s="439" t="s">
        <v>396</v>
      </c>
      <c r="B1750" s="438">
        <v>29739803.100000001</v>
      </c>
      <c r="C1750" s="438">
        <v>29940000</v>
      </c>
      <c r="D1750" s="438">
        <v>31475094</v>
      </c>
      <c r="E1750" s="438">
        <v>32229162</v>
      </c>
      <c r="F1750" s="438">
        <v>32507521</v>
      </c>
      <c r="G1750" s="438">
        <v>32816858</v>
      </c>
      <c r="H1750" s="438">
        <v>33129172</v>
      </c>
    </row>
    <row r="1751" spans="1:8" s="442" customFormat="1" ht="11.25">
      <c r="A1751" s="440" t="s">
        <v>397</v>
      </c>
      <c r="B1751" s="441">
        <v>7.9572859346968422E-6</v>
      </c>
      <c r="C1751" s="441">
        <v>0</v>
      </c>
      <c r="D1751" s="441">
        <v>0</v>
      </c>
      <c r="E1751" s="441">
        <v>0</v>
      </c>
      <c r="F1751" s="441">
        <v>0</v>
      </c>
      <c r="G1751" s="441">
        <v>0</v>
      </c>
      <c r="H1751" s="441">
        <v>0</v>
      </c>
    </row>
    <row r="1752" spans="1:8" s="422" customFormat="1" ht="11.25"/>
    <row r="1753" spans="1:8" s="422" customFormat="1" ht="11.25">
      <c r="A1753" s="443" t="s">
        <v>594</v>
      </c>
      <c r="B1753" s="443"/>
      <c r="C1753" s="444"/>
    </row>
    <row r="1754" spans="1:8" s="422" customFormat="1" ht="11.25">
      <c r="A1754" s="445" t="s">
        <v>595</v>
      </c>
      <c r="B1754" s="446"/>
      <c r="C1754" s="447"/>
      <c r="D1754" s="439" t="s">
        <v>474</v>
      </c>
      <c r="E1754" s="439" t="s">
        <v>375</v>
      </c>
      <c r="F1754" s="439" t="s">
        <v>9</v>
      </c>
      <c r="G1754" s="439" t="s">
        <v>131</v>
      </c>
      <c r="H1754" s="439" t="s">
        <v>424</v>
      </c>
    </row>
    <row r="1755" spans="1:8" s="422" customFormat="1" ht="11.25">
      <c r="A1755" s="448" t="s">
        <v>753</v>
      </c>
      <c r="B1755" s="449"/>
      <c r="C1755" s="449"/>
      <c r="D1755" s="438">
        <v>82000</v>
      </c>
      <c r="E1755" s="438">
        <v>92000</v>
      </c>
      <c r="F1755" s="438">
        <v>92000</v>
      </c>
      <c r="G1755" s="438">
        <v>92000</v>
      </c>
      <c r="H1755" s="438">
        <v>92000</v>
      </c>
    </row>
    <row r="1756" spans="1:8" s="422" customFormat="1" ht="11.25">
      <c r="A1756" s="448" t="s">
        <v>754</v>
      </c>
      <c r="B1756" s="449"/>
      <c r="C1756" s="449"/>
      <c r="D1756" s="438">
        <v>14134</v>
      </c>
      <c r="E1756" s="438">
        <v>14134</v>
      </c>
      <c r="F1756" s="438">
        <v>14134</v>
      </c>
      <c r="G1756" s="438">
        <v>14134</v>
      </c>
      <c r="H1756" s="438">
        <v>14134</v>
      </c>
    </row>
    <row r="1757" spans="1:8" s="422" customFormat="1" ht="11.25">
      <c r="A1757" s="448"/>
      <c r="B1757" s="449"/>
      <c r="C1757" s="449"/>
      <c r="D1757" s="438"/>
      <c r="E1757" s="438"/>
      <c r="F1757" s="438"/>
      <c r="G1757" s="438"/>
      <c r="H1757" s="438"/>
    </row>
    <row r="1758" spans="1:8" s="422" customFormat="1" ht="11.25"/>
    <row r="1759" spans="1:8" s="422" customFormat="1" ht="11.25">
      <c r="A1759" s="421" t="s">
        <v>423</v>
      </c>
      <c r="B1759" s="421"/>
      <c r="C1759" s="421"/>
    </row>
    <row r="1760" spans="1:8" s="422" customFormat="1" ht="11.25">
      <c r="A1760" s="450"/>
      <c r="B1760" s="439" t="s">
        <v>132</v>
      </c>
      <c r="C1760" s="439" t="s">
        <v>473</v>
      </c>
      <c r="D1760" s="439" t="s">
        <v>474</v>
      </c>
      <c r="E1760" s="439" t="s">
        <v>375</v>
      </c>
      <c r="F1760" s="439" t="s">
        <v>9</v>
      </c>
      <c r="G1760" s="439" t="s">
        <v>131</v>
      </c>
      <c r="H1760" s="439" t="s">
        <v>424</v>
      </c>
    </row>
    <row r="1761" spans="1:8" s="422" customFormat="1" ht="11.25">
      <c r="A1761" s="451" t="s">
        <v>398</v>
      </c>
      <c r="B1761" s="438">
        <v>0</v>
      </c>
      <c r="C1761" s="438">
        <v>0</v>
      </c>
      <c r="D1761" s="438">
        <v>0</v>
      </c>
      <c r="E1761" s="438">
        <v>0</v>
      </c>
      <c r="F1761" s="438">
        <v>0</v>
      </c>
      <c r="G1761" s="438">
        <v>0</v>
      </c>
      <c r="H1761" s="438">
        <v>0</v>
      </c>
    </row>
    <row r="1762" spans="1:8" s="422" customFormat="1" ht="11.25">
      <c r="A1762" s="451" t="s">
        <v>399</v>
      </c>
      <c r="B1762" s="438">
        <v>0</v>
      </c>
      <c r="C1762" s="438">
        <v>0</v>
      </c>
      <c r="D1762" s="438">
        <v>0</v>
      </c>
      <c r="E1762" s="438">
        <v>0</v>
      </c>
      <c r="F1762" s="438">
        <v>0</v>
      </c>
      <c r="G1762" s="438">
        <v>0</v>
      </c>
      <c r="H1762" s="438">
        <v>0</v>
      </c>
    </row>
    <row r="1763" spans="1:8" s="422" customFormat="1" ht="11.25">
      <c r="A1763" s="451" t="s">
        <v>400</v>
      </c>
      <c r="B1763" s="438">
        <v>0</v>
      </c>
      <c r="C1763" s="438">
        <v>0</v>
      </c>
      <c r="D1763" s="438">
        <v>0</v>
      </c>
      <c r="E1763" s="438">
        <v>0</v>
      </c>
      <c r="F1763" s="438">
        <v>0</v>
      </c>
      <c r="G1763" s="438">
        <v>0</v>
      </c>
      <c r="H1763" s="438">
        <v>0</v>
      </c>
    </row>
    <row r="1764" spans="1:8" s="422" customFormat="1" ht="11.25">
      <c r="A1764" s="451" t="s">
        <v>401</v>
      </c>
      <c r="B1764" s="438">
        <v>0</v>
      </c>
      <c r="C1764" s="438">
        <v>0</v>
      </c>
      <c r="D1764" s="438">
        <v>0</v>
      </c>
      <c r="E1764" s="438">
        <v>0</v>
      </c>
      <c r="F1764" s="438">
        <v>0</v>
      </c>
      <c r="G1764" s="438">
        <v>0</v>
      </c>
      <c r="H1764" s="438">
        <v>0</v>
      </c>
    </row>
    <row r="1765" spans="1:8" s="422" customFormat="1" ht="11.25"/>
    <row r="1766" spans="1:8" s="422" customFormat="1" ht="11.25">
      <c r="A1766" s="421" t="s">
        <v>597</v>
      </c>
      <c r="B1766" s="421"/>
      <c r="C1766" s="421"/>
    </row>
    <row r="1767" spans="1:8" s="429" customFormat="1" ht="11.25">
      <c r="A1767" s="428"/>
      <c r="B1767" s="428"/>
      <c r="C1767" s="428"/>
    </row>
    <row r="1768" spans="1:8" s="429" customFormat="1" ht="2.25" customHeight="1">
      <c r="A1768" s="428"/>
      <c r="B1768" s="428"/>
      <c r="C1768" s="428"/>
    </row>
    <row r="1769" spans="1:8" s="422" customFormat="1" ht="2.25" customHeight="1"/>
    <row r="1770" spans="1:8" s="422" customFormat="1" ht="11.25">
      <c r="A1770" s="421" t="s">
        <v>598</v>
      </c>
      <c r="B1770" s="421"/>
      <c r="C1770" s="421"/>
    </row>
    <row r="1771" spans="1:8" s="422" customFormat="1" ht="11.25">
      <c r="A1771" s="452" t="s">
        <v>599</v>
      </c>
      <c r="B1771" s="447"/>
      <c r="C1771" s="447"/>
      <c r="D1771" s="447"/>
      <c r="E1771" s="439" t="s">
        <v>375</v>
      </c>
      <c r="F1771" s="439" t="s">
        <v>9</v>
      </c>
      <c r="G1771" s="439" t="s">
        <v>131</v>
      </c>
      <c r="H1771" s="439" t="s">
        <v>424</v>
      </c>
    </row>
    <row r="1772" spans="1:8" s="422" customFormat="1" ht="11.25">
      <c r="A1772" s="448" t="s">
        <v>431</v>
      </c>
      <c r="B1772" s="449"/>
      <c r="C1772" s="449"/>
      <c r="D1772" s="449"/>
      <c r="E1772" s="438">
        <v>978770</v>
      </c>
      <c r="F1772" s="438">
        <v>987213</v>
      </c>
      <c r="G1772" s="438">
        <v>996603</v>
      </c>
      <c r="H1772" s="438">
        <v>1006084</v>
      </c>
    </row>
    <row r="1773" spans="1:8" s="422" customFormat="1" ht="11.25">
      <c r="A1773" s="448"/>
      <c r="B1773" s="449"/>
      <c r="C1773" s="449"/>
      <c r="D1773" s="449"/>
      <c r="E1773" s="438">
        <v>0</v>
      </c>
      <c r="F1773" s="438">
        <v>0</v>
      </c>
      <c r="G1773" s="438">
        <v>0</v>
      </c>
      <c r="H1773" s="438">
        <v>0</v>
      </c>
    </row>
    <row r="1774" spans="1:8" s="422" customFormat="1" ht="11.25">
      <c r="A1774" s="448"/>
      <c r="B1774" s="449"/>
      <c r="C1774" s="449"/>
      <c r="D1774" s="449"/>
      <c r="E1774" s="438">
        <v>0</v>
      </c>
      <c r="F1774" s="438">
        <v>0</v>
      </c>
      <c r="G1774" s="438">
        <v>0</v>
      </c>
      <c r="H1774" s="438">
        <v>0</v>
      </c>
    </row>
    <row r="1775" spans="1:8" s="421" customFormat="1" ht="11.25">
      <c r="A1775" s="421" t="s">
        <v>391</v>
      </c>
      <c r="D1775" s="421" t="s">
        <v>472</v>
      </c>
    </row>
    <row r="1776" spans="1:8" s="422" customFormat="1" ht="11.25"/>
    <row r="1777" spans="1:8" s="421" customFormat="1" ht="11.25" customHeight="1">
      <c r="A1777" s="423" t="s">
        <v>392</v>
      </c>
      <c r="D1777" s="421" t="s">
        <v>145</v>
      </c>
    </row>
    <row r="1778" spans="1:8" s="421" customFormat="1" ht="13.5" customHeight="1">
      <c r="A1778" s="423"/>
    </row>
    <row r="1779" spans="1:8" s="421" customFormat="1" ht="11.25">
      <c r="A1779" s="424" t="s">
        <v>393</v>
      </c>
      <c r="D1779" s="583" t="s">
        <v>116</v>
      </c>
      <c r="E1779" s="583"/>
      <c r="F1779" s="583"/>
      <c r="G1779" s="583"/>
      <c r="H1779" s="583"/>
    </row>
    <row r="1780" spans="1:8" s="421" customFormat="1" ht="12" customHeight="1"/>
    <row r="1781" spans="1:8" s="422" customFormat="1" ht="11.25">
      <c r="A1781" s="421" t="s">
        <v>170</v>
      </c>
      <c r="B1781" s="421"/>
      <c r="C1781" s="421"/>
      <c r="D1781" s="422" t="s">
        <v>219</v>
      </c>
      <c r="E1781" s="422" t="s">
        <v>220</v>
      </c>
    </row>
    <row r="1782" spans="1:8" s="422" customFormat="1" ht="7.5" customHeight="1"/>
    <row r="1783" spans="1:8" s="427" customFormat="1" ht="11.25">
      <c r="A1783" s="425" t="s">
        <v>587</v>
      </c>
      <c r="B1783" s="425"/>
      <c r="C1783" s="425"/>
      <c r="D1783" s="426" t="s">
        <v>755</v>
      </c>
      <c r="E1783" s="584" t="s">
        <v>756</v>
      </c>
      <c r="F1783" s="584"/>
      <c r="G1783" s="584"/>
      <c r="H1783" s="584"/>
    </row>
    <row r="1784" spans="1:8" s="427" customFormat="1" ht="11.25">
      <c r="A1784" s="425"/>
      <c r="B1784" s="425"/>
      <c r="C1784" s="425"/>
      <c r="D1784" s="426" t="s">
        <v>757</v>
      </c>
      <c r="E1784" s="584" t="s">
        <v>758</v>
      </c>
      <c r="F1784" s="584"/>
      <c r="G1784" s="584"/>
      <c r="H1784" s="584"/>
    </row>
    <row r="1785" spans="1:8" s="427" customFormat="1" ht="11.25">
      <c r="A1785" s="425"/>
      <c r="B1785" s="425"/>
      <c r="C1785" s="425"/>
      <c r="D1785" s="426" t="s">
        <v>759</v>
      </c>
      <c r="E1785" s="584" t="s">
        <v>760</v>
      </c>
      <c r="F1785" s="584"/>
      <c r="G1785" s="584"/>
      <c r="H1785" s="584"/>
    </row>
    <row r="1786" spans="1:8" s="427" customFormat="1" ht="11.25">
      <c r="A1786" s="425"/>
      <c r="B1786" s="425"/>
      <c r="C1786" s="425"/>
      <c r="D1786" s="426" t="s">
        <v>761</v>
      </c>
      <c r="E1786" s="584" t="s">
        <v>762</v>
      </c>
      <c r="F1786" s="584"/>
      <c r="G1786" s="584"/>
      <c r="H1786" s="584"/>
    </row>
    <row r="1787" spans="1:8" s="427" customFormat="1" ht="11.25">
      <c r="A1787" s="425"/>
      <c r="B1787" s="425"/>
      <c r="C1787" s="425"/>
      <c r="D1787" s="426"/>
    </row>
    <row r="1788" spans="1:8" s="427" customFormat="1" ht="11.25"/>
    <row r="1789" spans="1:8" s="422" customFormat="1" ht="11.25"/>
    <row r="1790" spans="1:8" s="422" customFormat="1" ht="11.25">
      <c r="A1790" s="421" t="s">
        <v>589</v>
      </c>
      <c r="B1790" s="421"/>
      <c r="C1790" s="421"/>
    </row>
    <row r="1791" spans="1:8" s="429" customFormat="1" ht="11.25">
      <c r="A1791" s="428"/>
      <c r="B1791" s="428"/>
      <c r="C1791" s="428"/>
    </row>
    <row r="1792" spans="1:8" s="429" customFormat="1" ht="11.25">
      <c r="A1792" s="428"/>
      <c r="B1792" s="428"/>
      <c r="C1792" s="428"/>
    </row>
    <row r="1793" spans="1:8" s="429" customFormat="1" ht="11.25">
      <c r="A1793" s="428"/>
      <c r="B1793" s="428"/>
      <c r="C1793" s="428"/>
    </row>
    <row r="1794" spans="1:8" s="429" customFormat="1" ht="11.25">
      <c r="A1794" s="428"/>
      <c r="B1794" s="428"/>
      <c r="C1794" s="428"/>
    </row>
    <row r="1795" spans="1:8" s="429" customFormat="1" ht="11.25">
      <c r="A1795" s="428"/>
      <c r="B1795" s="428"/>
      <c r="C1795" s="428"/>
    </row>
    <row r="1796" spans="1:8" s="429" customFormat="1" ht="30.75" customHeight="1">
      <c r="A1796" s="428"/>
      <c r="B1796" s="428"/>
      <c r="C1796" s="428"/>
    </row>
    <row r="1797" spans="1:8" s="429" customFormat="1" ht="11.25">
      <c r="A1797" s="428"/>
      <c r="B1797" s="428"/>
      <c r="C1797" s="428"/>
    </row>
    <row r="1798" spans="1:8" s="422" customFormat="1" ht="14.25" customHeight="1">
      <c r="A1798" s="430"/>
      <c r="B1798" s="430"/>
      <c r="C1798" s="430"/>
      <c r="D1798" s="430"/>
      <c r="E1798" s="430"/>
      <c r="F1798" s="430"/>
      <c r="G1798" s="430"/>
      <c r="H1798" s="430"/>
    </row>
    <row r="1799" spans="1:8" s="422" customFormat="1" ht="22.5" customHeight="1">
      <c r="A1799" s="585" t="s">
        <v>590</v>
      </c>
      <c r="B1799" s="585"/>
      <c r="C1799" s="585"/>
      <c r="D1799" s="586"/>
      <c r="E1799" s="586"/>
      <c r="F1799" s="586"/>
      <c r="G1799" s="586"/>
      <c r="H1799" s="586"/>
    </row>
    <row r="1800" spans="1:8" s="429" customFormat="1" ht="11.25">
      <c r="A1800" s="431"/>
      <c r="B1800" s="431"/>
      <c r="C1800" s="431"/>
      <c r="D1800" s="432"/>
      <c r="E1800" s="432"/>
      <c r="F1800" s="432"/>
      <c r="G1800" s="432"/>
      <c r="H1800" s="432"/>
    </row>
    <row r="1801" spans="1:8" s="429" customFormat="1" ht="11.25">
      <c r="A1801" s="431"/>
      <c r="B1801" s="431"/>
      <c r="C1801" s="431"/>
      <c r="D1801" s="432"/>
      <c r="E1801" s="432"/>
      <c r="F1801" s="432"/>
      <c r="G1801" s="432"/>
      <c r="H1801" s="432"/>
    </row>
    <row r="1802" spans="1:8" s="429" customFormat="1" ht="11.25">
      <c r="A1802" s="431"/>
      <c r="B1802" s="431"/>
      <c r="C1802" s="431"/>
      <c r="D1802" s="432"/>
      <c r="E1802" s="432"/>
      <c r="F1802" s="432"/>
      <c r="G1802" s="432"/>
      <c r="H1802" s="432"/>
    </row>
    <row r="1803" spans="1:8" s="429" customFormat="1" ht="44.25" customHeight="1">
      <c r="A1803" s="431"/>
      <c r="B1803" s="431"/>
      <c r="C1803" s="431"/>
      <c r="D1803" s="432"/>
      <c r="E1803" s="432"/>
      <c r="F1803" s="432"/>
      <c r="G1803" s="432"/>
      <c r="H1803" s="432"/>
    </row>
    <row r="1804" spans="1:8" s="422" customFormat="1" ht="11.25"/>
    <row r="1805" spans="1:8" s="422" customFormat="1" ht="11.25">
      <c r="A1805" s="421" t="s">
        <v>591</v>
      </c>
      <c r="B1805" s="421"/>
      <c r="C1805" s="421"/>
    </row>
    <row r="1806" spans="1:8" s="429" customFormat="1" ht="11.25">
      <c r="A1806" s="428"/>
      <c r="B1806" s="428"/>
      <c r="C1806" s="428"/>
    </row>
    <row r="1807" spans="1:8" s="429" customFormat="1" ht="11.25">
      <c r="A1807" s="428"/>
      <c r="B1807" s="428"/>
      <c r="C1807" s="428"/>
    </row>
    <row r="1808" spans="1:8" s="429" customFormat="1" ht="11.25">
      <c r="A1808" s="428"/>
      <c r="B1808" s="428"/>
      <c r="C1808" s="428"/>
    </row>
    <row r="1809" spans="1:8" s="422" customFormat="1" ht="10.15" customHeight="1"/>
    <row r="1810" spans="1:8" s="422" customFormat="1" ht="10.15" customHeight="1"/>
    <row r="1811" spans="1:8" s="422" customFormat="1" ht="11.25">
      <c r="A1811" s="433" t="s">
        <v>592</v>
      </c>
      <c r="B1811" s="434"/>
      <c r="C1811" s="434"/>
      <c r="D1811" s="434"/>
      <c r="E1811" s="434"/>
      <c r="F1811" s="434"/>
      <c r="G1811" s="434"/>
      <c r="H1811" s="434"/>
    </row>
    <row r="1812" spans="1:8" s="429" customFormat="1" ht="11.25">
      <c r="A1812" s="435"/>
      <c r="B1812" s="436"/>
      <c r="C1812" s="436"/>
      <c r="D1812" s="436"/>
      <c r="E1812" s="436"/>
      <c r="F1812" s="436"/>
      <c r="G1812" s="436"/>
      <c r="H1812" s="436"/>
    </row>
    <row r="1813" spans="1:8" s="429" customFormat="1" ht="25.5" customHeight="1">
      <c r="A1813" s="435"/>
      <c r="B1813" s="436"/>
      <c r="C1813" s="436"/>
      <c r="D1813" s="436"/>
      <c r="E1813" s="436"/>
      <c r="F1813" s="436"/>
      <c r="G1813" s="436"/>
      <c r="H1813" s="436"/>
    </row>
    <row r="1814" spans="1:8" s="422" customFormat="1" ht="10.15" customHeight="1">
      <c r="A1814" s="437"/>
      <c r="B1814" s="437"/>
      <c r="C1814" s="437"/>
      <c r="D1814" s="437"/>
      <c r="E1814" s="437"/>
      <c r="F1814" s="437"/>
      <c r="G1814" s="437"/>
      <c r="H1814" s="437"/>
    </row>
    <row r="1815" spans="1:8" s="422" customFormat="1" ht="11.25">
      <c r="A1815" s="421" t="s">
        <v>593</v>
      </c>
      <c r="B1815" s="421"/>
      <c r="C1815" s="421"/>
    </row>
    <row r="1816" spans="1:8" s="422" customFormat="1" ht="11.25">
      <c r="A1816" s="438"/>
      <c r="B1816" s="439" t="s">
        <v>132</v>
      </c>
      <c r="C1816" s="439" t="s">
        <v>473</v>
      </c>
      <c r="D1816" s="439" t="s">
        <v>474</v>
      </c>
      <c r="E1816" s="439" t="s">
        <v>375</v>
      </c>
      <c r="F1816" s="439" t="s">
        <v>9</v>
      </c>
      <c r="G1816" s="439" t="s">
        <v>131</v>
      </c>
      <c r="H1816" s="439" t="s">
        <v>424</v>
      </c>
    </row>
    <row r="1817" spans="1:8" s="422" customFormat="1" ht="11.25">
      <c r="A1817" s="439" t="s">
        <v>394</v>
      </c>
      <c r="B1817" s="438">
        <v>6734988.8000000007</v>
      </c>
      <c r="C1817" s="438">
        <v>6991939.4299999997</v>
      </c>
      <c r="D1817" s="438">
        <v>6722380.5999999996</v>
      </c>
      <c r="E1817" s="438">
        <v>6873268.9211999997</v>
      </c>
      <c r="F1817" s="438">
        <v>7119217.9211999997</v>
      </c>
      <c r="G1817" s="438">
        <v>7248676.8868800001</v>
      </c>
      <c r="H1817" s="438">
        <v>7046194.5174799999</v>
      </c>
    </row>
    <row r="1818" spans="1:8" s="422" customFormat="1" ht="11.25">
      <c r="A1818" s="439" t="s">
        <v>395</v>
      </c>
      <c r="B1818" s="438">
        <v>-1891771.77</v>
      </c>
      <c r="C1818" s="438">
        <v>-1820142.1</v>
      </c>
      <c r="D1818" s="438">
        <v>-1831930.68</v>
      </c>
      <c r="E1818" s="438">
        <v>-1803020</v>
      </c>
      <c r="F1818" s="438">
        <v>-1803020</v>
      </c>
      <c r="G1818" s="438">
        <v>-1803020</v>
      </c>
      <c r="H1818" s="438">
        <v>-1803020</v>
      </c>
    </row>
    <row r="1819" spans="1:8" s="422" customFormat="1" ht="11.25">
      <c r="A1819" s="439" t="s">
        <v>396</v>
      </c>
      <c r="B1819" s="438">
        <v>4843217.0300000012</v>
      </c>
      <c r="C1819" s="438">
        <v>5171797.33</v>
      </c>
      <c r="D1819" s="438">
        <v>4890449.9199999999</v>
      </c>
      <c r="E1819" s="438">
        <v>5070248.9211999997</v>
      </c>
      <c r="F1819" s="438">
        <v>5316197.9211999997</v>
      </c>
      <c r="G1819" s="438">
        <v>5445656.8868800001</v>
      </c>
      <c r="H1819" s="438">
        <v>5243174.5174799999</v>
      </c>
    </row>
    <row r="1820" spans="1:8" s="442" customFormat="1" ht="11.25">
      <c r="A1820" s="440" t="s">
        <v>397</v>
      </c>
      <c r="B1820" s="441">
        <v>0.28088714416273414</v>
      </c>
      <c r="C1820" s="441">
        <v>0.26032006115361905</v>
      </c>
      <c r="D1820" s="441">
        <v>0.27251219307636348</v>
      </c>
      <c r="E1820" s="441">
        <v>0.26232350584141145</v>
      </c>
      <c r="F1820" s="441">
        <v>0.25326096489206595</v>
      </c>
      <c r="G1820" s="441">
        <v>0.24873780803548301</v>
      </c>
      <c r="H1820" s="441">
        <v>0.25588564089837701</v>
      </c>
    </row>
    <row r="1821" spans="1:8" s="422" customFormat="1" ht="11.25"/>
    <row r="1822" spans="1:8" s="422" customFormat="1" ht="11.25">
      <c r="A1822" s="443" t="s">
        <v>594</v>
      </c>
      <c r="B1822" s="443"/>
      <c r="C1822" s="444"/>
    </row>
    <row r="1823" spans="1:8" s="422" customFormat="1" ht="11.25">
      <c r="A1823" s="587" t="s">
        <v>595</v>
      </c>
      <c r="B1823" s="588"/>
      <c r="C1823" s="589"/>
      <c r="D1823" s="590"/>
      <c r="E1823" s="439" t="s">
        <v>375</v>
      </c>
      <c r="F1823" s="439" t="s">
        <v>9</v>
      </c>
      <c r="G1823" s="439" t="s">
        <v>131</v>
      </c>
      <c r="H1823" s="439" t="s">
        <v>424</v>
      </c>
    </row>
    <row r="1824" spans="1:8" s="422" customFormat="1" ht="11.25">
      <c r="A1824" s="591" t="s">
        <v>764</v>
      </c>
      <c r="B1824" s="592"/>
      <c r="C1824" s="592"/>
      <c r="D1824" s="593"/>
      <c r="E1824" s="438">
        <v>80</v>
      </c>
      <c r="F1824" s="438">
        <v>60</v>
      </c>
      <c r="G1824" s="438">
        <v>50</v>
      </c>
      <c r="H1824" s="438">
        <v>40</v>
      </c>
    </row>
    <row r="1825" spans="1:8" s="422" customFormat="1" ht="11.25">
      <c r="A1825" s="591" t="s">
        <v>765</v>
      </c>
      <c r="B1825" s="592"/>
      <c r="C1825" s="592"/>
      <c r="D1825" s="593"/>
      <c r="E1825" s="438">
        <v>5</v>
      </c>
      <c r="F1825" s="438">
        <v>5</v>
      </c>
      <c r="G1825" s="438">
        <v>5</v>
      </c>
      <c r="H1825" s="438">
        <v>5</v>
      </c>
    </row>
    <row r="1826" spans="1:8" s="422" customFormat="1" ht="11.25">
      <c r="A1826" s="591" t="s">
        <v>766</v>
      </c>
      <c r="B1826" s="592"/>
      <c r="C1826" s="592"/>
      <c r="D1826" s="593"/>
      <c r="E1826" s="458" t="s">
        <v>767</v>
      </c>
      <c r="F1826" s="458" t="s">
        <v>767</v>
      </c>
      <c r="G1826" s="458" t="s">
        <v>767</v>
      </c>
      <c r="H1826" s="458" t="s">
        <v>767</v>
      </c>
    </row>
    <row r="1827" spans="1:8" s="422" customFormat="1" ht="11.25"/>
    <row r="1828" spans="1:8" s="422" customFormat="1" ht="11.25">
      <c r="A1828" s="421" t="s">
        <v>423</v>
      </c>
      <c r="B1828" s="421"/>
      <c r="C1828" s="421"/>
    </row>
    <row r="1829" spans="1:8" s="422" customFormat="1" ht="11.25">
      <c r="A1829" s="450"/>
      <c r="B1829" s="439" t="s">
        <v>132</v>
      </c>
      <c r="C1829" s="439" t="s">
        <v>473</v>
      </c>
      <c r="D1829" s="439" t="s">
        <v>474</v>
      </c>
      <c r="E1829" s="439" t="s">
        <v>375</v>
      </c>
      <c r="F1829" s="439" t="s">
        <v>9</v>
      </c>
      <c r="G1829" s="439" t="s">
        <v>131</v>
      </c>
      <c r="H1829" s="439" t="s">
        <v>424</v>
      </c>
    </row>
    <row r="1830" spans="1:8" s="422" customFormat="1" ht="11.25">
      <c r="A1830" s="451" t="s">
        <v>398</v>
      </c>
      <c r="B1830" s="438">
        <v>3356897.65</v>
      </c>
      <c r="C1830" s="438">
        <v>2493905.58</v>
      </c>
      <c r="D1830" s="438">
        <v>2153122</v>
      </c>
      <c r="E1830" s="438">
        <v>2532434</v>
      </c>
      <c r="F1830" s="438">
        <v>2253857</v>
      </c>
      <c r="G1830" s="438">
        <v>580000</v>
      </c>
      <c r="H1830" s="438">
        <v>102222</v>
      </c>
    </row>
    <row r="1831" spans="1:8" s="422" customFormat="1" ht="11.25">
      <c r="A1831" s="451" t="s">
        <v>399</v>
      </c>
      <c r="B1831" s="438">
        <v>0</v>
      </c>
      <c r="C1831" s="438">
        <v>0</v>
      </c>
      <c r="D1831" s="438">
        <v>120000</v>
      </c>
      <c r="E1831" s="438">
        <v>125000</v>
      </c>
      <c r="F1831" s="438">
        <v>120000</v>
      </c>
      <c r="G1831" s="438">
        <v>120000</v>
      </c>
      <c r="H1831" s="438">
        <v>120000</v>
      </c>
    </row>
    <row r="1832" spans="1:8" s="422" customFormat="1" ht="11.25">
      <c r="A1832" s="451" t="s">
        <v>400</v>
      </c>
      <c r="B1832" s="438">
        <v>-388974.25</v>
      </c>
      <c r="C1832" s="438">
        <v>-1626168.6</v>
      </c>
      <c r="D1832" s="438">
        <v>-222313</v>
      </c>
      <c r="E1832" s="438">
        <v>-253243</v>
      </c>
      <c r="F1832" s="438">
        <v>-189385</v>
      </c>
      <c r="G1832" s="438">
        <v>-70000</v>
      </c>
      <c r="H1832" s="438">
        <v>-22222</v>
      </c>
    </row>
    <row r="1833" spans="1:8" s="422" customFormat="1" ht="11.25">
      <c r="A1833" s="451" t="s">
        <v>401</v>
      </c>
      <c r="B1833" s="438">
        <v>2967923.4</v>
      </c>
      <c r="C1833" s="438">
        <v>867736.98</v>
      </c>
      <c r="D1833" s="438">
        <v>2050809</v>
      </c>
      <c r="E1833" s="438">
        <v>2404191</v>
      </c>
      <c r="F1833" s="438">
        <v>2184472</v>
      </c>
      <c r="G1833" s="438">
        <v>630000</v>
      </c>
      <c r="H1833" s="438">
        <v>200000</v>
      </c>
    </row>
    <row r="1834" spans="1:8" s="422" customFormat="1" ht="11.25">
      <c r="A1834" s="444"/>
      <c r="B1834" s="459"/>
      <c r="C1834" s="459"/>
      <c r="D1834" s="459"/>
      <c r="E1834" s="459"/>
      <c r="F1834" s="459"/>
      <c r="G1834" s="459"/>
      <c r="H1834" s="459"/>
    </row>
    <row r="1835" spans="1:8" s="422" customFormat="1" ht="11.25">
      <c r="A1835" s="421" t="s">
        <v>597</v>
      </c>
      <c r="B1835" s="421"/>
      <c r="C1835" s="421"/>
    </row>
    <row r="1836" spans="1:8" s="429" customFormat="1" ht="11.25">
      <c r="A1836" s="428"/>
      <c r="B1836" s="428"/>
      <c r="C1836" s="428"/>
    </row>
    <row r="1837" spans="1:8" s="429" customFormat="1" ht="11.25">
      <c r="A1837" s="428"/>
      <c r="B1837" s="428"/>
      <c r="C1837" s="428"/>
    </row>
    <row r="1838" spans="1:8" s="429" customFormat="1" ht="14.25" customHeight="1">
      <c r="A1838" s="428"/>
      <c r="B1838" s="428"/>
      <c r="C1838" s="428"/>
    </row>
    <row r="1839" spans="1:8" s="422" customFormat="1" ht="11.25"/>
    <row r="1840" spans="1:8" s="422" customFormat="1" ht="11.25">
      <c r="A1840" s="421" t="s">
        <v>598</v>
      </c>
      <c r="B1840" s="421"/>
      <c r="C1840" s="421"/>
    </row>
    <row r="1841" spans="1:8" s="422" customFormat="1" ht="11.25">
      <c r="A1841" s="594" t="s">
        <v>599</v>
      </c>
      <c r="B1841" s="589"/>
      <c r="C1841" s="589"/>
      <c r="D1841" s="590"/>
      <c r="E1841" s="439" t="s">
        <v>375</v>
      </c>
      <c r="F1841" s="439" t="s">
        <v>9</v>
      </c>
      <c r="G1841" s="439" t="s">
        <v>131</v>
      </c>
      <c r="H1841" s="439" t="s">
        <v>424</v>
      </c>
    </row>
    <row r="1842" spans="1:8" s="422" customFormat="1" ht="11.25">
      <c r="A1842" s="448" t="s">
        <v>117</v>
      </c>
      <c r="B1842" s="449"/>
      <c r="C1842" s="449"/>
      <c r="D1842" s="449"/>
      <c r="E1842" s="438">
        <v>0</v>
      </c>
      <c r="F1842" s="438">
        <v>50000</v>
      </c>
      <c r="G1842" s="438">
        <v>0</v>
      </c>
      <c r="H1842" s="438">
        <v>0</v>
      </c>
    </row>
    <row r="1843" spans="1:8" s="422" customFormat="1" ht="11.25">
      <c r="A1843" s="448" t="s">
        <v>432</v>
      </c>
      <c r="B1843" s="449"/>
      <c r="C1843" s="449"/>
      <c r="D1843" s="449"/>
      <c r="E1843" s="438">
        <v>0</v>
      </c>
      <c r="F1843" s="438">
        <v>103933</v>
      </c>
      <c r="G1843" s="438">
        <v>155900</v>
      </c>
      <c r="H1843" s="438">
        <v>155900</v>
      </c>
    </row>
    <row r="1844" spans="1:8" s="422" customFormat="1" ht="11.25">
      <c r="A1844" s="448"/>
      <c r="B1844" s="449"/>
      <c r="C1844" s="449"/>
      <c r="D1844" s="449"/>
      <c r="E1844" s="438">
        <v>0</v>
      </c>
      <c r="F1844" s="438">
        <v>0</v>
      </c>
      <c r="G1844" s="438">
        <v>0</v>
      </c>
      <c r="H1844" s="438">
        <v>0</v>
      </c>
    </row>
    <row r="1845" spans="1:8" s="421" customFormat="1" ht="11.25">
      <c r="A1845" s="421" t="s">
        <v>391</v>
      </c>
      <c r="D1845" s="421" t="s">
        <v>472</v>
      </c>
    </row>
    <row r="1846" spans="1:8" s="422" customFormat="1" ht="11.25"/>
    <row r="1847" spans="1:8" s="421" customFormat="1" ht="11.25" customHeight="1">
      <c r="A1847" s="423" t="s">
        <v>392</v>
      </c>
      <c r="D1847" s="421" t="s">
        <v>145</v>
      </c>
    </row>
    <row r="1848" spans="1:8" s="421" customFormat="1" ht="7.5" customHeight="1">
      <c r="A1848" s="423"/>
    </row>
    <row r="1849" spans="1:8" s="421" customFormat="1" ht="11.25">
      <c r="A1849" s="424" t="s">
        <v>393</v>
      </c>
      <c r="D1849" s="583" t="s">
        <v>146</v>
      </c>
      <c r="E1849" s="583"/>
      <c r="F1849" s="583"/>
      <c r="G1849" s="583"/>
      <c r="H1849" s="583"/>
    </row>
    <row r="1850" spans="1:8" s="421" customFormat="1" ht="7.5" customHeight="1"/>
    <row r="1851" spans="1:8" s="422" customFormat="1" ht="11.25">
      <c r="A1851" s="421" t="s">
        <v>170</v>
      </c>
      <c r="B1851" s="421"/>
      <c r="C1851" s="421"/>
      <c r="D1851" s="422" t="s">
        <v>221</v>
      </c>
      <c r="E1851" s="422" t="s">
        <v>171</v>
      </c>
    </row>
    <row r="1852" spans="1:8" s="422" customFormat="1" ht="7.5" customHeight="1"/>
    <row r="1853" spans="1:8" s="427" customFormat="1" ht="11.25">
      <c r="A1853" s="425" t="s">
        <v>587</v>
      </c>
      <c r="B1853" s="425"/>
      <c r="C1853" s="425"/>
      <c r="D1853" s="426" t="s">
        <v>768</v>
      </c>
      <c r="E1853" s="584" t="s">
        <v>12</v>
      </c>
      <c r="F1853" s="584"/>
      <c r="G1853" s="584"/>
      <c r="H1853" s="584"/>
    </row>
    <row r="1854" spans="1:8" s="427" customFormat="1" ht="11.25">
      <c r="A1854" s="425"/>
      <c r="B1854" s="425"/>
      <c r="C1854" s="425"/>
      <c r="D1854" s="426" t="s">
        <v>769</v>
      </c>
      <c r="E1854" s="584" t="s">
        <v>770</v>
      </c>
      <c r="F1854" s="584"/>
      <c r="G1854" s="584"/>
      <c r="H1854" s="584"/>
    </row>
    <row r="1855" spans="1:8" s="427" customFormat="1" ht="11.25">
      <c r="A1855" s="425"/>
      <c r="B1855" s="425"/>
      <c r="C1855" s="425"/>
      <c r="D1855" s="426" t="s">
        <v>771</v>
      </c>
      <c r="E1855" s="584" t="s">
        <v>772</v>
      </c>
      <c r="F1855" s="584"/>
      <c r="G1855" s="584"/>
      <c r="H1855" s="584"/>
    </row>
    <row r="1856" spans="1:8" s="427" customFormat="1" ht="11.25">
      <c r="A1856" s="425"/>
      <c r="B1856" s="425"/>
      <c r="C1856" s="425"/>
      <c r="D1856" s="426"/>
      <c r="E1856" s="584"/>
      <c r="F1856" s="584"/>
      <c r="G1856" s="584"/>
      <c r="H1856" s="584"/>
    </row>
    <row r="1857" spans="1:8" s="427" customFormat="1" ht="11.25"/>
    <row r="1858" spans="1:8" s="422" customFormat="1" ht="11.25"/>
    <row r="1859" spans="1:8" s="422" customFormat="1" ht="11.25">
      <c r="A1859" s="421" t="s">
        <v>589</v>
      </c>
      <c r="B1859" s="421"/>
      <c r="C1859" s="421"/>
    </row>
    <row r="1860" spans="1:8" s="429" customFormat="1" ht="11.25">
      <c r="A1860" s="428"/>
      <c r="B1860" s="428"/>
      <c r="C1860" s="428"/>
    </row>
    <row r="1861" spans="1:8" s="429" customFormat="1" ht="11.25">
      <c r="A1861" s="428"/>
      <c r="B1861" s="428"/>
      <c r="C1861" s="428"/>
    </row>
    <row r="1862" spans="1:8" s="422" customFormat="1" ht="10.15" customHeight="1">
      <c r="A1862" s="430"/>
      <c r="B1862" s="430"/>
      <c r="C1862" s="430"/>
      <c r="D1862" s="430"/>
      <c r="E1862" s="430"/>
      <c r="F1862" s="430"/>
      <c r="G1862" s="430"/>
      <c r="H1862" s="430"/>
    </row>
    <row r="1863" spans="1:8" s="422" customFormat="1" ht="20.45" customHeight="1">
      <c r="A1863" s="585" t="s">
        <v>590</v>
      </c>
      <c r="B1863" s="585"/>
      <c r="C1863" s="585"/>
      <c r="D1863" s="586"/>
      <c r="E1863" s="586"/>
      <c r="F1863" s="586"/>
      <c r="G1863" s="586"/>
      <c r="H1863" s="586"/>
    </row>
    <row r="1864" spans="1:8" s="429" customFormat="1" ht="11.25">
      <c r="A1864" s="431"/>
      <c r="B1864" s="431"/>
      <c r="C1864" s="431"/>
      <c r="D1864" s="432"/>
      <c r="E1864" s="432"/>
      <c r="F1864" s="432"/>
      <c r="G1864" s="432"/>
      <c r="H1864" s="432"/>
    </row>
    <row r="1865" spans="1:8" s="429" customFormat="1" ht="11.25">
      <c r="A1865" s="431"/>
      <c r="B1865" s="431"/>
      <c r="C1865" s="431"/>
      <c r="D1865" s="432"/>
      <c r="E1865" s="432"/>
      <c r="F1865" s="432"/>
      <c r="G1865" s="432"/>
      <c r="H1865" s="432"/>
    </row>
    <row r="1866" spans="1:8" s="429" customFormat="1" ht="11.25">
      <c r="A1866" s="431"/>
      <c r="B1866" s="431"/>
      <c r="C1866" s="431"/>
      <c r="D1866" s="432"/>
      <c r="E1866" s="432"/>
      <c r="F1866" s="432"/>
      <c r="G1866" s="432"/>
      <c r="H1866" s="432"/>
    </row>
    <row r="1867" spans="1:8" s="422" customFormat="1" ht="10.15" customHeight="1"/>
    <row r="1868" spans="1:8" s="422" customFormat="1" ht="10.15" customHeight="1">
      <c r="A1868" s="421" t="s">
        <v>591</v>
      </c>
      <c r="B1868" s="421"/>
      <c r="C1868" s="421"/>
    </row>
    <row r="1869" spans="1:8" s="429" customFormat="1" ht="11.25">
      <c r="A1869" s="428"/>
      <c r="B1869" s="428"/>
      <c r="C1869" s="428"/>
    </row>
    <row r="1870" spans="1:8" s="429" customFormat="1" ht="11.25">
      <c r="A1870" s="428"/>
      <c r="B1870" s="428"/>
      <c r="C1870" s="428"/>
    </row>
    <row r="1871" spans="1:8" s="422" customFormat="1" ht="9" customHeight="1"/>
    <row r="1872" spans="1:8" s="422" customFormat="1" ht="11.25">
      <c r="A1872" s="433" t="s">
        <v>592</v>
      </c>
      <c r="B1872" s="434"/>
      <c r="C1872" s="434"/>
      <c r="D1872" s="434"/>
      <c r="E1872" s="434"/>
      <c r="F1872" s="434"/>
      <c r="G1872" s="434"/>
      <c r="H1872" s="434"/>
    </row>
    <row r="1873" spans="1:8" s="429" customFormat="1" ht="11.25">
      <c r="A1873" s="435"/>
      <c r="B1873" s="436"/>
      <c r="C1873" s="436"/>
      <c r="D1873" s="436"/>
      <c r="E1873" s="436"/>
      <c r="F1873" s="436"/>
      <c r="G1873" s="436"/>
      <c r="H1873" s="436"/>
    </row>
    <row r="1874" spans="1:8" s="429" customFormat="1" ht="11.25">
      <c r="A1874" s="435"/>
      <c r="B1874" s="436"/>
      <c r="C1874" s="436"/>
      <c r="D1874" s="436"/>
      <c r="E1874" s="436"/>
      <c r="F1874" s="436"/>
      <c r="G1874" s="436"/>
      <c r="H1874" s="436"/>
    </row>
    <row r="1875" spans="1:8" s="422" customFormat="1" ht="11.25">
      <c r="A1875" s="437"/>
      <c r="B1875" s="437"/>
      <c r="C1875" s="437"/>
      <c r="D1875" s="437"/>
      <c r="E1875" s="437"/>
      <c r="F1875" s="437"/>
      <c r="G1875" s="437"/>
      <c r="H1875" s="437"/>
    </row>
    <row r="1876" spans="1:8" s="422" customFormat="1" ht="11.25">
      <c r="A1876" s="421" t="s">
        <v>593</v>
      </c>
      <c r="B1876" s="421"/>
      <c r="C1876" s="421"/>
    </row>
    <row r="1877" spans="1:8" s="422" customFormat="1" ht="11.25">
      <c r="A1877" s="438"/>
      <c r="B1877" s="439" t="s">
        <v>132</v>
      </c>
      <c r="C1877" s="439" t="s">
        <v>473</v>
      </c>
      <c r="D1877" s="439" t="s">
        <v>474</v>
      </c>
      <c r="E1877" s="439" t="s">
        <v>375</v>
      </c>
      <c r="F1877" s="439" t="s">
        <v>9</v>
      </c>
      <c r="G1877" s="439" t="s">
        <v>131</v>
      </c>
      <c r="H1877" s="439" t="s">
        <v>424</v>
      </c>
    </row>
    <row r="1878" spans="1:8" s="422" customFormat="1" ht="11.25">
      <c r="A1878" s="439" t="s">
        <v>394</v>
      </c>
      <c r="B1878" s="438">
        <v>2217291</v>
      </c>
      <c r="C1878" s="438">
        <v>1609722.0499999998</v>
      </c>
      <c r="D1878" s="438">
        <v>869198.48</v>
      </c>
      <c r="E1878" s="438">
        <v>822175.14839999995</v>
      </c>
      <c r="F1878" s="438">
        <v>813376.25839999993</v>
      </c>
      <c r="G1878" s="438">
        <v>820488.24815999996</v>
      </c>
      <c r="H1878" s="438">
        <v>822775.21736000001</v>
      </c>
    </row>
    <row r="1879" spans="1:8" s="422" customFormat="1" ht="11.25">
      <c r="A1879" s="439" t="s">
        <v>395</v>
      </c>
      <c r="B1879" s="438">
        <v>-254309.81</v>
      </c>
      <c r="C1879" s="438">
        <v>-212780.73</v>
      </c>
      <c r="D1879" s="438">
        <v>-135219.24</v>
      </c>
      <c r="E1879" s="438">
        <v>-135219.24</v>
      </c>
      <c r="F1879" s="438">
        <v>-135219.24</v>
      </c>
      <c r="G1879" s="438">
        <v>-135219.24</v>
      </c>
      <c r="H1879" s="438">
        <v>-135219.24</v>
      </c>
    </row>
    <row r="1880" spans="1:8" s="422" customFormat="1" ht="11.25">
      <c r="A1880" s="439" t="s">
        <v>396</v>
      </c>
      <c r="B1880" s="438">
        <v>1962981.19</v>
      </c>
      <c r="C1880" s="438">
        <v>1396941.3199999998</v>
      </c>
      <c r="D1880" s="438">
        <v>733979.24</v>
      </c>
      <c r="E1880" s="438">
        <v>686955.90839999996</v>
      </c>
      <c r="F1880" s="438">
        <v>678157.01839999994</v>
      </c>
      <c r="G1880" s="438">
        <v>685269.00815999997</v>
      </c>
      <c r="H1880" s="438">
        <v>687555.97736000002</v>
      </c>
    </row>
    <row r="1881" spans="1:8" s="442" customFormat="1" ht="11.25">
      <c r="A1881" s="440" t="s">
        <v>397</v>
      </c>
      <c r="B1881" s="441">
        <v>0.11469392605661594</v>
      </c>
      <c r="C1881" s="441">
        <v>0.13218476444427163</v>
      </c>
      <c r="D1881" s="441">
        <v>0.1555677363816835</v>
      </c>
      <c r="E1881" s="441">
        <v>0.16446524838794313</v>
      </c>
      <c r="F1881" s="441">
        <v>0.16624439010058029</v>
      </c>
      <c r="G1881" s="441">
        <v>0.16480338420841276</v>
      </c>
      <c r="H1881" s="441">
        <v>0.16434530008557086</v>
      </c>
    </row>
    <row r="1882" spans="1:8" s="422" customFormat="1" ht="11.25"/>
    <row r="1883" spans="1:8" s="422" customFormat="1" ht="11.25">
      <c r="A1883" s="443" t="s">
        <v>594</v>
      </c>
      <c r="B1883" s="443"/>
      <c r="C1883" s="444"/>
    </row>
    <row r="1884" spans="1:8" s="422" customFormat="1" ht="11.25">
      <c r="A1884" s="445" t="s">
        <v>595</v>
      </c>
      <c r="B1884" s="446"/>
      <c r="C1884" s="447"/>
      <c r="D1884" s="439" t="s">
        <v>474</v>
      </c>
      <c r="E1884" s="439" t="s">
        <v>375</v>
      </c>
      <c r="F1884" s="439" t="s">
        <v>9</v>
      </c>
      <c r="G1884" s="439" t="s">
        <v>131</v>
      </c>
      <c r="H1884" s="439" t="s">
        <v>424</v>
      </c>
    </row>
    <row r="1885" spans="1:8" s="422" customFormat="1" ht="11.25">
      <c r="A1885" s="448" t="s">
        <v>773</v>
      </c>
      <c r="B1885" s="449"/>
      <c r="C1885" s="449"/>
      <c r="D1885" s="458" t="s">
        <v>774</v>
      </c>
      <c r="E1885" s="458" t="s">
        <v>774</v>
      </c>
      <c r="F1885" s="458" t="s">
        <v>774</v>
      </c>
      <c r="G1885" s="458" t="s">
        <v>774</v>
      </c>
      <c r="H1885" s="458" t="s">
        <v>774</v>
      </c>
    </row>
    <row r="1886" spans="1:8" s="422" customFormat="1" ht="11.25">
      <c r="A1886" s="448"/>
      <c r="B1886" s="449"/>
      <c r="C1886" s="449"/>
      <c r="D1886" s="458"/>
      <c r="E1886" s="458"/>
      <c r="F1886" s="458"/>
      <c r="G1886" s="458"/>
      <c r="H1886" s="458"/>
    </row>
    <row r="1887" spans="1:8" s="422" customFormat="1" ht="11.25">
      <c r="A1887" s="448"/>
      <c r="B1887" s="449"/>
      <c r="C1887" s="449"/>
      <c r="D1887" s="458"/>
      <c r="E1887" s="458"/>
      <c r="F1887" s="458"/>
      <c r="G1887" s="458"/>
      <c r="H1887" s="458"/>
    </row>
    <row r="1888" spans="1:8" s="422" customFormat="1" ht="11.25"/>
    <row r="1889" spans="1:8" s="422" customFormat="1" ht="11.25">
      <c r="A1889" s="421" t="s">
        <v>423</v>
      </c>
      <c r="B1889" s="421"/>
      <c r="C1889" s="421"/>
    </row>
    <row r="1890" spans="1:8" s="422" customFormat="1" ht="11.25">
      <c r="A1890" s="450"/>
      <c r="B1890" s="439" t="s">
        <v>132</v>
      </c>
      <c r="C1890" s="439" t="s">
        <v>473</v>
      </c>
      <c r="D1890" s="439" t="s">
        <v>474</v>
      </c>
      <c r="E1890" s="439" t="s">
        <v>375</v>
      </c>
      <c r="F1890" s="439" t="s">
        <v>9</v>
      </c>
      <c r="G1890" s="439" t="s">
        <v>131</v>
      </c>
      <c r="H1890" s="439" t="s">
        <v>424</v>
      </c>
    </row>
    <row r="1891" spans="1:8" s="422" customFormat="1" ht="11.25">
      <c r="A1891" s="451" t="s">
        <v>398</v>
      </c>
      <c r="B1891" s="438">
        <v>0</v>
      </c>
      <c r="C1891" s="438">
        <v>0</v>
      </c>
      <c r="D1891" s="438">
        <v>0</v>
      </c>
      <c r="E1891" s="438">
        <v>0</v>
      </c>
      <c r="F1891" s="438">
        <v>0</v>
      </c>
      <c r="G1891" s="438">
        <v>0</v>
      </c>
      <c r="H1891" s="438">
        <v>0</v>
      </c>
    </row>
    <row r="1892" spans="1:8" s="422" customFormat="1" ht="11.25">
      <c r="A1892" s="451" t="s">
        <v>399</v>
      </c>
      <c r="B1892" s="438">
        <v>0</v>
      </c>
      <c r="C1892" s="438">
        <v>0</v>
      </c>
      <c r="D1892" s="438">
        <v>0</v>
      </c>
      <c r="E1892" s="438">
        <v>0</v>
      </c>
      <c r="F1892" s="438">
        <v>0</v>
      </c>
      <c r="G1892" s="438">
        <v>0</v>
      </c>
      <c r="H1892" s="438">
        <v>0</v>
      </c>
    </row>
    <row r="1893" spans="1:8" s="422" customFormat="1" ht="11.25">
      <c r="A1893" s="451" t="s">
        <v>400</v>
      </c>
      <c r="B1893" s="438">
        <v>0</v>
      </c>
      <c r="C1893" s="438">
        <v>0</v>
      </c>
      <c r="D1893" s="438">
        <v>0</v>
      </c>
      <c r="E1893" s="438">
        <v>0</v>
      </c>
      <c r="F1893" s="438">
        <v>0</v>
      </c>
      <c r="G1893" s="438">
        <v>0</v>
      </c>
      <c r="H1893" s="438">
        <v>0</v>
      </c>
    </row>
    <row r="1894" spans="1:8" s="422" customFormat="1" ht="11.25">
      <c r="A1894" s="451" t="s">
        <v>401</v>
      </c>
      <c r="B1894" s="438">
        <v>0</v>
      </c>
      <c r="C1894" s="438">
        <v>0</v>
      </c>
      <c r="D1894" s="438">
        <v>0</v>
      </c>
      <c r="E1894" s="438">
        <v>0</v>
      </c>
      <c r="F1894" s="438">
        <v>0</v>
      </c>
      <c r="G1894" s="438">
        <v>0</v>
      </c>
      <c r="H1894" s="438">
        <v>0</v>
      </c>
    </row>
    <row r="1895" spans="1:8" s="422" customFormat="1" ht="11.25"/>
    <row r="1896" spans="1:8" s="422" customFormat="1" ht="11.25">
      <c r="A1896" s="421" t="s">
        <v>597</v>
      </c>
      <c r="B1896" s="421"/>
      <c r="C1896" s="421"/>
    </row>
    <row r="1897" spans="1:8" s="429" customFormat="1" ht="11.25">
      <c r="A1897" s="428"/>
      <c r="B1897" s="428"/>
      <c r="C1897" s="428"/>
    </row>
    <row r="1898" spans="1:8" s="429" customFormat="1" ht="11.25">
      <c r="A1898" s="428"/>
      <c r="B1898" s="428"/>
      <c r="C1898" s="428"/>
    </row>
    <row r="1899" spans="1:8" s="422" customFormat="1" ht="11.25"/>
    <row r="1900" spans="1:8" s="422" customFormat="1" ht="11.25">
      <c r="A1900" s="421" t="s">
        <v>598</v>
      </c>
      <c r="B1900" s="421"/>
      <c r="C1900" s="421"/>
    </row>
    <row r="1901" spans="1:8" s="422" customFormat="1" ht="11.25">
      <c r="A1901" s="452" t="s">
        <v>599</v>
      </c>
      <c r="B1901" s="447"/>
      <c r="C1901" s="447"/>
      <c r="D1901" s="447"/>
      <c r="E1901" s="439" t="s">
        <v>375</v>
      </c>
      <c r="F1901" s="439" t="s">
        <v>9</v>
      </c>
      <c r="G1901" s="439" t="s">
        <v>131</v>
      </c>
      <c r="H1901" s="439" t="s">
        <v>424</v>
      </c>
    </row>
    <row r="1902" spans="1:8" s="422" customFormat="1" ht="11.25">
      <c r="A1902" s="448"/>
      <c r="B1902" s="449"/>
      <c r="C1902" s="449"/>
      <c r="D1902" s="449"/>
      <c r="E1902" s="438">
        <v>0</v>
      </c>
      <c r="F1902" s="438">
        <v>0</v>
      </c>
      <c r="G1902" s="438">
        <v>0</v>
      </c>
      <c r="H1902" s="438">
        <v>0</v>
      </c>
    </row>
    <row r="1903" spans="1:8" s="422" customFormat="1" ht="11.25">
      <c r="A1903" s="448"/>
      <c r="B1903" s="449"/>
      <c r="C1903" s="449"/>
      <c r="D1903" s="449"/>
      <c r="E1903" s="438">
        <v>0</v>
      </c>
      <c r="F1903" s="438">
        <v>0</v>
      </c>
      <c r="G1903" s="438">
        <v>0</v>
      </c>
      <c r="H1903" s="438">
        <v>0</v>
      </c>
    </row>
    <row r="1904" spans="1:8" s="422" customFormat="1" ht="11.25">
      <c r="A1904" s="448"/>
      <c r="B1904" s="449"/>
      <c r="C1904" s="449"/>
      <c r="D1904" s="449"/>
      <c r="E1904" s="438">
        <v>0</v>
      </c>
      <c r="F1904" s="438">
        <v>0</v>
      </c>
      <c r="G1904" s="438">
        <v>0</v>
      </c>
      <c r="H1904" s="438">
        <v>0</v>
      </c>
    </row>
    <row r="1905" spans="1:8" s="421" customFormat="1" ht="11.25">
      <c r="A1905" s="421" t="s">
        <v>391</v>
      </c>
      <c r="D1905" s="421" t="s">
        <v>472</v>
      </c>
    </row>
    <row r="1906" spans="1:8" s="422" customFormat="1" ht="11.25"/>
    <row r="1907" spans="1:8" s="421" customFormat="1" ht="11.25" customHeight="1">
      <c r="A1907" s="423" t="s">
        <v>392</v>
      </c>
      <c r="D1907" s="421" t="s">
        <v>145</v>
      </c>
    </row>
    <row r="1908" spans="1:8" s="421" customFormat="1" ht="7.5" customHeight="1">
      <c r="A1908" s="423"/>
    </row>
    <row r="1909" spans="1:8" s="421" customFormat="1" ht="11.25">
      <c r="A1909" s="424" t="s">
        <v>393</v>
      </c>
      <c r="D1909" s="583" t="s">
        <v>146</v>
      </c>
      <c r="E1909" s="583"/>
      <c r="F1909" s="583"/>
      <c r="G1909" s="583"/>
      <c r="H1909" s="583"/>
    </row>
    <row r="1910" spans="1:8" s="421" customFormat="1" ht="7.5" customHeight="1"/>
    <row r="1911" spans="1:8" s="422" customFormat="1" ht="11.25">
      <c r="A1911" s="421" t="s">
        <v>170</v>
      </c>
      <c r="B1911" s="421"/>
      <c r="C1911" s="421"/>
      <c r="D1911" s="422" t="s">
        <v>222</v>
      </c>
      <c r="E1911" s="422" t="s">
        <v>223</v>
      </c>
    </row>
    <row r="1912" spans="1:8" s="422" customFormat="1" ht="7.5" customHeight="1"/>
    <row r="1913" spans="1:8" s="427" customFormat="1" ht="11.25">
      <c r="A1913" s="425" t="s">
        <v>587</v>
      </c>
      <c r="B1913" s="425"/>
      <c r="C1913" s="425"/>
      <c r="D1913" s="426" t="s">
        <v>775</v>
      </c>
      <c r="E1913" s="584" t="s">
        <v>776</v>
      </c>
      <c r="F1913" s="584"/>
      <c r="G1913" s="584"/>
      <c r="H1913" s="584"/>
    </row>
    <row r="1914" spans="1:8" s="427" customFormat="1" ht="11.25">
      <c r="A1914" s="425"/>
      <c r="B1914" s="425"/>
      <c r="C1914" s="425"/>
      <c r="D1914" s="426" t="s">
        <v>777</v>
      </c>
      <c r="E1914" s="584" t="s">
        <v>778</v>
      </c>
      <c r="F1914" s="584"/>
      <c r="G1914" s="584"/>
      <c r="H1914" s="584"/>
    </row>
    <row r="1915" spans="1:8" s="427" customFormat="1" ht="11.25">
      <c r="A1915" s="425"/>
      <c r="B1915" s="425"/>
      <c r="C1915" s="425"/>
      <c r="D1915" s="426" t="s">
        <v>779</v>
      </c>
      <c r="E1915" s="584" t="s">
        <v>780</v>
      </c>
      <c r="F1915" s="584"/>
      <c r="G1915" s="584"/>
      <c r="H1915" s="584"/>
    </row>
    <row r="1916" spans="1:8" s="427" customFormat="1" ht="11.25">
      <c r="A1916" s="425"/>
      <c r="B1916" s="425"/>
      <c r="C1916" s="425"/>
      <c r="D1916" s="426" t="s">
        <v>781</v>
      </c>
      <c r="E1916" s="584" t="s">
        <v>782</v>
      </c>
      <c r="F1916" s="584"/>
      <c r="G1916" s="584"/>
      <c r="H1916" s="584"/>
    </row>
    <row r="1917" spans="1:8" s="427" customFormat="1" ht="11.25">
      <c r="A1917" s="425"/>
      <c r="B1917" s="425"/>
      <c r="C1917" s="425"/>
      <c r="D1917" s="426" t="s">
        <v>783</v>
      </c>
      <c r="E1917" s="584" t="s">
        <v>784</v>
      </c>
      <c r="F1917" s="584"/>
      <c r="G1917" s="584"/>
      <c r="H1917" s="584"/>
    </row>
    <row r="1918" spans="1:8" s="427" customFormat="1" ht="11.25">
      <c r="A1918" s="425"/>
      <c r="B1918" s="425"/>
      <c r="C1918" s="425"/>
      <c r="D1918" s="426" t="s">
        <v>785</v>
      </c>
      <c r="E1918" s="584" t="s">
        <v>786</v>
      </c>
      <c r="F1918" s="584"/>
      <c r="G1918" s="584"/>
      <c r="H1918" s="584"/>
    </row>
    <row r="1919" spans="1:8" s="427" customFormat="1" ht="11.25">
      <c r="A1919" s="425"/>
      <c r="B1919" s="425"/>
      <c r="C1919" s="425"/>
      <c r="D1919" s="426" t="s">
        <v>787</v>
      </c>
      <c r="E1919" s="584" t="s">
        <v>788</v>
      </c>
      <c r="F1919" s="584"/>
      <c r="G1919" s="584"/>
      <c r="H1919" s="584"/>
    </row>
    <row r="1920" spans="1:8" s="427" customFormat="1" ht="11.25">
      <c r="A1920" s="425"/>
      <c r="B1920" s="425"/>
      <c r="C1920" s="425"/>
      <c r="D1920" s="426" t="s">
        <v>789</v>
      </c>
      <c r="E1920" s="584" t="s">
        <v>790</v>
      </c>
      <c r="F1920" s="584"/>
      <c r="G1920" s="584"/>
      <c r="H1920" s="584"/>
    </row>
    <row r="1921" spans="1:8" s="427" customFormat="1" ht="10.15" customHeight="1">
      <c r="A1921" s="425"/>
      <c r="B1921" s="425"/>
      <c r="C1921" s="425"/>
      <c r="D1921" s="426" t="s">
        <v>791</v>
      </c>
      <c r="E1921" s="584" t="s">
        <v>792</v>
      </c>
      <c r="F1921" s="584"/>
      <c r="G1921" s="584"/>
      <c r="H1921" s="584"/>
    </row>
    <row r="1922" spans="1:8" s="427" customFormat="1" ht="10.15" customHeight="1">
      <c r="A1922" s="425"/>
      <c r="B1922" s="425"/>
      <c r="C1922" s="425"/>
      <c r="D1922" s="426"/>
      <c r="E1922" s="584"/>
      <c r="F1922" s="584"/>
      <c r="G1922" s="584"/>
      <c r="H1922" s="584"/>
    </row>
    <row r="1923" spans="1:8" s="427" customFormat="1" ht="10.15" customHeight="1"/>
    <row r="1924" spans="1:8" s="422" customFormat="1" ht="10.15" customHeight="1"/>
    <row r="1925" spans="1:8" s="422" customFormat="1" ht="10.5" customHeight="1">
      <c r="A1925" s="421" t="s">
        <v>589</v>
      </c>
      <c r="B1925" s="421"/>
      <c r="C1925" s="421"/>
    </row>
    <row r="1926" spans="1:8" s="429" customFormat="1" ht="9.75" customHeight="1">
      <c r="A1926" s="428"/>
      <c r="B1926" s="428"/>
      <c r="C1926" s="428"/>
    </row>
    <row r="1927" spans="1:8" s="429" customFormat="1" ht="10.15" customHeight="1">
      <c r="A1927" s="428"/>
      <c r="B1927" s="428"/>
      <c r="C1927" s="428"/>
    </row>
    <row r="1928" spans="1:8" s="429" customFormat="1" ht="11.25">
      <c r="A1928" s="428"/>
      <c r="B1928" s="428"/>
      <c r="C1928" s="428"/>
    </row>
    <row r="1929" spans="1:8" s="422" customFormat="1" ht="11.25">
      <c r="A1929" s="430"/>
      <c r="B1929" s="430"/>
      <c r="C1929" s="430"/>
      <c r="D1929" s="430"/>
      <c r="E1929" s="430"/>
      <c r="F1929" s="430"/>
      <c r="G1929" s="430"/>
      <c r="H1929" s="430"/>
    </row>
    <row r="1930" spans="1:8" s="422" customFormat="1" ht="22.5" customHeight="1">
      <c r="A1930" s="585" t="s">
        <v>590</v>
      </c>
      <c r="B1930" s="585"/>
      <c r="C1930" s="585"/>
      <c r="D1930" s="586"/>
      <c r="E1930" s="586"/>
      <c r="F1930" s="586"/>
      <c r="G1930" s="586"/>
      <c r="H1930" s="586"/>
    </row>
    <row r="1931" spans="1:8" s="422" customFormat="1" ht="11.25">
      <c r="A1931" s="460"/>
      <c r="B1931" s="460"/>
      <c r="C1931" s="460"/>
      <c r="D1931" s="461"/>
      <c r="E1931" s="461"/>
      <c r="F1931" s="461"/>
      <c r="G1931" s="461"/>
      <c r="H1931" s="461"/>
    </row>
    <row r="1932" spans="1:8" s="429" customFormat="1" ht="11.25">
      <c r="A1932" s="431"/>
      <c r="B1932" s="431"/>
      <c r="C1932" s="431"/>
      <c r="D1932" s="432"/>
      <c r="E1932" s="432"/>
      <c r="F1932" s="432"/>
      <c r="G1932" s="432"/>
      <c r="H1932" s="432"/>
    </row>
    <row r="1933" spans="1:8" s="429" customFormat="1" ht="11.25">
      <c r="A1933" s="431"/>
      <c r="B1933" s="431"/>
      <c r="C1933" s="431"/>
      <c r="D1933" s="432"/>
      <c r="E1933" s="432"/>
      <c r="F1933" s="432"/>
      <c r="G1933" s="432"/>
      <c r="H1933" s="432"/>
    </row>
    <row r="1934" spans="1:8" s="429" customFormat="1" ht="11.25">
      <c r="A1934" s="431"/>
      <c r="B1934" s="431"/>
      <c r="C1934" s="431"/>
      <c r="D1934" s="432"/>
      <c r="E1934" s="432"/>
      <c r="F1934" s="432"/>
      <c r="G1934" s="432"/>
      <c r="H1934" s="432"/>
    </row>
    <row r="1935" spans="1:8" s="429" customFormat="1" ht="11.25">
      <c r="A1935" s="431"/>
      <c r="B1935" s="431"/>
      <c r="C1935" s="431"/>
      <c r="D1935" s="432"/>
      <c r="E1935" s="432"/>
      <c r="F1935" s="432"/>
      <c r="G1935" s="432"/>
      <c r="H1935" s="432"/>
    </row>
    <row r="1936" spans="1:8" s="429" customFormat="1" ht="11.25">
      <c r="A1936" s="431"/>
      <c r="B1936" s="431"/>
      <c r="C1936" s="431"/>
      <c r="D1936" s="432"/>
      <c r="E1936" s="432"/>
      <c r="F1936" s="432"/>
      <c r="G1936" s="432"/>
      <c r="H1936" s="432"/>
    </row>
    <row r="1937" spans="1:8" s="429" customFormat="1" ht="11.25">
      <c r="A1937" s="431"/>
      <c r="B1937" s="431"/>
      <c r="C1937" s="431"/>
      <c r="D1937" s="432"/>
      <c r="E1937" s="432"/>
      <c r="F1937" s="432"/>
      <c r="G1937" s="432"/>
      <c r="H1937" s="432"/>
    </row>
    <row r="1938" spans="1:8" s="429" customFormat="1" ht="11.25">
      <c r="A1938" s="431"/>
      <c r="B1938" s="431"/>
      <c r="C1938" s="431"/>
      <c r="D1938" s="432"/>
      <c r="E1938" s="432"/>
      <c r="F1938" s="432"/>
      <c r="G1938" s="432"/>
      <c r="H1938" s="432"/>
    </row>
    <row r="1939" spans="1:8" s="429" customFormat="1" ht="11.25">
      <c r="A1939" s="431"/>
      <c r="B1939" s="431"/>
      <c r="C1939" s="431"/>
      <c r="D1939" s="432"/>
      <c r="E1939" s="432"/>
      <c r="F1939" s="432"/>
      <c r="G1939" s="432"/>
      <c r="H1939" s="432"/>
    </row>
    <row r="1940" spans="1:8" s="429" customFormat="1" ht="11.25">
      <c r="A1940" s="431"/>
      <c r="B1940" s="431"/>
      <c r="C1940" s="431"/>
      <c r="D1940" s="432"/>
      <c r="E1940" s="432"/>
      <c r="F1940" s="432"/>
      <c r="G1940" s="432"/>
      <c r="H1940" s="432"/>
    </row>
    <row r="1941" spans="1:8" s="429" customFormat="1" ht="11.25">
      <c r="A1941" s="431"/>
      <c r="B1941" s="431"/>
      <c r="C1941" s="431"/>
      <c r="D1941" s="432"/>
      <c r="E1941" s="432"/>
      <c r="F1941" s="432"/>
      <c r="G1941" s="432"/>
      <c r="H1941" s="432"/>
    </row>
    <row r="1942" spans="1:8" s="429" customFormat="1" ht="11.25">
      <c r="A1942" s="431"/>
      <c r="B1942" s="431"/>
      <c r="C1942" s="431"/>
      <c r="D1942" s="432"/>
      <c r="E1942" s="432"/>
      <c r="F1942" s="432"/>
      <c r="G1942" s="432"/>
      <c r="H1942" s="432"/>
    </row>
    <row r="1943" spans="1:8" s="429" customFormat="1" ht="11.25">
      <c r="A1943" s="431"/>
      <c r="B1943" s="431"/>
      <c r="C1943" s="431"/>
      <c r="D1943" s="432"/>
      <c r="E1943" s="432"/>
      <c r="F1943" s="432"/>
      <c r="G1943" s="432"/>
      <c r="H1943" s="432"/>
    </row>
    <row r="1944" spans="1:8" s="429" customFormat="1" ht="11.25">
      <c r="A1944" s="431"/>
      <c r="B1944" s="431"/>
      <c r="C1944" s="431"/>
      <c r="D1944" s="432"/>
      <c r="E1944" s="432"/>
      <c r="F1944" s="432"/>
      <c r="G1944" s="432"/>
      <c r="H1944" s="432"/>
    </row>
    <row r="1945" spans="1:8" s="422" customFormat="1" ht="11.25"/>
    <row r="1946" spans="1:8" s="422" customFormat="1" ht="11.25">
      <c r="B1946" s="421"/>
      <c r="C1946" s="421"/>
    </row>
    <row r="1947" spans="1:8" s="422" customFormat="1" ht="11.25">
      <c r="A1947" s="421" t="s">
        <v>591</v>
      </c>
      <c r="B1947" s="421"/>
      <c r="C1947" s="421"/>
    </row>
    <row r="1948" spans="1:8" s="429" customFormat="1" ht="11.25">
      <c r="A1948" s="428"/>
      <c r="B1948" s="428"/>
      <c r="C1948" s="428"/>
    </row>
    <row r="1949" spans="1:8" s="429" customFormat="1" ht="11.25">
      <c r="A1949" s="428"/>
      <c r="B1949" s="428"/>
      <c r="C1949" s="428"/>
    </row>
    <row r="1950" spans="1:8" s="429" customFormat="1" ht="11.25">
      <c r="A1950" s="428"/>
      <c r="B1950" s="428"/>
      <c r="C1950" s="428"/>
    </row>
    <row r="1951" spans="1:8" s="429" customFormat="1" ht="11.25">
      <c r="A1951" s="428"/>
      <c r="B1951" s="428"/>
      <c r="C1951" s="428"/>
    </row>
    <row r="1952" spans="1:8" s="429" customFormat="1" ht="11.25">
      <c r="A1952" s="428"/>
      <c r="B1952" s="428"/>
      <c r="C1952" s="428"/>
    </row>
    <row r="1953" spans="1:8" s="429" customFormat="1" ht="11.25">
      <c r="A1953" s="428"/>
      <c r="B1953" s="428"/>
      <c r="C1953" s="428"/>
    </row>
    <row r="1954" spans="1:8" s="422" customFormat="1" ht="11.25"/>
    <row r="1955" spans="1:8" s="422" customFormat="1" ht="11.25">
      <c r="A1955" s="433" t="s">
        <v>592</v>
      </c>
      <c r="B1955" s="434"/>
      <c r="C1955" s="434"/>
      <c r="D1955" s="434"/>
      <c r="E1955" s="434"/>
      <c r="F1955" s="434"/>
      <c r="G1955" s="434"/>
      <c r="H1955" s="434"/>
    </row>
    <row r="1956" spans="1:8" s="429" customFormat="1" ht="11.25">
      <c r="A1956" s="435"/>
      <c r="B1956" s="436"/>
      <c r="C1956" s="436"/>
      <c r="D1956" s="436"/>
      <c r="E1956" s="436"/>
      <c r="F1956" s="436"/>
      <c r="G1956" s="436"/>
      <c r="H1956" s="436"/>
    </row>
    <row r="1957" spans="1:8" s="429" customFormat="1" ht="11.25">
      <c r="A1957" s="435"/>
      <c r="B1957" s="436"/>
      <c r="C1957" s="436"/>
      <c r="D1957" s="436"/>
      <c r="E1957" s="436"/>
      <c r="F1957" s="436"/>
      <c r="G1957" s="436"/>
      <c r="H1957" s="436"/>
    </row>
    <row r="1958" spans="1:8" s="422" customFormat="1" ht="11.25">
      <c r="A1958" s="437"/>
      <c r="B1958" s="437"/>
      <c r="C1958" s="437"/>
      <c r="D1958" s="437"/>
      <c r="E1958" s="437"/>
      <c r="F1958" s="437"/>
      <c r="G1958" s="437"/>
      <c r="H1958" s="437"/>
    </row>
    <row r="1959" spans="1:8" s="422" customFormat="1" ht="11.25">
      <c r="A1959" s="421" t="s">
        <v>593</v>
      </c>
      <c r="B1959" s="421"/>
      <c r="C1959" s="421"/>
    </row>
    <row r="1960" spans="1:8" s="422" customFormat="1" ht="11.25">
      <c r="A1960" s="438"/>
      <c r="B1960" s="439" t="s">
        <v>132</v>
      </c>
      <c r="C1960" s="439" t="s">
        <v>473</v>
      </c>
      <c r="D1960" s="439" t="s">
        <v>474</v>
      </c>
      <c r="E1960" s="439" t="s">
        <v>375</v>
      </c>
      <c r="F1960" s="439" t="s">
        <v>9</v>
      </c>
      <c r="G1960" s="439" t="s">
        <v>131</v>
      </c>
      <c r="H1960" s="439" t="s">
        <v>424</v>
      </c>
    </row>
    <row r="1961" spans="1:8" s="422" customFormat="1" ht="11.25">
      <c r="A1961" s="439" t="s">
        <v>394</v>
      </c>
      <c r="B1961" s="438">
        <v>5062161.7</v>
      </c>
      <c r="C1961" s="438">
        <v>5796443.9900000002</v>
      </c>
      <c r="D1961" s="438">
        <v>6630010.0000000009</v>
      </c>
      <c r="E1961" s="438">
        <v>6644202.9732000008</v>
      </c>
      <c r="F1961" s="438">
        <v>6644202.9732000008</v>
      </c>
      <c r="G1961" s="438">
        <v>6698673.855680001</v>
      </c>
      <c r="H1961" s="438">
        <v>6718127.7422800008</v>
      </c>
    </row>
    <row r="1962" spans="1:8" s="422" customFormat="1" ht="11.25">
      <c r="A1962" s="439" t="s">
        <v>395</v>
      </c>
      <c r="B1962" s="438">
        <v>-7198358.6599999992</v>
      </c>
      <c r="C1962" s="438">
        <v>-7453514.3899999997</v>
      </c>
      <c r="D1962" s="438">
        <v>-8227042.6100000003</v>
      </c>
      <c r="E1962" s="438">
        <v>-8227042.6100000003</v>
      </c>
      <c r="F1962" s="438">
        <v>-8227042.6100000003</v>
      </c>
      <c r="G1962" s="438">
        <v>-8227042.6100000003</v>
      </c>
      <c r="H1962" s="438">
        <v>-8227042.6100000003</v>
      </c>
    </row>
    <row r="1963" spans="1:8" s="422" customFormat="1" ht="11.25">
      <c r="A1963" s="439" t="s">
        <v>396</v>
      </c>
      <c r="B1963" s="438">
        <v>-2136196.959999999</v>
      </c>
      <c r="C1963" s="438">
        <v>-1657070.3999999994</v>
      </c>
      <c r="D1963" s="438">
        <v>-1597032.6099999994</v>
      </c>
      <c r="E1963" s="438">
        <v>-1582839.6367999995</v>
      </c>
      <c r="F1963" s="438">
        <v>-1582839.6367999995</v>
      </c>
      <c r="G1963" s="438">
        <v>-1528368.7543199994</v>
      </c>
      <c r="H1963" s="438">
        <v>-1508914.8677199995</v>
      </c>
    </row>
    <row r="1964" spans="1:8" s="442" customFormat="1" ht="11.25">
      <c r="A1964" s="440" t="s">
        <v>397</v>
      </c>
      <c r="B1964" s="441">
        <v>1.4219930311590006</v>
      </c>
      <c r="C1964" s="441">
        <v>1.2858770658111716</v>
      </c>
      <c r="D1964" s="441">
        <v>1.2408793666977878</v>
      </c>
      <c r="E1964" s="441">
        <v>1.2382286698923148</v>
      </c>
      <c r="F1964" s="441">
        <v>1.2382286698923148</v>
      </c>
      <c r="G1964" s="441">
        <v>1.2281598995932681</v>
      </c>
      <c r="H1964" s="441">
        <v>1.2246034796605256</v>
      </c>
    </row>
    <row r="1965" spans="1:8" s="422" customFormat="1" ht="11.25"/>
    <row r="1966" spans="1:8" s="422" customFormat="1" ht="11.25">
      <c r="A1966" s="443" t="s">
        <v>594</v>
      </c>
      <c r="B1966" s="443"/>
      <c r="C1966" s="444"/>
    </row>
    <row r="1967" spans="1:8" s="422" customFormat="1" ht="11.25">
      <c r="A1967" s="445" t="s">
        <v>595</v>
      </c>
      <c r="B1967" s="446"/>
      <c r="C1967" s="447"/>
      <c r="D1967" s="439" t="s">
        <v>474</v>
      </c>
      <c r="E1967" s="439" t="s">
        <v>375</v>
      </c>
      <c r="F1967" s="439" t="s">
        <v>9</v>
      </c>
      <c r="G1967" s="439" t="s">
        <v>131</v>
      </c>
      <c r="H1967" s="439" t="s">
        <v>424</v>
      </c>
    </row>
    <row r="1968" spans="1:8" s="422" customFormat="1" ht="11.25">
      <c r="A1968" s="448" t="s">
        <v>793</v>
      </c>
      <c r="B1968" s="449"/>
      <c r="C1968" s="449"/>
      <c r="D1968" s="462" t="s">
        <v>794</v>
      </c>
      <c r="E1968" s="462" t="s">
        <v>794</v>
      </c>
      <c r="F1968" s="462" t="s">
        <v>794</v>
      </c>
      <c r="G1968" s="462" t="s">
        <v>794</v>
      </c>
      <c r="H1968" s="462" t="s">
        <v>794</v>
      </c>
    </row>
    <row r="1969" spans="1:8" s="422" customFormat="1" ht="11.25">
      <c r="A1969" s="448" t="s">
        <v>795</v>
      </c>
      <c r="B1969" s="449"/>
      <c r="C1969" s="449"/>
      <c r="D1969" s="438">
        <v>25</v>
      </c>
      <c r="E1969" s="438">
        <v>25</v>
      </c>
      <c r="F1969" s="438">
        <v>25</v>
      </c>
      <c r="G1969" s="438">
        <v>25</v>
      </c>
      <c r="H1969" s="438">
        <v>25</v>
      </c>
    </row>
    <row r="1970" spans="1:8" s="422" customFormat="1" ht="11.25">
      <c r="A1970" s="448"/>
      <c r="B1970" s="449"/>
      <c r="C1970" s="449"/>
      <c r="D1970" s="438"/>
      <c r="E1970" s="438"/>
      <c r="F1970" s="438"/>
      <c r="G1970" s="438"/>
      <c r="H1970" s="438"/>
    </row>
    <row r="1971" spans="1:8" s="422" customFormat="1" ht="11.25"/>
    <row r="1972" spans="1:8" s="422" customFormat="1" ht="11.25">
      <c r="A1972" s="421" t="s">
        <v>423</v>
      </c>
      <c r="B1972" s="421"/>
      <c r="C1972" s="421"/>
    </row>
    <row r="1973" spans="1:8" s="422" customFormat="1" ht="11.25">
      <c r="A1973" s="450"/>
      <c r="B1973" s="439" t="s">
        <v>132</v>
      </c>
      <c r="C1973" s="439" t="s">
        <v>473</v>
      </c>
      <c r="D1973" s="439" t="s">
        <v>474</v>
      </c>
      <c r="E1973" s="439" t="s">
        <v>375</v>
      </c>
      <c r="F1973" s="439" t="s">
        <v>9</v>
      </c>
      <c r="G1973" s="439" t="s">
        <v>131</v>
      </c>
      <c r="H1973" s="439" t="s">
        <v>424</v>
      </c>
    </row>
    <row r="1974" spans="1:8" s="422" customFormat="1" ht="11.25">
      <c r="A1974" s="451" t="s">
        <v>398</v>
      </c>
      <c r="B1974" s="438">
        <v>0</v>
      </c>
      <c r="C1974" s="438">
        <v>0</v>
      </c>
      <c r="D1974" s="438">
        <v>0</v>
      </c>
      <c r="E1974" s="438">
        <v>0</v>
      </c>
      <c r="F1974" s="438">
        <v>0</v>
      </c>
      <c r="G1974" s="438">
        <v>0</v>
      </c>
      <c r="H1974" s="438">
        <v>0</v>
      </c>
    </row>
    <row r="1975" spans="1:8" s="422" customFormat="1" ht="11.25">
      <c r="A1975" s="451" t="s">
        <v>399</v>
      </c>
      <c r="B1975" s="438">
        <v>0</v>
      </c>
      <c r="C1975" s="438">
        <v>0</v>
      </c>
      <c r="D1975" s="438">
        <v>0</v>
      </c>
      <c r="E1975" s="438">
        <v>0</v>
      </c>
      <c r="F1975" s="438">
        <v>0</v>
      </c>
      <c r="G1975" s="438">
        <v>0</v>
      </c>
      <c r="H1975" s="438">
        <v>0</v>
      </c>
    </row>
    <row r="1976" spans="1:8" s="422" customFormat="1" ht="11.25">
      <c r="A1976" s="451" t="s">
        <v>400</v>
      </c>
      <c r="B1976" s="438">
        <v>0</v>
      </c>
      <c r="C1976" s="438">
        <v>0</v>
      </c>
      <c r="D1976" s="438">
        <v>0</v>
      </c>
      <c r="E1976" s="438">
        <v>0</v>
      </c>
      <c r="F1976" s="438">
        <v>0</v>
      </c>
      <c r="G1976" s="438">
        <v>0</v>
      </c>
      <c r="H1976" s="438">
        <v>0</v>
      </c>
    </row>
    <row r="1977" spans="1:8" s="422" customFormat="1" ht="11.25">
      <c r="A1977" s="451" t="s">
        <v>401</v>
      </c>
      <c r="B1977" s="438">
        <v>0</v>
      </c>
      <c r="C1977" s="438">
        <v>0</v>
      </c>
      <c r="D1977" s="438">
        <v>0</v>
      </c>
      <c r="E1977" s="438">
        <v>0</v>
      </c>
      <c r="F1977" s="438">
        <v>0</v>
      </c>
      <c r="G1977" s="438">
        <v>0</v>
      </c>
      <c r="H1977" s="438">
        <v>0</v>
      </c>
    </row>
    <row r="1978" spans="1:8" s="422" customFormat="1" ht="11.25"/>
    <row r="1979" spans="1:8" s="422" customFormat="1" ht="11.25">
      <c r="A1979" s="421" t="s">
        <v>597</v>
      </c>
      <c r="B1979" s="421"/>
      <c r="C1979" s="421"/>
    </row>
    <row r="1980" spans="1:8" s="429" customFormat="1" ht="11.25">
      <c r="A1980" s="428"/>
      <c r="B1980" s="428"/>
      <c r="C1980" s="428"/>
    </row>
    <row r="1981" spans="1:8" s="429" customFormat="1" ht="11.25">
      <c r="A1981" s="428"/>
      <c r="B1981" s="428"/>
      <c r="C1981" s="428"/>
    </row>
    <row r="1982" spans="1:8" s="422" customFormat="1" ht="11.25"/>
    <row r="1983" spans="1:8" s="422" customFormat="1" ht="11.25">
      <c r="A1983" s="421" t="s">
        <v>598</v>
      </c>
      <c r="B1983" s="421"/>
      <c r="C1983" s="421"/>
    </row>
    <row r="1984" spans="1:8" s="422" customFormat="1" ht="11.25">
      <c r="A1984" s="452" t="s">
        <v>599</v>
      </c>
      <c r="B1984" s="447"/>
      <c r="C1984" s="447"/>
      <c r="D1984" s="447"/>
      <c r="E1984" s="439" t="s">
        <v>375</v>
      </c>
      <c r="F1984" s="439" t="s">
        <v>9</v>
      </c>
      <c r="G1984" s="439" t="s">
        <v>131</v>
      </c>
      <c r="H1984" s="439" t="s">
        <v>424</v>
      </c>
    </row>
    <row r="1985" spans="1:8" s="422" customFormat="1" ht="11.25">
      <c r="A1985" s="448"/>
      <c r="B1985" s="449"/>
      <c r="C1985" s="449"/>
      <c r="D1985" s="449"/>
      <c r="E1985" s="438">
        <v>0</v>
      </c>
      <c r="F1985" s="438">
        <v>0</v>
      </c>
      <c r="G1985" s="438">
        <v>0</v>
      </c>
      <c r="H1985" s="438">
        <v>0</v>
      </c>
    </row>
    <row r="1986" spans="1:8" s="422" customFormat="1" ht="11.25">
      <c r="A1986" s="448"/>
      <c r="B1986" s="449"/>
      <c r="C1986" s="449"/>
      <c r="D1986" s="449"/>
      <c r="E1986" s="438">
        <v>0</v>
      </c>
      <c r="F1986" s="438">
        <v>0</v>
      </c>
      <c r="G1986" s="438">
        <v>0</v>
      </c>
      <c r="H1986" s="438">
        <v>0</v>
      </c>
    </row>
    <row r="1987" spans="1:8" s="422" customFormat="1" ht="11.25">
      <c r="A1987" s="448"/>
      <c r="B1987" s="449"/>
      <c r="C1987" s="449"/>
      <c r="D1987" s="449"/>
      <c r="E1987" s="438">
        <v>0</v>
      </c>
      <c r="F1987" s="438">
        <v>0</v>
      </c>
      <c r="G1987" s="438">
        <v>0</v>
      </c>
      <c r="H1987" s="438">
        <v>0</v>
      </c>
    </row>
    <row r="1988" spans="1:8" s="421" customFormat="1" ht="11.25">
      <c r="A1988" s="421" t="s">
        <v>391</v>
      </c>
      <c r="D1988" s="421" t="s">
        <v>472</v>
      </c>
    </row>
    <row r="1989" spans="1:8" s="422" customFormat="1" ht="11.25"/>
    <row r="1990" spans="1:8" s="421" customFormat="1" ht="11.25" customHeight="1">
      <c r="A1990" s="423" t="s">
        <v>392</v>
      </c>
      <c r="D1990" s="421" t="s">
        <v>145</v>
      </c>
    </row>
    <row r="1991" spans="1:8" s="421" customFormat="1" ht="7.5" customHeight="1">
      <c r="A1991" s="423"/>
    </row>
    <row r="1992" spans="1:8" s="421" customFormat="1" ht="11.25">
      <c r="A1992" s="424" t="s">
        <v>393</v>
      </c>
      <c r="D1992" s="583" t="s">
        <v>146</v>
      </c>
      <c r="E1992" s="583"/>
      <c r="F1992" s="583"/>
      <c r="G1992" s="583"/>
      <c r="H1992" s="583"/>
    </row>
    <row r="1993" spans="1:8" s="421" customFormat="1" ht="7.5" customHeight="1"/>
    <row r="1994" spans="1:8" s="422" customFormat="1" ht="11.25">
      <c r="A1994" s="421" t="s">
        <v>170</v>
      </c>
      <c r="B1994" s="421"/>
      <c r="C1994" s="421"/>
      <c r="D1994" s="422" t="s">
        <v>224</v>
      </c>
      <c r="E1994" s="422" t="s">
        <v>796</v>
      </c>
    </row>
    <row r="1995" spans="1:8" s="422" customFormat="1" ht="7.5" customHeight="1"/>
    <row r="1996" spans="1:8" s="427" customFormat="1" ht="11.25">
      <c r="A1996" s="425" t="s">
        <v>587</v>
      </c>
      <c r="B1996" s="425"/>
      <c r="C1996" s="425"/>
      <c r="D1996" s="426" t="s">
        <v>797</v>
      </c>
      <c r="E1996" s="584" t="s">
        <v>798</v>
      </c>
      <c r="F1996" s="584"/>
      <c r="G1996" s="584"/>
      <c r="H1996" s="584"/>
    </row>
    <row r="1997" spans="1:8" s="427" customFormat="1" ht="11.25">
      <c r="A1997" s="425"/>
      <c r="B1997" s="425"/>
      <c r="C1997" s="425"/>
      <c r="D1997" s="426" t="s">
        <v>799</v>
      </c>
      <c r="E1997" s="584" t="s">
        <v>800</v>
      </c>
      <c r="F1997" s="584"/>
      <c r="G1997" s="584"/>
      <c r="H1997" s="584"/>
    </row>
    <row r="1998" spans="1:8" s="427" customFormat="1" ht="11.25">
      <c r="A1998" s="425"/>
      <c r="B1998" s="425"/>
      <c r="C1998" s="425"/>
      <c r="D1998" s="426" t="s">
        <v>801</v>
      </c>
      <c r="E1998" s="584" t="s">
        <v>802</v>
      </c>
      <c r="F1998" s="584"/>
      <c r="G1998" s="584"/>
      <c r="H1998" s="584"/>
    </row>
    <row r="1999" spans="1:8" s="427" customFormat="1" ht="11.25">
      <c r="A1999" s="425"/>
      <c r="B1999" s="425"/>
      <c r="C1999" s="425"/>
      <c r="D1999" s="426" t="s">
        <v>803</v>
      </c>
      <c r="E1999" s="584" t="s">
        <v>804</v>
      </c>
      <c r="F1999" s="584"/>
      <c r="G1999" s="584"/>
      <c r="H1999" s="584"/>
    </row>
    <row r="2000" spans="1:8" s="427" customFormat="1" ht="11.25">
      <c r="A2000" s="425"/>
      <c r="B2000" s="425"/>
      <c r="C2000" s="425"/>
      <c r="D2000" s="426"/>
      <c r="E2000" s="584"/>
      <c r="F2000" s="584"/>
      <c r="G2000" s="584"/>
      <c r="H2000" s="584"/>
    </row>
    <row r="2001" spans="1:8" s="427" customFormat="1" ht="11.25"/>
    <row r="2002" spans="1:8" s="422" customFormat="1" ht="11.25"/>
    <row r="2003" spans="1:8" s="422" customFormat="1" ht="11.25">
      <c r="A2003" s="421" t="s">
        <v>589</v>
      </c>
      <c r="B2003" s="421"/>
      <c r="C2003" s="421"/>
    </row>
    <row r="2004" spans="1:8" s="429" customFormat="1" ht="11.25">
      <c r="A2004" s="428"/>
      <c r="B2004" s="428"/>
      <c r="C2004" s="428"/>
    </row>
    <row r="2005" spans="1:8" s="429" customFormat="1" ht="11.25">
      <c r="A2005" s="428"/>
      <c r="B2005" s="428"/>
      <c r="C2005" s="428"/>
    </row>
    <row r="2006" spans="1:8" s="429" customFormat="1" ht="11.25">
      <c r="A2006" s="428"/>
      <c r="B2006" s="428"/>
      <c r="C2006" s="428"/>
    </row>
    <row r="2007" spans="1:8" s="429" customFormat="1" ht="11.25">
      <c r="A2007" s="428"/>
      <c r="B2007" s="428"/>
      <c r="C2007" s="428"/>
    </row>
    <row r="2008" spans="1:8" s="422" customFormat="1" ht="9" customHeight="1">
      <c r="A2008" s="430"/>
      <c r="B2008" s="430"/>
      <c r="C2008" s="430"/>
      <c r="D2008" s="430"/>
      <c r="E2008" s="430"/>
      <c r="F2008" s="430"/>
      <c r="G2008" s="430"/>
      <c r="H2008" s="430"/>
    </row>
    <row r="2009" spans="1:8" s="422" customFormat="1" ht="22.5" customHeight="1">
      <c r="A2009" s="585" t="s">
        <v>590</v>
      </c>
      <c r="B2009" s="585"/>
      <c r="C2009" s="585"/>
      <c r="D2009" s="586"/>
      <c r="E2009" s="586"/>
      <c r="F2009" s="586"/>
      <c r="G2009" s="586"/>
      <c r="H2009" s="586"/>
    </row>
    <row r="2010" spans="1:8" s="429" customFormat="1" ht="11.25">
      <c r="A2010" s="431"/>
      <c r="B2010" s="431"/>
      <c r="C2010" s="431"/>
      <c r="D2010" s="432"/>
      <c r="E2010" s="432"/>
      <c r="F2010" s="432"/>
      <c r="G2010" s="432"/>
      <c r="H2010" s="432"/>
    </row>
    <row r="2011" spans="1:8" s="429" customFormat="1" ht="9.75" customHeight="1">
      <c r="A2011" s="431"/>
      <c r="B2011" s="431"/>
      <c r="C2011" s="431"/>
      <c r="D2011" s="432"/>
      <c r="E2011" s="432"/>
      <c r="F2011" s="432"/>
      <c r="G2011" s="432"/>
      <c r="H2011" s="432"/>
    </row>
    <row r="2012" spans="1:8" s="429" customFormat="1" ht="7.5" customHeight="1">
      <c r="A2012" s="431"/>
      <c r="B2012" s="431"/>
      <c r="C2012" s="431"/>
      <c r="D2012" s="432"/>
      <c r="E2012" s="432"/>
      <c r="F2012" s="432"/>
      <c r="G2012" s="432"/>
      <c r="H2012" s="432"/>
    </row>
    <row r="2013" spans="1:8" s="422" customFormat="1" ht="7.5" customHeight="1"/>
    <row r="2014" spans="1:8" s="422" customFormat="1" ht="11.25">
      <c r="A2014" s="421" t="s">
        <v>591</v>
      </c>
      <c r="B2014" s="421"/>
      <c r="C2014" s="421"/>
    </row>
    <row r="2015" spans="1:8" s="429" customFormat="1" ht="11.25">
      <c r="A2015" s="428"/>
      <c r="B2015" s="428"/>
      <c r="C2015" s="428"/>
    </row>
    <row r="2016" spans="1:8" s="429" customFormat="1" ht="40.5" customHeight="1">
      <c r="A2016" s="428"/>
      <c r="B2016" s="428"/>
      <c r="C2016" s="428"/>
    </row>
    <row r="2017" spans="1:8" s="429" customFormat="1" ht="6" customHeight="1">
      <c r="A2017" s="428"/>
      <c r="B2017" s="428"/>
      <c r="C2017" s="428"/>
    </row>
    <row r="2018" spans="1:8" s="422" customFormat="1" ht="10.5" customHeight="1"/>
    <row r="2019" spans="1:8" s="422" customFormat="1" ht="11.25">
      <c r="A2019" s="433" t="s">
        <v>592</v>
      </c>
      <c r="B2019" s="434"/>
      <c r="C2019" s="434"/>
      <c r="D2019" s="434"/>
      <c r="E2019" s="434"/>
      <c r="F2019" s="434"/>
      <c r="G2019" s="434"/>
      <c r="H2019" s="434"/>
    </row>
    <row r="2020" spans="1:8" s="429" customFormat="1" ht="11.25">
      <c r="A2020" s="435"/>
      <c r="B2020" s="436"/>
      <c r="C2020" s="436"/>
      <c r="D2020" s="436"/>
      <c r="E2020" s="436"/>
      <c r="F2020" s="436"/>
      <c r="G2020" s="436"/>
      <c r="H2020" s="436"/>
    </row>
    <row r="2021" spans="1:8" s="429" customFormat="1" ht="11.25">
      <c r="A2021" s="435"/>
      <c r="B2021" s="436"/>
      <c r="C2021" s="436"/>
      <c r="D2021" s="436"/>
      <c r="E2021" s="436"/>
      <c r="F2021" s="436"/>
      <c r="G2021" s="436"/>
      <c r="H2021" s="436"/>
    </row>
    <row r="2022" spans="1:8" s="422" customFormat="1" ht="11.25">
      <c r="A2022" s="437"/>
      <c r="B2022" s="437"/>
      <c r="C2022" s="437"/>
      <c r="D2022" s="437"/>
      <c r="E2022" s="437"/>
      <c r="F2022" s="437"/>
      <c r="G2022" s="437"/>
      <c r="H2022" s="437"/>
    </row>
    <row r="2023" spans="1:8" s="422" customFormat="1" ht="11.25">
      <c r="A2023" s="421" t="s">
        <v>593</v>
      </c>
      <c r="B2023" s="421"/>
      <c r="C2023" s="421"/>
    </row>
    <row r="2024" spans="1:8" s="422" customFormat="1" ht="11.25">
      <c r="A2024" s="438"/>
      <c r="B2024" s="439" t="s">
        <v>132</v>
      </c>
      <c r="C2024" s="439" t="s">
        <v>473</v>
      </c>
      <c r="D2024" s="439" t="s">
        <v>474</v>
      </c>
      <c r="E2024" s="439" t="s">
        <v>375</v>
      </c>
      <c r="F2024" s="439" t="s">
        <v>9</v>
      </c>
      <c r="G2024" s="439" t="s">
        <v>131</v>
      </c>
      <c r="H2024" s="439" t="s">
        <v>424</v>
      </c>
    </row>
    <row r="2025" spans="1:8" s="422" customFormat="1" ht="11.25">
      <c r="A2025" s="439" t="s">
        <v>394</v>
      </c>
      <c r="B2025" s="438">
        <v>1572735.6600000001</v>
      </c>
      <c r="C2025" s="438">
        <v>1632015.2900000003</v>
      </c>
      <c r="D2025" s="438">
        <v>1637586.2699999998</v>
      </c>
      <c r="E2025" s="438">
        <v>1635121.6124</v>
      </c>
      <c r="F2025" s="438">
        <v>1632506.2723999999</v>
      </c>
      <c r="G2025" s="438">
        <v>1650242.26376</v>
      </c>
      <c r="H2025" s="438">
        <v>1656835.8199599995</v>
      </c>
    </row>
    <row r="2026" spans="1:8" s="422" customFormat="1" ht="11.25">
      <c r="A2026" s="439" t="s">
        <v>395</v>
      </c>
      <c r="B2026" s="438">
        <v>-1661276.0599999998</v>
      </c>
      <c r="C2026" s="438">
        <v>-1640145.11</v>
      </c>
      <c r="D2026" s="438">
        <v>-1704349.3199999998</v>
      </c>
      <c r="E2026" s="438">
        <v>-1724349.3199999998</v>
      </c>
      <c r="F2026" s="438">
        <v>-1724349.3199999998</v>
      </c>
      <c r="G2026" s="438">
        <v>-1724349.3199999998</v>
      </c>
      <c r="H2026" s="438">
        <v>-1724349.3199999998</v>
      </c>
    </row>
    <row r="2027" spans="1:8" s="422" customFormat="1" ht="11.25">
      <c r="A2027" s="439" t="s">
        <v>396</v>
      </c>
      <c r="B2027" s="438">
        <v>-88540.399999999674</v>
      </c>
      <c r="C2027" s="438">
        <v>-8129.8199999998324</v>
      </c>
      <c r="D2027" s="438">
        <v>-66763.050000000047</v>
      </c>
      <c r="E2027" s="438">
        <v>-89227.707599999849</v>
      </c>
      <c r="F2027" s="438">
        <v>-91843.047599999933</v>
      </c>
      <c r="G2027" s="438">
        <v>-74107.056239999831</v>
      </c>
      <c r="H2027" s="438">
        <v>-67513.500040000305</v>
      </c>
    </row>
    <row r="2028" spans="1:8" s="442" customFormat="1" ht="11.25">
      <c r="A2028" s="440" t="s">
        <v>397</v>
      </c>
      <c r="B2028" s="441">
        <v>1.0562970639325362</v>
      </c>
      <c r="C2028" s="441">
        <v>1.0049814606822709</v>
      </c>
      <c r="D2028" s="441">
        <v>1.0407691803620216</v>
      </c>
      <c r="E2028" s="441">
        <v>1.0545694625545516</v>
      </c>
      <c r="F2028" s="441">
        <v>1.0562589247911303</v>
      </c>
      <c r="G2028" s="441">
        <v>1.0449067739127893</v>
      </c>
      <c r="H2028" s="441">
        <v>1.0407484551134525</v>
      </c>
    </row>
    <row r="2029" spans="1:8" s="422" customFormat="1" ht="11.25"/>
    <row r="2030" spans="1:8" s="422" customFormat="1" ht="11.25">
      <c r="A2030" s="443" t="s">
        <v>594</v>
      </c>
      <c r="B2030" s="443"/>
      <c r="C2030" s="444"/>
    </row>
    <row r="2031" spans="1:8" s="422" customFormat="1" ht="11.25">
      <c r="A2031" s="445" t="s">
        <v>595</v>
      </c>
      <c r="B2031" s="446"/>
      <c r="C2031" s="447"/>
      <c r="D2031" s="439" t="s">
        <v>474</v>
      </c>
      <c r="E2031" s="439" t="s">
        <v>375</v>
      </c>
      <c r="F2031" s="439" t="s">
        <v>9</v>
      </c>
      <c r="G2031" s="439" t="s">
        <v>131</v>
      </c>
      <c r="H2031" s="439" t="s">
        <v>424</v>
      </c>
    </row>
    <row r="2032" spans="1:8" s="422" customFormat="1" ht="11.25">
      <c r="A2032" s="448" t="s">
        <v>805</v>
      </c>
      <c r="B2032" s="449"/>
      <c r="C2032" s="449"/>
      <c r="D2032" s="458">
        <v>15</v>
      </c>
      <c r="E2032" s="458">
        <v>15</v>
      </c>
      <c r="F2032" s="458">
        <v>15</v>
      </c>
      <c r="G2032" s="458">
        <v>15</v>
      </c>
      <c r="H2032" s="458">
        <v>15</v>
      </c>
    </row>
    <row r="2033" spans="1:8" s="422" customFormat="1" ht="11.25">
      <c r="A2033" s="448" t="s">
        <v>806</v>
      </c>
      <c r="B2033" s="449"/>
      <c r="C2033" s="449"/>
      <c r="D2033" s="458">
        <v>8</v>
      </c>
      <c r="E2033" s="458">
        <v>8</v>
      </c>
      <c r="F2033" s="458">
        <v>8</v>
      </c>
      <c r="G2033" s="458">
        <v>8</v>
      </c>
      <c r="H2033" s="458">
        <v>8</v>
      </c>
    </row>
    <row r="2034" spans="1:8" s="422" customFormat="1" ht="11.25">
      <c r="A2034" s="448" t="s">
        <v>807</v>
      </c>
      <c r="B2034" s="449"/>
      <c r="C2034" s="449"/>
      <c r="D2034" s="438">
        <v>1</v>
      </c>
      <c r="E2034" s="438">
        <v>1</v>
      </c>
      <c r="F2034" s="438">
        <v>1</v>
      </c>
      <c r="G2034" s="438">
        <v>1</v>
      </c>
      <c r="H2034" s="438">
        <v>1</v>
      </c>
    </row>
    <row r="2035" spans="1:8" s="422" customFormat="1" ht="11.25"/>
    <row r="2036" spans="1:8" s="422" customFormat="1" ht="11.25">
      <c r="A2036" s="421" t="s">
        <v>423</v>
      </c>
      <c r="B2036" s="421"/>
      <c r="C2036" s="421"/>
    </row>
    <row r="2037" spans="1:8" s="422" customFormat="1" ht="11.25">
      <c r="A2037" s="450"/>
      <c r="B2037" s="439" t="s">
        <v>132</v>
      </c>
      <c r="C2037" s="439" t="s">
        <v>473</v>
      </c>
      <c r="D2037" s="439" t="s">
        <v>474</v>
      </c>
      <c r="E2037" s="439" t="s">
        <v>375</v>
      </c>
      <c r="F2037" s="439" t="s">
        <v>9</v>
      </c>
      <c r="G2037" s="439" t="s">
        <v>131</v>
      </c>
      <c r="H2037" s="439" t="s">
        <v>424</v>
      </c>
    </row>
    <row r="2038" spans="1:8" s="422" customFormat="1" ht="11.25">
      <c r="A2038" s="451" t="s">
        <v>398</v>
      </c>
      <c r="B2038" s="438">
        <v>0</v>
      </c>
      <c r="C2038" s="438">
        <v>0</v>
      </c>
      <c r="D2038" s="438">
        <v>0</v>
      </c>
      <c r="E2038" s="438">
        <v>0</v>
      </c>
      <c r="F2038" s="438">
        <v>0</v>
      </c>
      <c r="G2038" s="438">
        <v>0</v>
      </c>
      <c r="H2038" s="438">
        <v>0</v>
      </c>
    </row>
    <row r="2039" spans="1:8" s="422" customFormat="1" ht="11.25">
      <c r="A2039" s="451" t="s">
        <v>399</v>
      </c>
      <c r="B2039" s="438">
        <v>0</v>
      </c>
      <c r="C2039" s="438">
        <v>0</v>
      </c>
      <c r="D2039" s="438">
        <v>0</v>
      </c>
      <c r="E2039" s="438">
        <v>0</v>
      </c>
      <c r="F2039" s="438">
        <v>0</v>
      </c>
      <c r="G2039" s="438">
        <v>0</v>
      </c>
      <c r="H2039" s="438">
        <v>0</v>
      </c>
    </row>
    <row r="2040" spans="1:8" s="422" customFormat="1" ht="11.25">
      <c r="A2040" s="451" t="s">
        <v>400</v>
      </c>
      <c r="B2040" s="438">
        <v>0</v>
      </c>
      <c r="C2040" s="438">
        <v>0</v>
      </c>
      <c r="D2040" s="438">
        <v>0</v>
      </c>
      <c r="E2040" s="438">
        <v>0</v>
      </c>
      <c r="F2040" s="438">
        <v>0</v>
      </c>
      <c r="G2040" s="438">
        <v>0</v>
      </c>
      <c r="H2040" s="438">
        <v>0</v>
      </c>
    </row>
    <row r="2041" spans="1:8" s="422" customFormat="1" ht="11.25">
      <c r="A2041" s="451" t="s">
        <v>401</v>
      </c>
      <c r="B2041" s="438">
        <v>0</v>
      </c>
      <c r="C2041" s="438">
        <v>0</v>
      </c>
      <c r="D2041" s="438">
        <v>0</v>
      </c>
      <c r="E2041" s="438">
        <v>0</v>
      </c>
      <c r="F2041" s="438">
        <v>0</v>
      </c>
      <c r="G2041" s="438">
        <v>0</v>
      </c>
      <c r="H2041" s="438">
        <v>0</v>
      </c>
    </row>
    <row r="2042" spans="1:8" s="422" customFormat="1" ht="11.25"/>
    <row r="2043" spans="1:8" s="422" customFormat="1" ht="11.25">
      <c r="A2043" s="421" t="s">
        <v>597</v>
      </c>
      <c r="B2043" s="421"/>
      <c r="C2043" s="421"/>
    </row>
    <row r="2044" spans="1:8" s="429" customFormat="1" ht="11.25">
      <c r="A2044" s="428"/>
      <c r="B2044" s="428"/>
      <c r="C2044" s="428"/>
    </row>
    <row r="2045" spans="1:8" s="429" customFormat="1" ht="5.25" customHeight="1">
      <c r="A2045" s="428"/>
      <c r="B2045" s="428"/>
      <c r="C2045" s="428"/>
    </row>
    <row r="2046" spans="1:8" s="429" customFormat="1" ht="5.25" customHeight="1">
      <c r="A2046" s="428"/>
      <c r="B2046" s="428"/>
      <c r="C2046" s="428"/>
    </row>
    <row r="2047" spans="1:8" s="422" customFormat="1" ht="11.25"/>
    <row r="2048" spans="1:8" s="422" customFormat="1" ht="11.25">
      <c r="A2048" s="421" t="s">
        <v>598</v>
      </c>
      <c r="B2048" s="421"/>
      <c r="C2048" s="421"/>
    </row>
    <row r="2049" spans="1:8" s="422" customFormat="1" ht="11.25">
      <c r="A2049" s="452" t="s">
        <v>599</v>
      </c>
      <c r="B2049" s="447"/>
      <c r="C2049" s="447"/>
      <c r="D2049" s="447"/>
      <c r="E2049" s="439" t="s">
        <v>375</v>
      </c>
      <c r="F2049" s="439" t="s">
        <v>9</v>
      </c>
      <c r="G2049" s="439" t="s">
        <v>131</v>
      </c>
      <c r="H2049" s="439" t="s">
        <v>424</v>
      </c>
    </row>
    <row r="2050" spans="1:8" s="422" customFormat="1" ht="11.25">
      <c r="A2050" s="448"/>
      <c r="B2050" s="449"/>
      <c r="C2050" s="449"/>
      <c r="D2050" s="449"/>
      <c r="E2050" s="438">
        <v>0</v>
      </c>
      <c r="F2050" s="438">
        <v>0</v>
      </c>
      <c r="G2050" s="438">
        <v>0</v>
      </c>
      <c r="H2050" s="438">
        <v>0</v>
      </c>
    </row>
    <row r="2051" spans="1:8" s="422" customFormat="1" ht="11.25">
      <c r="A2051" s="448"/>
      <c r="B2051" s="449"/>
      <c r="C2051" s="449"/>
      <c r="D2051" s="449"/>
      <c r="E2051" s="438">
        <v>0</v>
      </c>
      <c r="F2051" s="438">
        <v>0</v>
      </c>
      <c r="G2051" s="438">
        <v>0</v>
      </c>
      <c r="H2051" s="438">
        <v>0</v>
      </c>
    </row>
    <row r="2052" spans="1:8" s="422" customFormat="1" ht="11.25">
      <c r="A2052" s="448"/>
      <c r="B2052" s="449"/>
      <c r="C2052" s="449"/>
      <c r="D2052" s="449"/>
      <c r="E2052" s="438">
        <v>0</v>
      </c>
      <c r="F2052" s="438">
        <v>0</v>
      </c>
      <c r="G2052" s="438">
        <v>0</v>
      </c>
      <c r="H2052" s="438">
        <v>0</v>
      </c>
    </row>
    <row r="2053" spans="1:8" s="421" customFormat="1" ht="11.25">
      <c r="A2053" s="421" t="s">
        <v>391</v>
      </c>
      <c r="D2053" s="421" t="s">
        <v>472</v>
      </c>
    </row>
    <row r="2054" spans="1:8" s="422" customFormat="1" ht="11.25"/>
    <row r="2055" spans="1:8" s="421" customFormat="1" ht="11.25" customHeight="1">
      <c r="A2055" s="423" t="s">
        <v>392</v>
      </c>
      <c r="D2055" s="421" t="s">
        <v>145</v>
      </c>
    </row>
    <row r="2056" spans="1:8" s="421" customFormat="1" ht="7.5" customHeight="1">
      <c r="A2056" s="423"/>
    </row>
    <row r="2057" spans="1:8" s="421" customFormat="1" ht="11.25">
      <c r="A2057" s="424" t="s">
        <v>393</v>
      </c>
      <c r="D2057" s="583" t="s">
        <v>146</v>
      </c>
      <c r="E2057" s="583"/>
      <c r="F2057" s="583"/>
      <c r="G2057" s="583"/>
      <c r="H2057" s="583"/>
    </row>
    <row r="2058" spans="1:8" s="421" customFormat="1" ht="7.5" customHeight="1"/>
    <row r="2059" spans="1:8" s="422" customFormat="1" ht="11.25">
      <c r="A2059" s="421" t="s">
        <v>170</v>
      </c>
      <c r="B2059" s="421"/>
      <c r="C2059" s="421"/>
      <c r="D2059" s="422" t="s">
        <v>225</v>
      </c>
      <c r="E2059" s="422" t="s">
        <v>226</v>
      </c>
    </row>
    <row r="2060" spans="1:8" s="422" customFormat="1" ht="7.5" customHeight="1"/>
    <row r="2061" spans="1:8" s="427" customFormat="1" ht="11.25">
      <c r="A2061" s="425" t="s">
        <v>587</v>
      </c>
      <c r="B2061" s="425"/>
      <c r="C2061" s="425"/>
      <c r="D2061" s="426" t="s">
        <v>808</v>
      </c>
      <c r="E2061" s="584" t="s">
        <v>809</v>
      </c>
      <c r="F2061" s="584"/>
      <c r="G2061" s="584"/>
      <c r="H2061" s="584"/>
    </row>
    <row r="2062" spans="1:8" s="427" customFormat="1" ht="11.25">
      <c r="A2062" s="425"/>
      <c r="B2062" s="425"/>
      <c r="C2062" s="425"/>
      <c r="D2062" s="426" t="s">
        <v>810</v>
      </c>
      <c r="E2062" s="584" t="s">
        <v>811</v>
      </c>
      <c r="F2062" s="584"/>
      <c r="G2062" s="584"/>
      <c r="H2062" s="584"/>
    </row>
    <row r="2063" spans="1:8" s="427" customFormat="1" ht="11.25">
      <c r="A2063" s="425"/>
      <c r="B2063" s="425"/>
      <c r="C2063" s="425"/>
      <c r="D2063" s="426" t="s">
        <v>812</v>
      </c>
      <c r="E2063" s="584" t="s">
        <v>813</v>
      </c>
      <c r="F2063" s="584"/>
      <c r="G2063" s="584"/>
      <c r="H2063" s="584"/>
    </row>
    <row r="2064" spans="1:8" s="427" customFormat="1" ht="11.25">
      <c r="A2064" s="425"/>
      <c r="B2064" s="425"/>
      <c r="C2064" s="425"/>
      <c r="D2064" s="426" t="s">
        <v>814</v>
      </c>
      <c r="E2064" s="584" t="s">
        <v>815</v>
      </c>
      <c r="F2064" s="584"/>
      <c r="G2064" s="584"/>
      <c r="H2064" s="584"/>
    </row>
    <row r="2065" spans="1:8" s="427" customFormat="1" ht="11.25">
      <c r="A2065" s="425"/>
      <c r="B2065" s="425"/>
      <c r="C2065" s="425"/>
      <c r="D2065" s="426"/>
      <c r="E2065" s="584"/>
      <c r="F2065" s="584"/>
      <c r="G2065" s="584"/>
      <c r="H2065" s="584"/>
    </row>
    <row r="2066" spans="1:8" s="427" customFormat="1" ht="11.25"/>
    <row r="2067" spans="1:8" s="422" customFormat="1" ht="11.25"/>
    <row r="2068" spans="1:8" s="422" customFormat="1" ht="11.25">
      <c r="A2068" s="421" t="s">
        <v>589</v>
      </c>
      <c r="B2068" s="421"/>
      <c r="C2068" s="421"/>
    </row>
    <row r="2069" spans="1:8" s="429" customFormat="1" ht="11.25">
      <c r="A2069" s="428"/>
      <c r="B2069" s="428"/>
      <c r="C2069" s="428"/>
    </row>
    <row r="2070" spans="1:8" s="429" customFormat="1" ht="26.25" customHeight="1">
      <c r="A2070" s="428"/>
      <c r="B2070" s="428"/>
      <c r="C2070" s="428"/>
    </row>
    <row r="2071" spans="1:8" s="422" customFormat="1" ht="11.25">
      <c r="A2071" s="430"/>
      <c r="B2071" s="430"/>
      <c r="C2071" s="430"/>
      <c r="D2071" s="430"/>
      <c r="E2071" s="430"/>
      <c r="F2071" s="430"/>
      <c r="G2071" s="430"/>
      <c r="H2071" s="430"/>
    </row>
    <row r="2072" spans="1:8" s="422" customFormat="1" ht="24.75" customHeight="1">
      <c r="A2072" s="585" t="s">
        <v>590</v>
      </c>
      <c r="B2072" s="585"/>
      <c r="C2072" s="585"/>
      <c r="D2072" s="586"/>
      <c r="E2072" s="586"/>
      <c r="F2072" s="586"/>
      <c r="G2072" s="586"/>
      <c r="H2072" s="586"/>
    </row>
    <row r="2073" spans="1:8" s="429" customFormat="1" ht="11.25">
      <c r="A2073" s="431"/>
      <c r="B2073" s="431"/>
      <c r="C2073" s="431"/>
      <c r="D2073" s="432"/>
      <c r="E2073" s="432"/>
      <c r="F2073" s="432"/>
      <c r="G2073" s="432"/>
      <c r="H2073" s="432"/>
    </row>
    <row r="2074" spans="1:8" s="429" customFormat="1" ht="11.25">
      <c r="A2074" s="431"/>
      <c r="B2074" s="431"/>
      <c r="C2074" s="431"/>
      <c r="D2074" s="432"/>
      <c r="E2074" s="432"/>
      <c r="F2074" s="432"/>
      <c r="G2074" s="432"/>
      <c r="H2074" s="432"/>
    </row>
    <row r="2075" spans="1:8" s="429" customFormat="1" ht="11.25">
      <c r="A2075" s="431"/>
      <c r="B2075" s="431"/>
      <c r="C2075" s="431"/>
      <c r="D2075" s="432"/>
      <c r="E2075" s="432"/>
      <c r="F2075" s="432"/>
      <c r="G2075" s="432"/>
      <c r="H2075" s="432"/>
    </row>
    <row r="2076" spans="1:8" s="429" customFormat="1" ht="11.25">
      <c r="A2076" s="431"/>
      <c r="B2076" s="431"/>
      <c r="C2076" s="431"/>
      <c r="D2076" s="432"/>
      <c r="E2076" s="432"/>
      <c r="F2076" s="432"/>
      <c r="G2076" s="432"/>
      <c r="H2076" s="432"/>
    </row>
    <row r="2077" spans="1:8" s="429" customFormat="1" ht="11.25">
      <c r="A2077" s="431"/>
      <c r="B2077" s="431"/>
      <c r="C2077" s="431"/>
      <c r="D2077" s="432"/>
      <c r="E2077" s="432"/>
      <c r="F2077" s="432"/>
      <c r="G2077" s="432"/>
      <c r="H2077" s="432"/>
    </row>
    <row r="2078" spans="1:8" s="422" customFormat="1" ht="83.25" customHeight="1"/>
    <row r="2079" spans="1:8" s="422" customFormat="1" ht="11.25">
      <c r="A2079" s="421" t="s">
        <v>591</v>
      </c>
      <c r="B2079" s="421"/>
      <c r="C2079" s="421"/>
    </row>
    <row r="2080" spans="1:8" s="429" customFormat="1" ht="11.25">
      <c r="A2080" s="428"/>
      <c r="B2080" s="428"/>
      <c r="C2080" s="428"/>
    </row>
    <row r="2081" spans="1:8" s="429" customFormat="1" ht="11.25">
      <c r="A2081" s="428"/>
      <c r="B2081" s="428"/>
      <c r="C2081" s="428"/>
    </row>
    <row r="2082" spans="1:8" s="429" customFormat="1" ht="11.25">
      <c r="A2082" s="428"/>
      <c r="B2082" s="428"/>
      <c r="C2082" s="428"/>
    </row>
    <row r="2083" spans="1:8" s="429" customFormat="1" ht="11.25">
      <c r="A2083" s="428"/>
      <c r="B2083" s="428"/>
      <c r="C2083" s="428"/>
    </row>
    <row r="2084" spans="1:8" s="422" customFormat="1" ht="12.75" customHeight="1"/>
    <row r="2085" spans="1:8" s="422" customFormat="1" ht="11.25">
      <c r="A2085" s="433" t="s">
        <v>592</v>
      </c>
      <c r="B2085" s="434"/>
      <c r="C2085" s="434"/>
      <c r="D2085" s="434"/>
      <c r="E2085" s="434"/>
      <c r="F2085" s="434"/>
      <c r="G2085" s="434"/>
      <c r="H2085" s="434"/>
    </row>
    <row r="2086" spans="1:8" s="429" customFormat="1" ht="11.25">
      <c r="A2086" s="435"/>
      <c r="B2086" s="436"/>
      <c r="C2086" s="436"/>
      <c r="D2086" s="436"/>
      <c r="E2086" s="436"/>
      <c r="F2086" s="436"/>
      <c r="G2086" s="436"/>
      <c r="H2086" s="436"/>
    </row>
    <row r="2087" spans="1:8" s="429" customFormat="1" ht="11.25">
      <c r="A2087" s="435"/>
      <c r="B2087" s="436"/>
      <c r="C2087" s="436"/>
      <c r="D2087" s="436"/>
      <c r="E2087" s="436"/>
      <c r="F2087" s="436"/>
      <c r="G2087" s="436"/>
      <c r="H2087" s="436"/>
    </row>
    <row r="2088" spans="1:8" s="422" customFormat="1" ht="11.25">
      <c r="A2088" s="437"/>
      <c r="B2088" s="437"/>
      <c r="C2088" s="437"/>
      <c r="D2088" s="437"/>
      <c r="E2088" s="437"/>
      <c r="F2088" s="437"/>
      <c r="G2088" s="437"/>
      <c r="H2088" s="437"/>
    </row>
    <row r="2089" spans="1:8" s="422" customFormat="1" ht="11.25">
      <c r="A2089" s="421" t="s">
        <v>593</v>
      </c>
      <c r="B2089" s="421"/>
      <c r="C2089" s="421"/>
    </row>
    <row r="2090" spans="1:8" s="422" customFormat="1" ht="11.25">
      <c r="A2090" s="438"/>
      <c r="B2090" s="439" t="s">
        <v>132</v>
      </c>
      <c r="C2090" s="439" t="s">
        <v>473</v>
      </c>
      <c r="D2090" s="439" t="s">
        <v>474</v>
      </c>
      <c r="E2090" s="439" t="s">
        <v>375</v>
      </c>
      <c r="F2090" s="439" t="s">
        <v>9</v>
      </c>
      <c r="G2090" s="439" t="s">
        <v>131</v>
      </c>
      <c r="H2090" s="439" t="s">
        <v>424</v>
      </c>
    </row>
    <row r="2091" spans="1:8" s="422" customFormat="1" ht="11.25">
      <c r="A2091" s="439" t="s">
        <v>394</v>
      </c>
      <c r="B2091" s="438">
        <v>7440566.4799999995</v>
      </c>
      <c r="C2091" s="438">
        <v>7608132.2399999993</v>
      </c>
      <c r="D2091" s="438">
        <v>8799491.0099999998</v>
      </c>
      <c r="E2091" s="438">
        <v>8699671.0451999996</v>
      </c>
      <c r="F2091" s="438">
        <v>8576269.5252</v>
      </c>
      <c r="G2091" s="438">
        <v>8652617.0044800006</v>
      </c>
      <c r="H2091" s="438">
        <v>8677035.1120800003</v>
      </c>
    </row>
    <row r="2092" spans="1:8" s="422" customFormat="1" ht="11.25">
      <c r="A2092" s="439" t="s">
        <v>395</v>
      </c>
      <c r="B2092" s="438">
        <v>-2791307.19</v>
      </c>
      <c r="C2092" s="438">
        <v>-2755039.85</v>
      </c>
      <c r="D2092" s="438">
        <v>-2968808.08</v>
      </c>
      <c r="E2092" s="438">
        <v>-2858808.08</v>
      </c>
      <c r="F2092" s="438">
        <v>-2858808.08</v>
      </c>
      <c r="G2092" s="438">
        <v>-2858808.08</v>
      </c>
      <c r="H2092" s="438">
        <v>-2858808.08</v>
      </c>
    </row>
    <row r="2093" spans="1:8" s="422" customFormat="1" ht="11.25">
      <c r="A2093" s="439" t="s">
        <v>396</v>
      </c>
      <c r="B2093" s="438">
        <v>4649259.2899999991</v>
      </c>
      <c r="C2093" s="438">
        <v>4853092.3899999987</v>
      </c>
      <c r="D2093" s="438">
        <v>5830682.9299999997</v>
      </c>
      <c r="E2093" s="438">
        <v>5840862.9651999995</v>
      </c>
      <c r="F2093" s="438">
        <v>5717461.4452</v>
      </c>
      <c r="G2093" s="438">
        <v>5793808.9244800005</v>
      </c>
      <c r="H2093" s="438">
        <v>5818227.0320800003</v>
      </c>
    </row>
    <row r="2094" spans="1:8" s="442" customFormat="1" ht="11.25">
      <c r="A2094" s="440" t="s">
        <v>397</v>
      </c>
      <c r="B2094" s="441">
        <v>0.37514713395854238</v>
      </c>
      <c r="C2094" s="441">
        <v>0.3621177659761603</v>
      </c>
      <c r="D2094" s="441">
        <v>0.33738406876331362</v>
      </c>
      <c r="E2094" s="441">
        <v>0.3286110549636625</v>
      </c>
      <c r="F2094" s="441">
        <v>0.33333934662382619</v>
      </c>
      <c r="G2094" s="441">
        <v>0.33039808401548532</v>
      </c>
      <c r="H2094" s="441">
        <v>0.32946830836491864</v>
      </c>
    </row>
    <row r="2095" spans="1:8" s="422" customFormat="1" ht="11.25"/>
    <row r="2096" spans="1:8" s="422" customFormat="1" ht="11.25">
      <c r="A2096" s="443" t="s">
        <v>594</v>
      </c>
      <c r="B2096" s="443"/>
      <c r="C2096" s="444"/>
    </row>
    <row r="2097" spans="1:8" s="422" customFormat="1" ht="11.25">
      <c r="A2097" s="445" t="s">
        <v>595</v>
      </c>
      <c r="B2097" s="446"/>
      <c r="C2097" s="447"/>
      <c r="D2097" s="439" t="s">
        <v>474</v>
      </c>
      <c r="E2097" s="439" t="s">
        <v>375</v>
      </c>
      <c r="F2097" s="439" t="s">
        <v>9</v>
      </c>
      <c r="G2097" s="439" t="s">
        <v>131</v>
      </c>
      <c r="H2097" s="439" t="s">
        <v>424</v>
      </c>
    </row>
    <row r="2098" spans="1:8" s="422" customFormat="1" ht="11.25">
      <c r="A2098" s="448" t="s">
        <v>816</v>
      </c>
      <c r="B2098" s="449"/>
      <c r="C2098" s="449"/>
      <c r="D2098" s="438">
        <v>5</v>
      </c>
      <c r="E2098" s="438">
        <v>5</v>
      </c>
      <c r="F2098" s="438">
        <v>5</v>
      </c>
      <c r="G2098" s="438">
        <v>5</v>
      </c>
      <c r="H2098" s="438">
        <v>5</v>
      </c>
    </row>
    <row r="2099" spans="1:8" s="422" customFormat="1" ht="11.25">
      <c r="A2099" s="448" t="s">
        <v>817</v>
      </c>
      <c r="B2099" s="449"/>
      <c r="C2099" s="449"/>
      <c r="D2099" s="438">
        <v>1</v>
      </c>
      <c r="E2099" s="438">
        <v>1</v>
      </c>
      <c r="F2099" s="438">
        <v>1</v>
      </c>
      <c r="G2099" s="438">
        <v>1</v>
      </c>
      <c r="H2099" s="438">
        <v>1</v>
      </c>
    </row>
    <row r="2100" spans="1:8" s="422" customFormat="1" ht="11.25">
      <c r="A2100" s="448" t="s">
        <v>818</v>
      </c>
      <c r="B2100" s="449"/>
      <c r="C2100" s="449"/>
      <c r="D2100" s="438"/>
      <c r="E2100" s="438"/>
      <c r="F2100" s="438">
        <v>52</v>
      </c>
      <c r="G2100" s="438">
        <v>52</v>
      </c>
      <c r="H2100" s="438">
        <v>52</v>
      </c>
    </row>
    <row r="2101" spans="1:8" s="422" customFormat="1" ht="11.25"/>
    <row r="2102" spans="1:8" s="422" customFormat="1" ht="11.25">
      <c r="A2102" s="421" t="s">
        <v>423</v>
      </c>
      <c r="B2102" s="421"/>
      <c r="C2102" s="421"/>
    </row>
    <row r="2103" spans="1:8" s="422" customFormat="1" ht="11.25">
      <c r="A2103" s="450"/>
      <c r="B2103" s="439" t="s">
        <v>132</v>
      </c>
      <c r="C2103" s="439" t="s">
        <v>473</v>
      </c>
      <c r="D2103" s="439" t="s">
        <v>474</v>
      </c>
      <c r="E2103" s="439" t="s">
        <v>375</v>
      </c>
      <c r="F2103" s="439" t="s">
        <v>9</v>
      </c>
      <c r="G2103" s="439" t="s">
        <v>131</v>
      </c>
      <c r="H2103" s="439" t="s">
        <v>424</v>
      </c>
    </row>
    <row r="2104" spans="1:8" s="422" customFormat="1" ht="11.25">
      <c r="A2104" s="451" t="s">
        <v>398</v>
      </c>
      <c r="B2104" s="438">
        <v>1187368.25</v>
      </c>
      <c r="C2104" s="438">
        <v>257025.7</v>
      </c>
      <c r="D2104" s="438">
        <v>0</v>
      </c>
      <c r="E2104" s="438">
        <v>0</v>
      </c>
      <c r="F2104" s="438">
        <v>109000</v>
      </c>
      <c r="G2104" s="438">
        <v>0</v>
      </c>
      <c r="H2104" s="438">
        <v>0</v>
      </c>
    </row>
    <row r="2105" spans="1:8" s="422" customFormat="1" ht="11.25">
      <c r="A2105" s="451" t="s">
        <v>399</v>
      </c>
      <c r="B2105" s="438">
        <v>0</v>
      </c>
      <c r="C2105" s="438">
        <v>0</v>
      </c>
      <c r="D2105" s="438">
        <v>0</v>
      </c>
      <c r="E2105" s="438">
        <v>0</v>
      </c>
      <c r="F2105" s="438">
        <v>10000</v>
      </c>
      <c r="G2105" s="438">
        <v>0</v>
      </c>
      <c r="H2105" s="438">
        <v>0</v>
      </c>
    </row>
    <row r="2106" spans="1:8" s="422" customFormat="1" ht="11.25">
      <c r="A2106" s="451" t="s">
        <v>400</v>
      </c>
      <c r="B2106" s="438">
        <v>0</v>
      </c>
      <c r="C2106" s="438">
        <v>0</v>
      </c>
      <c r="D2106" s="438">
        <v>0</v>
      </c>
      <c r="E2106" s="438">
        <v>0</v>
      </c>
      <c r="F2106" s="438">
        <v>0</v>
      </c>
      <c r="G2106" s="438">
        <v>0</v>
      </c>
      <c r="H2106" s="438">
        <v>0</v>
      </c>
    </row>
    <row r="2107" spans="1:8" s="422" customFormat="1" ht="11.25">
      <c r="A2107" s="451" t="s">
        <v>401</v>
      </c>
      <c r="B2107" s="438">
        <v>1187368.25</v>
      </c>
      <c r="C2107" s="438">
        <v>257025.7</v>
      </c>
      <c r="D2107" s="438">
        <v>0</v>
      </c>
      <c r="E2107" s="438">
        <v>0</v>
      </c>
      <c r="F2107" s="438">
        <v>119000</v>
      </c>
      <c r="G2107" s="438">
        <v>0</v>
      </c>
      <c r="H2107" s="438">
        <v>0</v>
      </c>
    </row>
    <row r="2108" spans="1:8" s="422" customFormat="1" ht="11.25"/>
    <row r="2109" spans="1:8" s="422" customFormat="1" ht="11.25">
      <c r="A2109" s="421" t="s">
        <v>597</v>
      </c>
      <c r="B2109" s="421"/>
      <c r="C2109" s="421"/>
    </row>
    <row r="2110" spans="1:8" s="429" customFormat="1" ht="11.25">
      <c r="A2110" s="428"/>
      <c r="B2110" s="428"/>
      <c r="C2110" s="428"/>
    </row>
    <row r="2111" spans="1:8" s="429" customFormat="1" ht="11.25">
      <c r="A2111" s="428"/>
      <c r="B2111" s="428"/>
      <c r="C2111" s="428"/>
    </row>
    <row r="2112" spans="1:8" s="429" customFormat="1" ht="11.25">
      <c r="A2112" s="428"/>
      <c r="B2112" s="428"/>
      <c r="C2112" s="428"/>
    </row>
    <row r="2113" spans="1:8" s="422" customFormat="1" ht="11.25"/>
    <row r="2114" spans="1:8" s="422" customFormat="1" ht="11.25">
      <c r="A2114" s="421" t="s">
        <v>598</v>
      </c>
      <c r="B2114" s="421"/>
      <c r="C2114" s="421"/>
    </row>
    <row r="2115" spans="1:8" s="422" customFormat="1" ht="11.25">
      <c r="A2115" s="452" t="s">
        <v>599</v>
      </c>
      <c r="B2115" s="447"/>
      <c r="C2115" s="447"/>
      <c r="D2115" s="447"/>
      <c r="E2115" s="439" t="s">
        <v>375</v>
      </c>
      <c r="F2115" s="439" t="s">
        <v>9</v>
      </c>
      <c r="G2115" s="439" t="s">
        <v>131</v>
      </c>
      <c r="H2115" s="439" t="s">
        <v>424</v>
      </c>
    </row>
    <row r="2116" spans="1:8" s="422" customFormat="1" ht="11.25">
      <c r="A2116" s="448" t="s">
        <v>433</v>
      </c>
      <c r="B2116" s="449"/>
      <c r="C2116" s="449"/>
      <c r="D2116" s="449"/>
      <c r="E2116" s="438">
        <v>114792.57</v>
      </c>
      <c r="F2116" s="438">
        <v>131900.84</v>
      </c>
      <c r="G2116" s="438">
        <v>131900.84</v>
      </c>
      <c r="H2116" s="438">
        <v>131900.84</v>
      </c>
    </row>
    <row r="2117" spans="1:8" s="422" customFormat="1" ht="11.25">
      <c r="A2117" s="448"/>
      <c r="B2117" s="449"/>
      <c r="C2117" s="449"/>
      <c r="D2117" s="449"/>
      <c r="E2117" s="438">
        <v>0</v>
      </c>
      <c r="F2117" s="438">
        <v>0</v>
      </c>
      <c r="G2117" s="438">
        <v>0</v>
      </c>
      <c r="H2117" s="438">
        <v>0</v>
      </c>
    </row>
    <row r="2118" spans="1:8" s="422" customFormat="1" ht="11.25">
      <c r="A2118" s="448"/>
      <c r="B2118" s="449"/>
      <c r="C2118" s="449"/>
      <c r="D2118" s="449"/>
      <c r="E2118" s="438">
        <v>0</v>
      </c>
      <c r="F2118" s="438">
        <v>0</v>
      </c>
      <c r="G2118" s="438">
        <v>0</v>
      </c>
      <c r="H2118" s="438">
        <v>0</v>
      </c>
    </row>
    <row r="2119" spans="1:8" s="421" customFormat="1" ht="11.25">
      <c r="A2119" s="421" t="s">
        <v>391</v>
      </c>
      <c r="D2119" s="421" t="s">
        <v>472</v>
      </c>
    </row>
    <row r="2120" spans="1:8" s="422" customFormat="1" ht="11.25"/>
    <row r="2121" spans="1:8" s="421" customFormat="1" ht="11.25" customHeight="1">
      <c r="A2121" s="423" t="s">
        <v>392</v>
      </c>
      <c r="D2121" s="421" t="s">
        <v>145</v>
      </c>
    </row>
    <row r="2122" spans="1:8" s="421" customFormat="1" ht="7.5" customHeight="1">
      <c r="A2122" s="423"/>
    </row>
    <row r="2123" spans="1:8" s="421" customFormat="1" ht="11.25">
      <c r="A2123" s="424" t="s">
        <v>393</v>
      </c>
      <c r="D2123" s="583" t="s">
        <v>29</v>
      </c>
      <c r="E2123" s="583"/>
      <c r="F2123" s="583"/>
      <c r="G2123" s="583"/>
      <c r="H2123" s="583"/>
    </row>
    <row r="2124" spans="1:8" s="421" customFormat="1" ht="7.5" customHeight="1"/>
    <row r="2125" spans="1:8" s="422" customFormat="1" ht="11.25">
      <c r="A2125" s="421" t="s">
        <v>170</v>
      </c>
      <c r="B2125" s="421"/>
      <c r="C2125" s="421"/>
      <c r="D2125" s="422" t="s">
        <v>227</v>
      </c>
      <c r="E2125" s="422" t="s">
        <v>228</v>
      </c>
    </row>
    <row r="2126" spans="1:8" s="422" customFormat="1" ht="7.5" customHeight="1"/>
    <row r="2127" spans="1:8" s="427" customFormat="1" ht="11.25">
      <c r="A2127" s="425" t="s">
        <v>587</v>
      </c>
      <c r="B2127" s="425"/>
      <c r="C2127" s="425"/>
      <c r="D2127" s="426" t="s">
        <v>819</v>
      </c>
      <c r="E2127" s="584" t="s">
        <v>820</v>
      </c>
      <c r="F2127" s="584"/>
      <c r="G2127" s="584"/>
      <c r="H2127" s="584"/>
    </row>
    <row r="2128" spans="1:8" s="427" customFormat="1" ht="11.25">
      <c r="A2128" s="425"/>
      <c r="B2128" s="425"/>
      <c r="C2128" s="425"/>
      <c r="D2128" s="426" t="s">
        <v>821</v>
      </c>
      <c r="E2128" s="584" t="s">
        <v>822</v>
      </c>
      <c r="F2128" s="584"/>
      <c r="G2128" s="584"/>
      <c r="H2128" s="584"/>
    </row>
    <row r="2129" spans="1:8" s="427" customFormat="1" ht="11.25">
      <c r="A2129" s="425"/>
      <c r="B2129" s="425"/>
      <c r="C2129" s="425"/>
      <c r="D2129" s="426"/>
      <c r="E2129" s="584"/>
      <c r="F2129" s="584"/>
      <c r="G2129" s="584"/>
      <c r="H2129" s="584"/>
    </row>
    <row r="2130" spans="1:8" s="427" customFormat="1" ht="11.25"/>
    <row r="2131" spans="1:8" s="422" customFormat="1" ht="11.25"/>
    <row r="2132" spans="1:8" s="422" customFormat="1" ht="11.25">
      <c r="A2132" s="421" t="s">
        <v>589</v>
      </c>
      <c r="B2132" s="421"/>
      <c r="C2132" s="421"/>
    </row>
    <row r="2133" spans="1:8" s="429" customFormat="1" ht="11.25">
      <c r="A2133" s="428"/>
      <c r="B2133" s="428"/>
      <c r="C2133" s="428"/>
    </row>
    <row r="2134" spans="1:8" s="429" customFormat="1" ht="4.5" customHeight="1">
      <c r="A2134" s="428"/>
      <c r="B2134" s="428"/>
      <c r="C2134" s="428"/>
    </row>
    <row r="2135" spans="1:8" s="429" customFormat="1" ht="5.25" customHeight="1">
      <c r="A2135" s="428"/>
      <c r="B2135" s="428"/>
      <c r="C2135" s="428"/>
    </row>
    <row r="2136" spans="1:8" s="429" customFormat="1" ht="7.5" customHeight="1">
      <c r="A2136" s="428"/>
      <c r="B2136" s="428"/>
      <c r="C2136" s="428"/>
    </row>
    <row r="2137" spans="1:8" s="422" customFormat="1" ht="9" customHeight="1">
      <c r="A2137" s="430"/>
      <c r="B2137" s="430"/>
      <c r="C2137" s="430"/>
      <c r="D2137" s="430"/>
      <c r="E2137" s="430"/>
      <c r="F2137" s="430"/>
      <c r="G2137" s="430"/>
      <c r="H2137" s="430"/>
    </row>
    <row r="2138" spans="1:8" s="422" customFormat="1" ht="22.5" customHeight="1">
      <c r="A2138" s="585" t="s">
        <v>590</v>
      </c>
      <c r="B2138" s="585"/>
      <c r="C2138" s="585"/>
      <c r="D2138" s="586"/>
      <c r="E2138" s="586"/>
      <c r="F2138" s="586"/>
      <c r="G2138" s="586"/>
      <c r="H2138" s="586"/>
    </row>
    <row r="2139" spans="1:8" s="429" customFormat="1" ht="11.25">
      <c r="A2139" s="431"/>
      <c r="B2139" s="431"/>
      <c r="C2139" s="431"/>
      <c r="D2139" s="432"/>
      <c r="E2139" s="432"/>
      <c r="F2139" s="432"/>
      <c r="G2139" s="432"/>
      <c r="H2139" s="432"/>
    </row>
    <row r="2140" spans="1:8" s="429" customFormat="1" ht="11.25">
      <c r="A2140" s="431"/>
      <c r="B2140" s="431"/>
      <c r="C2140" s="431"/>
      <c r="D2140" s="432"/>
      <c r="E2140" s="432"/>
      <c r="F2140" s="432"/>
      <c r="G2140" s="432"/>
      <c r="H2140" s="432"/>
    </row>
    <row r="2141" spans="1:8" s="429" customFormat="1" ht="11.25">
      <c r="A2141" s="431"/>
      <c r="B2141" s="431"/>
      <c r="C2141" s="431"/>
      <c r="D2141" s="432"/>
      <c r="E2141" s="432"/>
      <c r="F2141" s="432"/>
      <c r="G2141" s="432"/>
      <c r="H2141" s="432"/>
    </row>
    <row r="2142" spans="1:8" s="429" customFormat="1" ht="40.5" customHeight="1">
      <c r="A2142" s="431"/>
      <c r="B2142" s="431"/>
      <c r="C2142" s="431"/>
      <c r="D2142" s="432"/>
      <c r="E2142" s="432"/>
      <c r="F2142" s="432"/>
      <c r="G2142" s="432"/>
      <c r="H2142" s="432"/>
    </row>
    <row r="2143" spans="1:8" s="422" customFormat="1" ht="12.75" customHeight="1"/>
    <row r="2144" spans="1:8" s="422" customFormat="1" ht="11.25">
      <c r="A2144" s="421"/>
      <c r="B2144" s="421"/>
      <c r="C2144" s="421"/>
    </row>
    <row r="2145" spans="1:8" s="429" customFormat="1" ht="11.25">
      <c r="A2145" s="428"/>
      <c r="B2145" s="428"/>
      <c r="C2145" s="428"/>
    </row>
    <row r="2146" spans="1:8" s="429" customFormat="1" ht="11.25">
      <c r="A2146" s="428"/>
      <c r="B2146" s="428"/>
      <c r="C2146" s="428"/>
    </row>
    <row r="2147" spans="1:8" s="429" customFormat="1" ht="11.25">
      <c r="A2147" s="428" t="s">
        <v>591</v>
      </c>
      <c r="B2147" s="428"/>
      <c r="C2147" s="428"/>
    </row>
    <row r="2148" spans="1:8" s="429" customFormat="1" ht="11.25">
      <c r="A2148" s="428"/>
      <c r="B2148" s="428"/>
      <c r="C2148" s="428"/>
    </row>
    <row r="2149" spans="1:8" s="429" customFormat="1" ht="11.25">
      <c r="A2149" s="428"/>
      <c r="B2149" s="428"/>
      <c r="C2149" s="428"/>
    </row>
    <row r="2150" spans="1:8" s="429" customFormat="1" ht="11.25">
      <c r="A2150" s="428"/>
      <c r="B2150" s="428"/>
      <c r="C2150" s="428"/>
    </row>
    <row r="2151" spans="1:8" s="429" customFormat="1" ht="11.25">
      <c r="A2151" s="428"/>
      <c r="B2151" s="428"/>
      <c r="C2151" s="428"/>
    </row>
    <row r="2152" spans="1:8" s="422" customFormat="1" ht="11.25"/>
    <row r="2153" spans="1:8" s="422" customFormat="1" ht="11.25">
      <c r="A2153" s="433" t="s">
        <v>592</v>
      </c>
      <c r="B2153" s="434"/>
      <c r="C2153" s="434"/>
      <c r="D2153" s="434"/>
      <c r="E2153" s="434"/>
      <c r="F2153" s="434"/>
      <c r="G2153" s="434"/>
      <c r="H2153" s="434"/>
    </row>
    <row r="2154" spans="1:8" s="429" customFormat="1" ht="11.25">
      <c r="A2154" s="435"/>
      <c r="B2154" s="436"/>
      <c r="C2154" s="436"/>
      <c r="D2154" s="436"/>
      <c r="E2154" s="436"/>
      <c r="F2154" s="436"/>
      <c r="G2154" s="436"/>
      <c r="H2154" s="436"/>
    </row>
    <row r="2155" spans="1:8" s="429" customFormat="1" ht="11.25">
      <c r="A2155" s="435"/>
      <c r="B2155" s="436"/>
      <c r="C2155" s="436"/>
      <c r="D2155" s="436"/>
      <c r="E2155" s="436"/>
      <c r="F2155" s="436"/>
      <c r="G2155" s="436"/>
      <c r="H2155" s="436"/>
    </row>
    <row r="2156" spans="1:8" s="429" customFormat="1" ht="11.25">
      <c r="A2156" s="435"/>
      <c r="B2156" s="436"/>
      <c r="C2156" s="436"/>
      <c r="D2156" s="436"/>
      <c r="E2156" s="436"/>
      <c r="F2156" s="436"/>
      <c r="G2156" s="436"/>
      <c r="H2156" s="436"/>
    </row>
    <row r="2157" spans="1:8" s="422" customFormat="1" ht="11.25">
      <c r="A2157" s="437"/>
      <c r="B2157" s="437"/>
      <c r="C2157" s="437"/>
      <c r="D2157" s="437"/>
      <c r="E2157" s="437"/>
      <c r="F2157" s="437"/>
      <c r="G2157" s="437"/>
      <c r="H2157" s="437"/>
    </row>
    <row r="2158" spans="1:8" s="422" customFormat="1" ht="11.25">
      <c r="A2158" s="421" t="s">
        <v>593</v>
      </c>
      <c r="B2158" s="421"/>
      <c r="C2158" s="421"/>
    </row>
    <row r="2159" spans="1:8" s="422" customFormat="1" ht="11.25">
      <c r="A2159" s="438"/>
      <c r="B2159" s="439" t="s">
        <v>132</v>
      </c>
      <c r="C2159" s="439" t="s">
        <v>473</v>
      </c>
      <c r="D2159" s="439" t="s">
        <v>474</v>
      </c>
      <c r="E2159" s="439" t="s">
        <v>375</v>
      </c>
      <c r="F2159" s="439" t="s">
        <v>9</v>
      </c>
      <c r="G2159" s="439" t="s">
        <v>131</v>
      </c>
      <c r="H2159" s="439" t="s">
        <v>424</v>
      </c>
    </row>
    <row r="2160" spans="1:8" s="422" customFormat="1" ht="11.25">
      <c r="A2160" s="439" t="s">
        <v>394</v>
      </c>
      <c r="B2160" s="438">
        <v>19223711.840000004</v>
      </c>
      <c r="C2160" s="438">
        <v>18743464.810000002</v>
      </c>
      <c r="D2160" s="438">
        <v>18926289.18</v>
      </c>
      <c r="E2160" s="438">
        <v>19302470.367299996</v>
      </c>
      <c r="F2160" s="438">
        <v>19498470.367299996</v>
      </c>
      <c r="G2160" s="438">
        <v>19713216.923519999</v>
      </c>
      <c r="H2160" s="438">
        <v>19789912.122169998</v>
      </c>
    </row>
    <row r="2161" spans="1:8" s="422" customFormat="1" ht="11.25">
      <c r="A2161" s="439" t="s">
        <v>395</v>
      </c>
      <c r="B2161" s="438">
        <v>-19782394.5</v>
      </c>
      <c r="C2161" s="438">
        <v>-18746033.66</v>
      </c>
      <c r="D2161" s="438">
        <v>-18926289.18</v>
      </c>
      <c r="E2161" s="438">
        <v>-19302470.68</v>
      </c>
      <c r="F2161" s="438">
        <v>-19498470.68</v>
      </c>
      <c r="G2161" s="438">
        <v>-19713217.18</v>
      </c>
      <c r="H2161" s="438">
        <v>-19789912.18</v>
      </c>
    </row>
    <row r="2162" spans="1:8" s="422" customFormat="1" ht="11.25">
      <c r="A2162" s="439" t="s">
        <v>396</v>
      </c>
      <c r="B2162" s="438">
        <v>-558682.65999999642</v>
      </c>
      <c r="C2162" s="438">
        <v>-2568.8499999977648</v>
      </c>
      <c r="D2162" s="438">
        <v>0</v>
      </c>
      <c r="E2162" s="438">
        <v>-0.31270000338554382</v>
      </c>
      <c r="F2162" s="438">
        <v>-0.31270000338554382</v>
      </c>
      <c r="G2162" s="438">
        <v>-0.25648000091314316</v>
      </c>
      <c r="H2162" s="438">
        <v>-5.7830002158880234E-2</v>
      </c>
    </row>
    <row r="2163" spans="1:8" s="442" customFormat="1" ht="11.25">
      <c r="A2163" s="440" t="s">
        <v>397</v>
      </c>
      <c r="B2163" s="441">
        <v>1.029062163678375</v>
      </c>
      <c r="C2163" s="441">
        <v>1.0001370531022966</v>
      </c>
      <c r="D2163" s="441">
        <v>1</v>
      </c>
      <c r="E2163" s="441">
        <v>1.0000000161999991</v>
      </c>
      <c r="F2163" s="441">
        <v>1.0000000160371556</v>
      </c>
      <c r="G2163" s="441">
        <v>1.0000000130105604</v>
      </c>
      <c r="H2163" s="441">
        <v>1.000000002922196</v>
      </c>
    </row>
    <row r="2164" spans="1:8" s="422" customFormat="1" ht="11.25"/>
    <row r="2165" spans="1:8" s="422" customFormat="1" ht="11.25">
      <c r="A2165" s="443" t="s">
        <v>594</v>
      </c>
      <c r="B2165" s="443"/>
      <c r="C2165" s="444"/>
    </row>
    <row r="2166" spans="1:8" s="422" customFormat="1" ht="11.25">
      <c r="A2166" s="445" t="s">
        <v>595</v>
      </c>
      <c r="B2166" s="446"/>
      <c r="C2166" s="447"/>
      <c r="D2166" s="439" t="s">
        <v>474</v>
      </c>
      <c r="E2166" s="439" t="s">
        <v>375</v>
      </c>
      <c r="F2166" s="439" t="s">
        <v>9</v>
      </c>
      <c r="G2166" s="439" t="s">
        <v>131</v>
      </c>
      <c r="H2166" s="439" t="s">
        <v>424</v>
      </c>
    </row>
    <row r="2167" spans="1:8" s="422" customFormat="1" ht="11.25">
      <c r="A2167" s="448" t="s">
        <v>823</v>
      </c>
      <c r="B2167" s="449"/>
      <c r="C2167" s="449"/>
      <c r="D2167" s="463">
        <v>0.8</v>
      </c>
      <c r="E2167" s="463">
        <v>0.8</v>
      </c>
      <c r="F2167" s="463">
        <v>0.8</v>
      </c>
      <c r="G2167" s="463">
        <v>0.8</v>
      </c>
      <c r="H2167" s="463">
        <v>0.8</v>
      </c>
    </row>
    <row r="2168" spans="1:8" s="422" customFormat="1" ht="11.25">
      <c r="A2168" s="448" t="s">
        <v>740</v>
      </c>
      <c r="B2168" s="449"/>
      <c r="C2168" s="449"/>
      <c r="D2168" s="438"/>
      <c r="E2168" s="438"/>
      <c r="F2168" s="438"/>
      <c r="G2168" s="438"/>
      <c r="H2168" s="438"/>
    </row>
    <row r="2169" spans="1:8" s="422" customFormat="1" ht="11.25">
      <c r="A2169" s="448" t="s">
        <v>741</v>
      </c>
      <c r="B2169" s="449"/>
      <c r="C2169" s="449"/>
      <c r="D2169" s="438"/>
      <c r="E2169" s="438"/>
      <c r="F2169" s="438"/>
      <c r="G2169" s="438"/>
      <c r="H2169" s="438"/>
    </row>
    <row r="2170" spans="1:8" s="422" customFormat="1" ht="11.25"/>
    <row r="2171" spans="1:8" s="422" customFormat="1" ht="11.25">
      <c r="A2171" s="421" t="s">
        <v>423</v>
      </c>
      <c r="B2171" s="421"/>
      <c r="C2171" s="421"/>
    </row>
    <row r="2172" spans="1:8" s="422" customFormat="1" ht="11.25">
      <c r="A2172" s="450"/>
      <c r="B2172" s="439" t="s">
        <v>132</v>
      </c>
      <c r="C2172" s="439" t="s">
        <v>473</v>
      </c>
      <c r="D2172" s="439" t="s">
        <v>474</v>
      </c>
      <c r="E2172" s="439" t="s">
        <v>375</v>
      </c>
      <c r="F2172" s="439" t="s">
        <v>9</v>
      </c>
      <c r="G2172" s="439" t="s">
        <v>131</v>
      </c>
      <c r="H2172" s="439" t="s">
        <v>424</v>
      </c>
    </row>
    <row r="2173" spans="1:8" s="422" customFormat="1" ht="11.25">
      <c r="A2173" s="451" t="s">
        <v>398</v>
      </c>
      <c r="B2173" s="438">
        <v>0</v>
      </c>
      <c r="C2173" s="438">
        <v>0</v>
      </c>
      <c r="D2173" s="438">
        <v>0</v>
      </c>
      <c r="E2173" s="438">
        <v>0</v>
      </c>
      <c r="F2173" s="438">
        <v>0</v>
      </c>
      <c r="G2173" s="438">
        <v>0</v>
      </c>
      <c r="H2173" s="438">
        <v>0</v>
      </c>
    </row>
    <row r="2174" spans="1:8" s="422" customFormat="1" ht="11.25">
      <c r="A2174" s="451" t="s">
        <v>399</v>
      </c>
      <c r="B2174" s="438">
        <v>0</v>
      </c>
      <c r="C2174" s="438">
        <v>0</v>
      </c>
      <c r="D2174" s="438">
        <v>0</v>
      </c>
      <c r="E2174" s="438">
        <v>0</v>
      </c>
      <c r="F2174" s="438">
        <v>0</v>
      </c>
      <c r="G2174" s="438">
        <v>0</v>
      </c>
      <c r="H2174" s="438">
        <v>0</v>
      </c>
    </row>
    <row r="2175" spans="1:8" s="422" customFormat="1" ht="11.25">
      <c r="A2175" s="451" t="s">
        <v>400</v>
      </c>
      <c r="B2175" s="438">
        <v>0</v>
      </c>
      <c r="C2175" s="438">
        <v>0</v>
      </c>
      <c r="D2175" s="438">
        <v>0</v>
      </c>
      <c r="E2175" s="438">
        <v>0</v>
      </c>
      <c r="F2175" s="438">
        <v>0</v>
      </c>
      <c r="G2175" s="438">
        <v>0</v>
      </c>
      <c r="H2175" s="438">
        <v>0</v>
      </c>
    </row>
    <row r="2176" spans="1:8" s="422" customFormat="1" ht="11.25">
      <c r="A2176" s="451" t="s">
        <v>401</v>
      </c>
      <c r="B2176" s="438">
        <v>0</v>
      </c>
      <c r="C2176" s="438">
        <v>0</v>
      </c>
      <c r="D2176" s="438">
        <v>0</v>
      </c>
      <c r="E2176" s="438">
        <v>0</v>
      </c>
      <c r="F2176" s="438">
        <v>0</v>
      </c>
      <c r="G2176" s="438">
        <v>0</v>
      </c>
      <c r="H2176" s="438">
        <v>0</v>
      </c>
    </row>
    <row r="2177" spans="1:8" s="422" customFormat="1" ht="11.25"/>
    <row r="2178" spans="1:8" s="422" customFormat="1" ht="11.25">
      <c r="A2178" s="421" t="s">
        <v>597</v>
      </c>
      <c r="B2178" s="421"/>
      <c r="C2178" s="421"/>
    </row>
    <row r="2179" spans="1:8" s="429" customFormat="1" ht="11.25">
      <c r="A2179" s="428"/>
      <c r="B2179" s="428"/>
      <c r="C2179" s="428"/>
    </row>
    <row r="2180" spans="1:8" s="429" customFormat="1" ht="4.5" customHeight="1">
      <c r="A2180" s="428"/>
      <c r="B2180" s="428"/>
      <c r="C2180" s="428"/>
    </row>
    <row r="2181" spans="1:8" s="429" customFormat="1" ht="11.25">
      <c r="A2181" s="428"/>
      <c r="B2181" s="428"/>
      <c r="C2181" s="428"/>
    </row>
    <row r="2182" spans="1:8" s="422" customFormat="1" ht="11.25"/>
    <row r="2183" spans="1:8" s="422" customFormat="1" ht="11.25">
      <c r="A2183" s="421" t="s">
        <v>598</v>
      </c>
      <c r="B2183" s="421"/>
      <c r="C2183" s="421"/>
    </row>
    <row r="2184" spans="1:8" s="422" customFormat="1" ht="11.25">
      <c r="A2184" s="452" t="s">
        <v>599</v>
      </c>
      <c r="B2184" s="447"/>
      <c r="C2184" s="447"/>
      <c r="D2184" s="447"/>
      <c r="E2184" s="439" t="s">
        <v>375</v>
      </c>
      <c r="F2184" s="439" t="s">
        <v>9</v>
      </c>
      <c r="G2184" s="439" t="s">
        <v>131</v>
      </c>
      <c r="H2184" s="439" t="s">
        <v>424</v>
      </c>
    </row>
    <row r="2185" spans="1:8" s="422" customFormat="1" ht="11.25">
      <c r="A2185" s="448"/>
      <c r="B2185" s="449"/>
      <c r="C2185" s="449"/>
      <c r="D2185" s="449"/>
      <c r="E2185" s="438">
        <v>0</v>
      </c>
      <c r="F2185" s="438">
        <v>0</v>
      </c>
      <c r="G2185" s="438">
        <v>0</v>
      </c>
      <c r="H2185" s="438">
        <v>0</v>
      </c>
    </row>
    <row r="2186" spans="1:8" s="422" customFormat="1" ht="11.25">
      <c r="A2186" s="448"/>
      <c r="B2186" s="449"/>
      <c r="C2186" s="449"/>
      <c r="D2186" s="449"/>
      <c r="E2186" s="438">
        <v>0</v>
      </c>
      <c r="F2186" s="438">
        <v>0</v>
      </c>
      <c r="G2186" s="438">
        <v>0</v>
      </c>
      <c r="H2186" s="438">
        <v>0</v>
      </c>
    </row>
    <row r="2187" spans="1:8" s="422" customFormat="1" ht="11.25">
      <c r="A2187" s="448"/>
      <c r="B2187" s="449"/>
      <c r="C2187" s="449"/>
      <c r="D2187" s="449"/>
      <c r="E2187" s="438">
        <v>0</v>
      </c>
      <c r="F2187" s="438">
        <v>0</v>
      </c>
      <c r="G2187" s="438">
        <v>0</v>
      </c>
      <c r="H2187" s="438">
        <v>0</v>
      </c>
    </row>
    <row r="2188" spans="1:8" s="421" customFormat="1" ht="11.25">
      <c r="A2188" s="421" t="s">
        <v>391</v>
      </c>
      <c r="D2188" s="421" t="s">
        <v>472</v>
      </c>
    </row>
    <row r="2189" spans="1:8" s="422" customFormat="1" ht="11.25"/>
    <row r="2190" spans="1:8" s="421" customFormat="1" ht="11.25" customHeight="1">
      <c r="A2190" s="423" t="s">
        <v>392</v>
      </c>
      <c r="D2190" s="421" t="s">
        <v>145</v>
      </c>
    </row>
    <row r="2191" spans="1:8" s="421" customFormat="1" ht="7.5" customHeight="1">
      <c r="A2191" s="423"/>
    </row>
    <row r="2192" spans="1:8" s="421" customFormat="1" ht="11.25">
      <c r="A2192" s="424" t="s">
        <v>393</v>
      </c>
      <c r="D2192" s="583" t="s">
        <v>29</v>
      </c>
      <c r="E2192" s="583"/>
      <c r="F2192" s="583"/>
      <c r="G2192" s="583"/>
      <c r="H2192" s="583"/>
    </row>
    <row r="2193" spans="1:8" s="421" customFormat="1" ht="7.5" customHeight="1"/>
    <row r="2194" spans="1:8" s="422" customFormat="1" ht="11.25">
      <c r="A2194" s="421" t="s">
        <v>170</v>
      </c>
      <c r="B2194" s="421"/>
      <c r="C2194" s="421"/>
      <c r="D2194" s="422" t="s">
        <v>229</v>
      </c>
      <c r="E2194" s="422" t="s">
        <v>230</v>
      </c>
    </row>
    <row r="2195" spans="1:8" s="422" customFormat="1" ht="7.5" customHeight="1"/>
    <row r="2196" spans="1:8" s="427" customFormat="1" ht="11.25">
      <c r="A2196" s="425" t="s">
        <v>587</v>
      </c>
      <c r="B2196" s="425"/>
      <c r="C2196" s="425"/>
      <c r="D2196" s="426" t="s">
        <v>824</v>
      </c>
      <c r="E2196" s="584" t="s">
        <v>825</v>
      </c>
      <c r="F2196" s="584"/>
      <c r="G2196" s="584"/>
      <c r="H2196" s="584"/>
    </row>
    <row r="2197" spans="1:8" s="427" customFormat="1" ht="11.25">
      <c r="A2197" s="425"/>
      <c r="B2197" s="425"/>
      <c r="C2197" s="425"/>
      <c r="D2197" s="426"/>
      <c r="E2197" s="584"/>
      <c r="F2197" s="584"/>
      <c r="G2197" s="584"/>
      <c r="H2197" s="584"/>
    </row>
    <row r="2198" spans="1:8" s="427" customFormat="1" ht="11.25"/>
    <row r="2199" spans="1:8" s="422" customFormat="1" ht="11.25"/>
    <row r="2200" spans="1:8" s="422" customFormat="1" ht="11.25">
      <c r="A2200" s="421" t="s">
        <v>589</v>
      </c>
      <c r="B2200" s="421"/>
      <c r="C2200" s="421"/>
    </row>
    <row r="2201" spans="1:8" s="429" customFormat="1" ht="11.25">
      <c r="A2201" s="428"/>
      <c r="B2201" s="428"/>
      <c r="C2201" s="428"/>
    </row>
    <row r="2202" spans="1:8" s="429" customFormat="1" ht="11.25">
      <c r="A2202" s="428"/>
      <c r="B2202" s="428"/>
      <c r="C2202" s="428"/>
    </row>
    <row r="2203" spans="1:8" s="429" customFormat="1" ht="11.25">
      <c r="A2203" s="428"/>
      <c r="B2203" s="428"/>
      <c r="C2203" s="428"/>
    </row>
    <row r="2204" spans="1:8" s="429" customFormat="1" ht="11.25">
      <c r="A2204" s="428"/>
      <c r="B2204" s="428"/>
      <c r="C2204" s="428"/>
    </row>
    <row r="2205" spans="1:8" s="429" customFormat="1" ht="11.25">
      <c r="A2205" s="428"/>
      <c r="B2205" s="428"/>
      <c r="C2205" s="428"/>
    </row>
    <row r="2206" spans="1:8" s="429" customFormat="1" ht="11.25">
      <c r="A2206" s="428"/>
      <c r="B2206" s="428"/>
      <c r="C2206" s="428"/>
    </row>
    <row r="2207" spans="1:8" s="422" customFormat="1" ht="9" customHeight="1">
      <c r="A2207" s="430"/>
      <c r="B2207" s="430"/>
      <c r="C2207" s="430"/>
      <c r="D2207" s="430"/>
      <c r="E2207" s="430"/>
      <c r="F2207" s="430"/>
      <c r="G2207" s="430"/>
      <c r="H2207" s="430"/>
    </row>
    <row r="2208" spans="1:8" s="422" customFormat="1" ht="22.5" customHeight="1">
      <c r="A2208" s="585" t="s">
        <v>590</v>
      </c>
      <c r="B2208" s="585"/>
      <c r="C2208" s="585"/>
      <c r="D2208" s="586"/>
      <c r="E2208" s="586"/>
      <c r="F2208" s="586"/>
      <c r="G2208" s="586"/>
      <c r="H2208" s="586"/>
    </row>
    <row r="2209" spans="1:8" s="429" customFormat="1" ht="11.25">
      <c r="A2209" s="431"/>
      <c r="B2209" s="431"/>
      <c r="C2209" s="431"/>
      <c r="D2209" s="432"/>
      <c r="E2209" s="432"/>
      <c r="F2209" s="432"/>
      <c r="G2209" s="432"/>
      <c r="H2209" s="432"/>
    </row>
    <row r="2210" spans="1:8" s="429" customFormat="1" ht="11.25">
      <c r="A2210" s="431"/>
      <c r="B2210" s="431"/>
      <c r="C2210" s="431"/>
      <c r="D2210" s="432"/>
      <c r="E2210" s="432"/>
      <c r="F2210" s="432"/>
      <c r="G2210" s="432"/>
      <c r="H2210" s="432"/>
    </row>
    <row r="2211" spans="1:8" s="429" customFormat="1" ht="11.25">
      <c r="A2211" s="431"/>
      <c r="B2211" s="431"/>
      <c r="C2211" s="431"/>
      <c r="D2211" s="432"/>
      <c r="E2211" s="432"/>
      <c r="F2211" s="432"/>
      <c r="G2211" s="432"/>
      <c r="H2211" s="432"/>
    </row>
    <row r="2212" spans="1:8" s="429" customFormat="1" ht="11.25">
      <c r="A2212" s="431"/>
      <c r="B2212" s="431"/>
      <c r="C2212" s="431"/>
      <c r="D2212" s="432"/>
      <c r="E2212" s="432"/>
      <c r="F2212" s="432"/>
      <c r="G2212" s="432"/>
      <c r="H2212" s="432"/>
    </row>
    <row r="2213" spans="1:8" s="422" customFormat="1" ht="9" customHeight="1"/>
    <row r="2214" spans="1:8" s="422" customFormat="1" ht="11.25">
      <c r="A2214" s="421" t="s">
        <v>591</v>
      </c>
      <c r="B2214" s="421"/>
      <c r="C2214" s="421"/>
    </row>
    <row r="2215" spans="1:8" s="429" customFormat="1" ht="11.25">
      <c r="A2215" s="428"/>
      <c r="B2215" s="428"/>
      <c r="C2215" s="428"/>
    </row>
    <row r="2216" spans="1:8" s="429" customFormat="1" ht="11.25">
      <c r="A2216" s="428"/>
      <c r="B2216" s="428"/>
      <c r="C2216" s="428"/>
    </row>
    <row r="2217" spans="1:8" s="429" customFormat="1" ht="11.25">
      <c r="A2217" s="428"/>
      <c r="B2217" s="428"/>
      <c r="C2217" s="428"/>
    </row>
    <row r="2218" spans="1:8" s="429" customFormat="1" ht="11.25">
      <c r="A2218" s="428"/>
      <c r="B2218" s="428"/>
      <c r="C2218" s="428"/>
    </row>
    <row r="2219" spans="1:8" s="429" customFormat="1" ht="11.25">
      <c r="A2219" s="428"/>
      <c r="B2219" s="428"/>
      <c r="C2219" s="428"/>
    </row>
    <row r="2220" spans="1:8" s="422" customFormat="1" ht="9" customHeight="1"/>
    <row r="2221" spans="1:8" s="422" customFormat="1" ht="11.25">
      <c r="A2221" s="433" t="s">
        <v>592</v>
      </c>
      <c r="B2221" s="434"/>
      <c r="C2221" s="434"/>
      <c r="D2221" s="434"/>
      <c r="E2221" s="434"/>
      <c r="F2221" s="434"/>
      <c r="G2221" s="434"/>
      <c r="H2221" s="434"/>
    </row>
    <row r="2222" spans="1:8" s="429" customFormat="1" ht="11.25">
      <c r="A2222" s="435"/>
      <c r="B2222" s="436"/>
      <c r="C2222" s="436"/>
      <c r="D2222" s="436"/>
      <c r="E2222" s="436"/>
      <c r="F2222" s="436"/>
      <c r="G2222" s="436"/>
      <c r="H2222" s="436"/>
    </row>
    <row r="2223" spans="1:8" s="429" customFormat="1" ht="11.25">
      <c r="A2223" s="435"/>
      <c r="B2223" s="436"/>
      <c r="C2223" s="436"/>
      <c r="D2223" s="436"/>
      <c r="E2223" s="436"/>
      <c r="F2223" s="436"/>
      <c r="G2223" s="436"/>
      <c r="H2223" s="436"/>
    </row>
    <row r="2224" spans="1:8" s="422" customFormat="1" ht="11.25">
      <c r="A2224" s="437"/>
      <c r="B2224" s="437"/>
      <c r="C2224" s="437"/>
      <c r="D2224" s="437"/>
      <c r="E2224" s="437"/>
      <c r="F2224" s="437"/>
      <c r="G2224" s="437"/>
      <c r="H2224" s="437"/>
    </row>
    <row r="2225" spans="1:8" s="422" customFormat="1" ht="11.25">
      <c r="A2225" s="421" t="s">
        <v>593</v>
      </c>
      <c r="B2225" s="421"/>
      <c r="C2225" s="421"/>
    </row>
    <row r="2226" spans="1:8" s="422" customFormat="1" ht="11.25">
      <c r="A2226" s="438"/>
      <c r="B2226" s="439" t="s">
        <v>132</v>
      </c>
      <c r="C2226" s="439" t="s">
        <v>473</v>
      </c>
      <c r="D2226" s="439" t="s">
        <v>474</v>
      </c>
      <c r="E2226" s="439" t="s">
        <v>375</v>
      </c>
      <c r="F2226" s="439" t="s">
        <v>9</v>
      </c>
      <c r="G2226" s="439" t="s">
        <v>131</v>
      </c>
      <c r="H2226" s="439" t="s">
        <v>424</v>
      </c>
    </row>
    <row r="2227" spans="1:8" s="422" customFormat="1" ht="11.25">
      <c r="A2227" s="439" t="s">
        <v>394</v>
      </c>
      <c r="B2227" s="438">
        <v>203743.84000000003</v>
      </c>
      <c r="C2227" s="438">
        <v>212627.17000000004</v>
      </c>
      <c r="D2227" s="438">
        <v>314077</v>
      </c>
      <c r="E2227" s="438">
        <v>272466.53449999995</v>
      </c>
      <c r="F2227" s="438">
        <v>272466.53449999995</v>
      </c>
      <c r="G2227" s="438">
        <v>275580.58879999997</v>
      </c>
      <c r="H2227" s="438">
        <v>276692.7510499999</v>
      </c>
    </row>
    <row r="2228" spans="1:8" s="422" customFormat="1" ht="11.25">
      <c r="A2228" s="439" t="s">
        <v>395</v>
      </c>
      <c r="B2228" s="438">
        <v>-208486.52000000002</v>
      </c>
      <c r="C2228" s="438">
        <v>-222069.42</v>
      </c>
      <c r="D2228" s="438">
        <v>-324746.21999999997</v>
      </c>
      <c r="E2228" s="438">
        <v>-272466.21999999997</v>
      </c>
      <c r="F2228" s="438">
        <v>-272466.21999999997</v>
      </c>
      <c r="G2228" s="438">
        <v>-275580.21999999997</v>
      </c>
      <c r="H2228" s="438">
        <v>-276693.21999999997</v>
      </c>
    </row>
    <row r="2229" spans="1:8" s="422" customFormat="1" ht="11.25">
      <c r="A2229" s="439" t="s">
        <v>396</v>
      </c>
      <c r="B2229" s="438">
        <v>-4742.679999999993</v>
      </c>
      <c r="C2229" s="438">
        <v>-9442.2499999999709</v>
      </c>
      <c r="D2229" s="438">
        <v>-10669.219999999972</v>
      </c>
      <c r="E2229" s="438">
        <v>0.31449999997857958</v>
      </c>
      <c r="F2229" s="438">
        <v>0.31449999997857958</v>
      </c>
      <c r="G2229" s="438">
        <v>0.36879999999655411</v>
      </c>
      <c r="H2229" s="438">
        <v>-0.46895000006770715</v>
      </c>
    </row>
    <row r="2230" spans="1:8" s="442" customFormat="1" ht="11.25">
      <c r="A2230" s="440" t="s">
        <v>397</v>
      </c>
      <c r="B2230" s="441">
        <v>1.0232776608117329</v>
      </c>
      <c r="C2230" s="441">
        <v>1.0444075420841088</v>
      </c>
      <c r="D2230" s="441">
        <v>1.0339700774014016</v>
      </c>
      <c r="E2230" s="441">
        <v>0.9999988457298048</v>
      </c>
      <c r="F2230" s="441">
        <v>0.9999988457298048</v>
      </c>
      <c r="G2230" s="441">
        <v>0.99999866173447993</v>
      </c>
      <c r="H2230" s="441">
        <v>1.0000016948402093</v>
      </c>
    </row>
    <row r="2231" spans="1:8" s="422" customFormat="1" ht="11.25"/>
    <row r="2232" spans="1:8" s="422" customFormat="1" ht="11.25">
      <c r="A2232" s="443" t="s">
        <v>594</v>
      </c>
      <c r="B2232" s="443"/>
      <c r="C2232" s="444"/>
    </row>
    <row r="2233" spans="1:8" s="422" customFormat="1" ht="11.25">
      <c r="A2233" s="445" t="s">
        <v>595</v>
      </c>
      <c r="B2233" s="446"/>
      <c r="C2233" s="447"/>
      <c r="D2233" s="439" t="s">
        <v>474</v>
      </c>
      <c r="E2233" s="439" t="s">
        <v>375</v>
      </c>
      <c r="F2233" s="439" t="s">
        <v>9</v>
      </c>
      <c r="G2233" s="439" t="s">
        <v>131</v>
      </c>
      <c r="H2233" s="439" t="s">
        <v>424</v>
      </c>
    </row>
    <row r="2234" spans="1:8" s="422" customFormat="1" ht="11.25">
      <c r="A2234" s="448" t="s">
        <v>826</v>
      </c>
      <c r="B2234" s="449"/>
      <c r="C2234" s="449"/>
      <c r="D2234" s="463">
        <v>1</v>
      </c>
      <c r="E2234" s="463">
        <v>1</v>
      </c>
      <c r="F2234" s="463">
        <v>1</v>
      </c>
      <c r="G2234" s="463">
        <v>1</v>
      </c>
      <c r="H2234" s="463">
        <v>1</v>
      </c>
    </row>
    <row r="2235" spans="1:8" s="422" customFormat="1" ht="11.25">
      <c r="A2235" s="448" t="s">
        <v>740</v>
      </c>
      <c r="B2235" s="449"/>
      <c r="C2235" s="449"/>
      <c r="D2235" s="438"/>
      <c r="E2235" s="438"/>
      <c r="F2235" s="438"/>
      <c r="G2235" s="438"/>
      <c r="H2235" s="438"/>
    </row>
    <row r="2236" spans="1:8" s="422" customFormat="1" ht="11.25">
      <c r="A2236" s="448" t="s">
        <v>741</v>
      </c>
      <c r="B2236" s="449"/>
      <c r="C2236" s="449"/>
      <c r="D2236" s="438"/>
      <c r="E2236" s="438"/>
      <c r="F2236" s="438"/>
      <c r="G2236" s="438"/>
      <c r="H2236" s="438"/>
    </row>
    <row r="2237" spans="1:8" s="422" customFormat="1" ht="11.25"/>
    <row r="2238" spans="1:8" s="422" customFormat="1" ht="11.25">
      <c r="A2238" s="421" t="s">
        <v>423</v>
      </c>
      <c r="B2238" s="421"/>
      <c r="C2238" s="421"/>
    </row>
    <row r="2239" spans="1:8" s="422" customFormat="1" ht="11.25">
      <c r="A2239" s="450"/>
      <c r="B2239" s="439" t="s">
        <v>132</v>
      </c>
      <c r="C2239" s="439" t="s">
        <v>473</v>
      </c>
      <c r="D2239" s="439" t="s">
        <v>474</v>
      </c>
      <c r="E2239" s="439" t="s">
        <v>375</v>
      </c>
      <c r="F2239" s="439" t="s">
        <v>9</v>
      </c>
      <c r="G2239" s="439" t="s">
        <v>131</v>
      </c>
      <c r="H2239" s="439" t="s">
        <v>424</v>
      </c>
    </row>
    <row r="2240" spans="1:8" s="422" customFormat="1" ht="11.25">
      <c r="A2240" s="451" t="s">
        <v>398</v>
      </c>
      <c r="B2240" s="438">
        <v>0</v>
      </c>
      <c r="C2240" s="438">
        <v>0</v>
      </c>
      <c r="D2240" s="438">
        <v>0</v>
      </c>
      <c r="E2240" s="438">
        <v>0</v>
      </c>
      <c r="F2240" s="438">
        <v>0</v>
      </c>
      <c r="G2240" s="438">
        <v>0</v>
      </c>
      <c r="H2240" s="438">
        <v>0</v>
      </c>
    </row>
    <row r="2241" spans="1:8" s="422" customFormat="1" ht="11.25">
      <c r="A2241" s="451" t="s">
        <v>399</v>
      </c>
      <c r="B2241" s="438">
        <v>0</v>
      </c>
      <c r="C2241" s="438">
        <v>0</v>
      </c>
      <c r="D2241" s="438">
        <v>0</v>
      </c>
      <c r="E2241" s="438">
        <v>0</v>
      </c>
      <c r="F2241" s="438">
        <v>0</v>
      </c>
      <c r="G2241" s="438">
        <v>0</v>
      </c>
      <c r="H2241" s="438">
        <v>0</v>
      </c>
    </row>
    <row r="2242" spans="1:8" s="422" customFormat="1" ht="11.25">
      <c r="A2242" s="451" t="s">
        <v>400</v>
      </c>
      <c r="B2242" s="438">
        <v>0</v>
      </c>
      <c r="C2242" s="438">
        <v>0</v>
      </c>
      <c r="D2242" s="438">
        <v>0</v>
      </c>
      <c r="E2242" s="438">
        <v>0</v>
      </c>
      <c r="F2242" s="438">
        <v>0</v>
      </c>
      <c r="G2242" s="438">
        <v>0</v>
      </c>
      <c r="H2242" s="438">
        <v>0</v>
      </c>
    </row>
    <row r="2243" spans="1:8" s="422" customFormat="1" ht="11.25">
      <c r="A2243" s="451" t="s">
        <v>401</v>
      </c>
      <c r="B2243" s="438">
        <v>0</v>
      </c>
      <c r="C2243" s="438">
        <v>0</v>
      </c>
      <c r="D2243" s="438">
        <v>0</v>
      </c>
      <c r="E2243" s="438">
        <v>0</v>
      </c>
      <c r="F2243" s="438">
        <v>0</v>
      </c>
      <c r="G2243" s="438">
        <v>0</v>
      </c>
      <c r="H2243" s="438">
        <v>0</v>
      </c>
    </row>
    <row r="2244" spans="1:8" s="422" customFormat="1" ht="11.25"/>
    <row r="2245" spans="1:8" s="422" customFormat="1" ht="11.25">
      <c r="A2245" s="421" t="s">
        <v>597</v>
      </c>
      <c r="B2245" s="421"/>
      <c r="C2245" s="421"/>
    </row>
    <row r="2246" spans="1:8" s="429" customFormat="1" ht="11.25">
      <c r="A2246" s="428"/>
      <c r="B2246" s="428"/>
      <c r="C2246" s="428"/>
    </row>
    <row r="2247" spans="1:8" s="429" customFormat="1" ht="11.25">
      <c r="A2247" s="428"/>
      <c r="B2247" s="428"/>
      <c r="C2247" s="428"/>
    </row>
    <row r="2248" spans="1:8" s="429" customFormat="1" ht="11.25">
      <c r="A2248" s="428"/>
      <c r="B2248" s="428"/>
      <c r="C2248" s="428"/>
    </row>
    <row r="2249" spans="1:8" s="422" customFormat="1" ht="11.25"/>
    <row r="2250" spans="1:8" s="422" customFormat="1" ht="11.25">
      <c r="A2250" s="421" t="s">
        <v>598</v>
      </c>
      <c r="B2250" s="421"/>
      <c r="C2250" s="421"/>
    </row>
    <row r="2251" spans="1:8" s="422" customFormat="1" ht="11.25">
      <c r="A2251" s="452" t="s">
        <v>599</v>
      </c>
      <c r="B2251" s="447"/>
      <c r="C2251" s="447"/>
      <c r="D2251" s="447"/>
      <c r="E2251" s="439" t="s">
        <v>375</v>
      </c>
      <c r="F2251" s="439" t="s">
        <v>9</v>
      </c>
      <c r="G2251" s="439" t="s">
        <v>131</v>
      </c>
      <c r="H2251" s="439" t="s">
        <v>424</v>
      </c>
    </row>
    <row r="2252" spans="1:8" s="422" customFormat="1" ht="11.25">
      <c r="A2252" s="448"/>
      <c r="B2252" s="449"/>
      <c r="C2252" s="449"/>
      <c r="D2252" s="449"/>
      <c r="E2252" s="438">
        <v>0</v>
      </c>
      <c r="F2252" s="438">
        <v>0</v>
      </c>
      <c r="G2252" s="438">
        <v>0</v>
      </c>
      <c r="H2252" s="438">
        <v>0</v>
      </c>
    </row>
    <row r="2253" spans="1:8" s="422" customFormat="1" ht="11.25">
      <c r="A2253" s="448"/>
      <c r="B2253" s="449"/>
      <c r="C2253" s="449"/>
      <c r="D2253" s="449"/>
      <c r="E2253" s="438">
        <v>0</v>
      </c>
      <c r="F2253" s="438">
        <v>0</v>
      </c>
      <c r="G2253" s="438">
        <v>0</v>
      </c>
      <c r="H2253" s="438">
        <v>0</v>
      </c>
    </row>
    <row r="2254" spans="1:8" s="422" customFormat="1" ht="11.25">
      <c r="A2254" s="448"/>
      <c r="B2254" s="449"/>
      <c r="C2254" s="449"/>
      <c r="D2254" s="449"/>
      <c r="E2254" s="438">
        <v>0</v>
      </c>
      <c r="F2254" s="438">
        <v>0</v>
      </c>
      <c r="G2254" s="438">
        <v>0</v>
      </c>
      <c r="H2254" s="438">
        <v>0</v>
      </c>
    </row>
    <row r="2255" spans="1:8" s="421" customFormat="1" ht="11.25">
      <c r="A2255" s="421" t="s">
        <v>391</v>
      </c>
      <c r="D2255" s="421" t="s">
        <v>472</v>
      </c>
    </row>
    <row r="2256" spans="1:8" s="422" customFormat="1" ht="11.25"/>
    <row r="2257" spans="1:8" s="421" customFormat="1" ht="11.25" customHeight="1">
      <c r="A2257" s="423" t="s">
        <v>392</v>
      </c>
      <c r="D2257" s="421" t="s">
        <v>145</v>
      </c>
    </row>
    <row r="2258" spans="1:8" s="421" customFormat="1" ht="7.5" customHeight="1">
      <c r="A2258" s="423"/>
    </row>
    <row r="2259" spans="1:8" s="421" customFormat="1" ht="11.25">
      <c r="A2259" s="424" t="s">
        <v>393</v>
      </c>
      <c r="D2259" s="583" t="s">
        <v>147</v>
      </c>
      <c r="E2259" s="583"/>
      <c r="F2259" s="583"/>
      <c r="G2259" s="583"/>
      <c r="H2259" s="583"/>
    </row>
    <row r="2260" spans="1:8" s="421" customFormat="1" ht="7.5" customHeight="1"/>
    <row r="2261" spans="1:8" s="422" customFormat="1" ht="11.25">
      <c r="A2261" s="421" t="s">
        <v>170</v>
      </c>
      <c r="B2261" s="421"/>
      <c r="C2261" s="421"/>
      <c r="D2261" s="422" t="s">
        <v>231</v>
      </c>
      <c r="E2261" s="422" t="s">
        <v>232</v>
      </c>
    </row>
    <row r="2262" spans="1:8" s="422" customFormat="1" ht="7.5" customHeight="1"/>
    <row r="2263" spans="1:8" s="427" customFormat="1" ht="11.25">
      <c r="A2263" s="425" t="s">
        <v>587</v>
      </c>
      <c r="B2263" s="425"/>
      <c r="C2263" s="425"/>
      <c r="D2263" s="426" t="s">
        <v>827</v>
      </c>
      <c r="E2263" s="584" t="s">
        <v>828</v>
      </c>
      <c r="F2263" s="584"/>
      <c r="G2263" s="584"/>
      <c r="H2263" s="584"/>
    </row>
    <row r="2264" spans="1:8" s="427" customFormat="1" ht="11.25">
      <c r="A2264" s="425"/>
      <c r="B2264" s="425"/>
      <c r="C2264" s="425"/>
      <c r="D2264" s="426" t="s">
        <v>829</v>
      </c>
      <c r="E2264" s="584" t="s">
        <v>830</v>
      </c>
      <c r="F2264" s="584"/>
      <c r="G2264" s="584"/>
      <c r="H2264" s="584"/>
    </row>
    <row r="2265" spans="1:8" s="427" customFormat="1" ht="11.25">
      <c r="A2265" s="425"/>
      <c r="B2265" s="425"/>
      <c r="C2265" s="425"/>
      <c r="D2265" s="426" t="s">
        <v>831</v>
      </c>
      <c r="E2265" s="584" t="s">
        <v>832</v>
      </c>
      <c r="F2265" s="584"/>
      <c r="G2265" s="584"/>
      <c r="H2265" s="584"/>
    </row>
    <row r="2266" spans="1:8" s="427" customFormat="1" ht="11.25">
      <c r="A2266" s="425"/>
      <c r="B2266" s="425"/>
      <c r="C2266" s="425"/>
      <c r="D2266" s="426" t="s">
        <v>833</v>
      </c>
      <c r="E2266" s="584" t="s">
        <v>834</v>
      </c>
      <c r="F2266" s="584"/>
      <c r="G2266" s="584"/>
      <c r="H2266" s="584"/>
    </row>
    <row r="2267" spans="1:8" s="427" customFormat="1" ht="11.25">
      <c r="A2267" s="425"/>
      <c r="B2267" s="425"/>
      <c r="C2267" s="425"/>
      <c r="D2267" s="426" t="s">
        <v>835</v>
      </c>
      <c r="E2267" s="584" t="s">
        <v>836</v>
      </c>
      <c r="F2267" s="584"/>
      <c r="G2267" s="584"/>
      <c r="H2267" s="584"/>
    </row>
    <row r="2268" spans="1:8" s="427" customFormat="1" ht="11.25">
      <c r="A2268" s="425"/>
      <c r="B2268" s="425"/>
      <c r="C2268" s="425"/>
      <c r="D2268" s="426"/>
      <c r="E2268" s="584"/>
      <c r="F2268" s="584"/>
      <c r="G2268" s="584"/>
      <c r="H2268" s="584"/>
    </row>
    <row r="2269" spans="1:8" s="427" customFormat="1" ht="11.25"/>
    <row r="2270" spans="1:8" s="422" customFormat="1" ht="11.25"/>
    <row r="2271" spans="1:8" s="422" customFormat="1" ht="11.25">
      <c r="A2271" s="421" t="s">
        <v>589</v>
      </c>
      <c r="B2271" s="421"/>
      <c r="C2271" s="421"/>
    </row>
    <row r="2272" spans="1:8" s="429" customFormat="1" ht="11.25" customHeight="1">
      <c r="A2272" s="428"/>
      <c r="B2272" s="428"/>
      <c r="C2272" s="428"/>
    </row>
    <row r="2273" spans="1:8" s="429" customFormat="1" ht="11.25" customHeight="1">
      <c r="A2273" s="428"/>
      <c r="B2273" s="428"/>
      <c r="C2273" s="428"/>
    </row>
    <row r="2274" spans="1:8" s="429" customFormat="1" ht="11.25" customHeight="1">
      <c r="A2274" s="428"/>
      <c r="B2274" s="428"/>
      <c r="C2274" s="428"/>
    </row>
    <row r="2275" spans="1:8" s="429" customFormat="1" ht="11.25" customHeight="1">
      <c r="A2275" s="428"/>
      <c r="B2275" s="428"/>
      <c r="C2275" s="428"/>
    </row>
    <row r="2276" spans="1:8" s="422" customFormat="1" ht="9" customHeight="1">
      <c r="A2276" s="430"/>
      <c r="B2276" s="430"/>
      <c r="C2276" s="430"/>
      <c r="D2276" s="430"/>
      <c r="E2276" s="430"/>
      <c r="F2276" s="430"/>
      <c r="G2276" s="430"/>
      <c r="H2276" s="430"/>
    </row>
    <row r="2277" spans="1:8" s="422" customFormat="1" ht="22.5" customHeight="1">
      <c r="A2277" s="585" t="s">
        <v>590</v>
      </c>
      <c r="B2277" s="585"/>
      <c r="C2277" s="585"/>
      <c r="D2277" s="586"/>
      <c r="E2277" s="586"/>
      <c r="F2277" s="586"/>
      <c r="G2277" s="586"/>
      <c r="H2277" s="586"/>
    </row>
    <row r="2278" spans="1:8" s="429" customFormat="1" ht="11.25">
      <c r="A2278" s="431"/>
      <c r="B2278" s="431"/>
      <c r="C2278" s="431"/>
      <c r="D2278" s="432"/>
      <c r="E2278" s="432"/>
      <c r="F2278" s="432"/>
      <c r="G2278" s="432"/>
      <c r="H2278" s="432"/>
    </row>
    <row r="2279" spans="1:8" s="429" customFormat="1" ht="11.25">
      <c r="A2279" s="431"/>
      <c r="B2279" s="431"/>
      <c r="C2279" s="431"/>
      <c r="D2279" s="432"/>
      <c r="E2279" s="432"/>
      <c r="F2279" s="432"/>
      <c r="G2279" s="432"/>
      <c r="H2279" s="432"/>
    </row>
    <row r="2280" spans="1:8" s="429" customFormat="1" ht="11.25">
      <c r="A2280" s="431"/>
      <c r="B2280" s="431"/>
      <c r="C2280" s="431"/>
      <c r="D2280" s="432"/>
      <c r="E2280" s="432"/>
      <c r="F2280" s="432"/>
      <c r="G2280" s="432"/>
      <c r="H2280" s="432"/>
    </row>
    <row r="2281" spans="1:8" s="429" customFormat="1" ht="11.25">
      <c r="A2281" s="431"/>
      <c r="B2281" s="431"/>
      <c r="C2281" s="431"/>
      <c r="D2281" s="432"/>
      <c r="E2281" s="432"/>
      <c r="F2281" s="432"/>
      <c r="G2281" s="432"/>
      <c r="H2281" s="432"/>
    </row>
    <row r="2282" spans="1:8" s="422" customFormat="1" ht="12.75" customHeight="1"/>
    <row r="2283" spans="1:8" s="422" customFormat="1" ht="11.25">
      <c r="A2283" s="421"/>
      <c r="B2283" s="421"/>
      <c r="C2283" s="421"/>
    </row>
    <row r="2284" spans="1:8" s="429" customFormat="1" ht="11.25">
      <c r="A2284" s="428"/>
      <c r="B2284" s="428"/>
      <c r="C2284" s="428"/>
    </row>
    <row r="2285" spans="1:8" s="429" customFormat="1" ht="11.25">
      <c r="A2285" s="428"/>
      <c r="B2285" s="428"/>
      <c r="C2285" s="428"/>
    </row>
    <row r="2286" spans="1:8" s="429" customFormat="1" ht="11.25">
      <c r="A2286" s="428"/>
      <c r="B2286" s="428"/>
      <c r="C2286" s="428"/>
    </row>
    <row r="2287" spans="1:8" s="429" customFormat="1" ht="11.25" customHeight="1">
      <c r="A2287" s="428"/>
      <c r="B2287" s="428"/>
      <c r="C2287" s="428"/>
    </row>
    <row r="2288" spans="1:8" s="429" customFormat="1" ht="11.25" customHeight="1">
      <c r="A2288" s="428"/>
      <c r="B2288" s="428"/>
      <c r="C2288" s="428"/>
    </row>
    <row r="2289" spans="1:8" s="429" customFormat="1" ht="11.25" customHeight="1">
      <c r="A2289" s="428"/>
      <c r="B2289" s="428"/>
      <c r="C2289" s="428"/>
    </row>
    <row r="2290" spans="1:8" s="429" customFormat="1" ht="11.25" customHeight="1">
      <c r="A2290" s="428"/>
      <c r="B2290" s="428"/>
      <c r="C2290" s="428"/>
    </row>
    <row r="2291" spans="1:8" s="429" customFormat="1" ht="11.25" customHeight="1">
      <c r="A2291" s="428"/>
      <c r="B2291" s="428"/>
      <c r="C2291" s="428"/>
    </row>
    <row r="2292" spans="1:8" s="429" customFormat="1" ht="11.25" customHeight="1">
      <c r="A2292" s="428"/>
      <c r="B2292" s="428"/>
      <c r="C2292" s="428"/>
    </row>
    <row r="2293" spans="1:8" s="429" customFormat="1" ht="11.25" customHeight="1">
      <c r="A2293" s="428" t="s">
        <v>591</v>
      </c>
      <c r="B2293" s="428"/>
      <c r="C2293" s="428"/>
    </row>
    <row r="2294" spans="1:8" s="429" customFormat="1" ht="11.25" customHeight="1">
      <c r="A2294" s="428"/>
      <c r="B2294" s="428"/>
      <c r="C2294" s="428"/>
    </row>
    <row r="2295" spans="1:8" s="429" customFormat="1" ht="11.25" customHeight="1">
      <c r="A2295" s="428"/>
      <c r="B2295" s="428"/>
      <c r="C2295" s="428"/>
    </row>
    <row r="2296" spans="1:8" s="422" customFormat="1" ht="11.25"/>
    <row r="2297" spans="1:8" s="422" customFormat="1" ht="11.25"/>
    <row r="2298" spans="1:8" s="422" customFormat="1" ht="11.25"/>
    <row r="2299" spans="1:8" s="422" customFormat="1" ht="11.25"/>
    <row r="2300" spans="1:8" s="422" customFormat="1" ht="11.25"/>
    <row r="2301" spans="1:8" s="422" customFormat="1" ht="11.25"/>
    <row r="2302" spans="1:8" s="422" customFormat="1" ht="11.25"/>
    <row r="2303" spans="1:8" s="422" customFormat="1" ht="11.25">
      <c r="A2303" s="433" t="s">
        <v>592</v>
      </c>
      <c r="B2303" s="434"/>
      <c r="C2303" s="434"/>
      <c r="D2303" s="434"/>
      <c r="E2303" s="434"/>
      <c r="F2303" s="434"/>
      <c r="G2303" s="434"/>
      <c r="H2303" s="434"/>
    </row>
    <row r="2304" spans="1:8" s="429" customFormat="1" ht="11.25">
      <c r="A2304" s="435"/>
      <c r="B2304" s="436"/>
      <c r="C2304" s="436"/>
      <c r="D2304" s="436"/>
      <c r="E2304" s="436"/>
      <c r="F2304" s="436"/>
      <c r="G2304" s="436"/>
      <c r="H2304" s="436"/>
    </row>
    <row r="2305" spans="1:8" s="429" customFormat="1" ht="11.25">
      <c r="A2305" s="435"/>
      <c r="B2305" s="436"/>
      <c r="C2305" s="436"/>
      <c r="D2305" s="436"/>
      <c r="E2305" s="436"/>
      <c r="F2305" s="436"/>
      <c r="G2305" s="436"/>
      <c r="H2305" s="436"/>
    </row>
    <row r="2306" spans="1:8" s="422" customFormat="1" ht="11.25">
      <c r="A2306" s="437"/>
      <c r="B2306" s="437"/>
      <c r="C2306" s="437"/>
      <c r="D2306" s="437"/>
      <c r="E2306" s="437"/>
      <c r="F2306" s="437"/>
      <c r="G2306" s="437"/>
      <c r="H2306" s="437"/>
    </row>
    <row r="2307" spans="1:8" s="422" customFormat="1" ht="11.25">
      <c r="A2307" s="421" t="s">
        <v>593</v>
      </c>
      <c r="B2307" s="421"/>
      <c r="C2307" s="421"/>
    </row>
    <row r="2308" spans="1:8" s="422" customFormat="1" ht="11.25">
      <c r="A2308" s="438"/>
      <c r="B2308" s="439" t="s">
        <v>132</v>
      </c>
      <c r="C2308" s="439" t="s">
        <v>473</v>
      </c>
      <c r="D2308" s="439" t="s">
        <v>474</v>
      </c>
      <c r="E2308" s="439" t="s">
        <v>375</v>
      </c>
      <c r="F2308" s="439" t="s">
        <v>9</v>
      </c>
      <c r="G2308" s="439" t="s">
        <v>131</v>
      </c>
      <c r="H2308" s="439" t="s">
        <v>424</v>
      </c>
    </row>
    <row r="2309" spans="1:8" s="422" customFormat="1" ht="11.25">
      <c r="A2309" s="439" t="s">
        <v>394</v>
      </c>
      <c r="B2309" s="438">
        <v>16848057.640000001</v>
      </c>
      <c r="C2309" s="438">
        <v>17074515.82</v>
      </c>
      <c r="D2309" s="438">
        <v>17768450.220000003</v>
      </c>
      <c r="E2309" s="438">
        <v>18027554.2344</v>
      </c>
      <c r="F2309" s="438">
        <v>18650116.2344</v>
      </c>
      <c r="G2309" s="438">
        <v>19649332.166560002</v>
      </c>
      <c r="H2309" s="438">
        <v>19692993.71376</v>
      </c>
    </row>
    <row r="2310" spans="1:8" s="422" customFormat="1" ht="11.25">
      <c r="A2310" s="439" t="s">
        <v>395</v>
      </c>
      <c r="B2310" s="438">
        <v>-4019951.94</v>
      </c>
      <c r="C2310" s="438">
        <v>-4097828.7399999998</v>
      </c>
      <c r="D2310" s="438">
        <v>-4118258.48</v>
      </c>
      <c r="E2310" s="438">
        <v>-4158258.48</v>
      </c>
      <c r="F2310" s="438">
        <v>-4158258.48</v>
      </c>
      <c r="G2310" s="438">
        <v>-4158258.48</v>
      </c>
      <c r="H2310" s="438">
        <v>-4158258.48</v>
      </c>
    </row>
    <row r="2311" spans="1:8" s="422" customFormat="1" ht="11.25">
      <c r="A2311" s="439" t="s">
        <v>396</v>
      </c>
      <c r="B2311" s="438">
        <v>12828105.700000001</v>
      </c>
      <c r="C2311" s="438">
        <v>12976687.08</v>
      </c>
      <c r="D2311" s="438">
        <v>13650191.740000002</v>
      </c>
      <c r="E2311" s="438">
        <v>13869295.7544</v>
      </c>
      <c r="F2311" s="438">
        <v>14491857.7544</v>
      </c>
      <c r="G2311" s="438">
        <v>15491073.686560001</v>
      </c>
      <c r="H2311" s="438">
        <v>15534735.233759999</v>
      </c>
    </row>
    <row r="2312" spans="1:8" s="442" customFormat="1" ht="11.25">
      <c r="A2312" s="440" t="s">
        <v>397</v>
      </c>
      <c r="B2312" s="441">
        <v>0.23860031974581966</v>
      </c>
      <c r="C2312" s="441">
        <v>0.2399967754986097</v>
      </c>
      <c r="D2312" s="441">
        <v>0.23177364536635425</v>
      </c>
      <c r="E2312" s="441">
        <v>0.2306612658563108</v>
      </c>
      <c r="F2312" s="441">
        <v>0.22296153159250146</v>
      </c>
      <c r="G2312" s="441">
        <v>0.21162339995843146</v>
      </c>
      <c r="H2312" s="441">
        <v>0.21115420745270019</v>
      </c>
    </row>
    <row r="2313" spans="1:8" s="422" customFormat="1" ht="11.25"/>
    <row r="2314" spans="1:8" s="422" customFormat="1" ht="11.25">
      <c r="A2314" s="443" t="s">
        <v>594</v>
      </c>
      <c r="B2314" s="443"/>
      <c r="C2314" s="444"/>
    </row>
    <row r="2315" spans="1:8" s="422" customFormat="1" ht="11.25">
      <c r="A2315" s="445" t="s">
        <v>595</v>
      </c>
      <c r="B2315" s="446"/>
      <c r="C2315" s="447"/>
      <c r="D2315" s="439" t="s">
        <v>474</v>
      </c>
      <c r="E2315" s="439" t="s">
        <v>375</v>
      </c>
      <c r="F2315" s="439" t="s">
        <v>9</v>
      </c>
      <c r="G2315" s="439" t="s">
        <v>131</v>
      </c>
      <c r="H2315" s="439" t="s">
        <v>424</v>
      </c>
    </row>
    <row r="2316" spans="1:8" s="422" customFormat="1" ht="11.25">
      <c r="A2316" s="448" t="s">
        <v>837</v>
      </c>
      <c r="B2316" s="449"/>
      <c r="C2316" s="449"/>
      <c r="D2316" s="464" t="s">
        <v>838</v>
      </c>
      <c r="E2316" s="464" t="s">
        <v>838</v>
      </c>
      <c r="F2316" s="464" t="s">
        <v>838</v>
      </c>
      <c r="G2316" s="464" t="s">
        <v>838</v>
      </c>
      <c r="H2316" s="464" t="s">
        <v>838</v>
      </c>
    </row>
    <row r="2317" spans="1:8" s="422" customFormat="1" ht="11.25">
      <c r="A2317" s="448" t="s">
        <v>839</v>
      </c>
      <c r="B2317" s="449"/>
      <c r="C2317" s="449"/>
      <c r="D2317" s="465" t="s">
        <v>840</v>
      </c>
      <c r="E2317" s="465" t="s">
        <v>840</v>
      </c>
      <c r="F2317" s="465" t="s">
        <v>840</v>
      </c>
      <c r="G2317" s="465" t="s">
        <v>840</v>
      </c>
      <c r="H2317" s="465" t="s">
        <v>840</v>
      </c>
    </row>
    <row r="2318" spans="1:8" s="422" customFormat="1" ht="11.25">
      <c r="A2318" s="448"/>
      <c r="B2318" s="449"/>
      <c r="C2318" s="449"/>
      <c r="D2318" s="438"/>
      <c r="E2318" s="438"/>
      <c r="F2318" s="438"/>
      <c r="G2318" s="438"/>
      <c r="H2318" s="438"/>
    </row>
    <row r="2319" spans="1:8" s="422" customFormat="1" ht="11.25"/>
    <row r="2320" spans="1:8" s="422" customFormat="1" ht="11.25">
      <c r="A2320" s="421" t="s">
        <v>423</v>
      </c>
      <c r="B2320" s="421"/>
      <c r="C2320" s="421"/>
    </row>
    <row r="2321" spans="1:8" s="422" customFormat="1" ht="11.25">
      <c r="A2321" s="450"/>
      <c r="B2321" s="439" t="s">
        <v>132</v>
      </c>
      <c r="C2321" s="439" t="s">
        <v>473</v>
      </c>
      <c r="D2321" s="439" t="s">
        <v>474</v>
      </c>
      <c r="E2321" s="439" t="s">
        <v>375</v>
      </c>
      <c r="F2321" s="439" t="s">
        <v>9</v>
      </c>
      <c r="G2321" s="439" t="s">
        <v>131</v>
      </c>
      <c r="H2321" s="439" t="s">
        <v>424</v>
      </c>
    </row>
    <row r="2322" spans="1:8" s="422" customFormat="1" ht="11.25">
      <c r="A2322" s="451" t="s">
        <v>398</v>
      </c>
      <c r="B2322" s="438">
        <v>410971.55</v>
      </c>
      <c r="C2322" s="438">
        <v>580732.55000000005</v>
      </c>
      <c r="D2322" s="438">
        <v>1175000</v>
      </c>
      <c r="E2322" s="438">
        <v>1320000</v>
      </c>
      <c r="F2322" s="438">
        <v>500000</v>
      </c>
      <c r="G2322" s="438">
        <v>850000</v>
      </c>
      <c r="H2322" s="438">
        <v>0</v>
      </c>
    </row>
    <row r="2323" spans="1:8" s="422" customFormat="1" ht="11.25">
      <c r="A2323" s="451" t="s">
        <v>399</v>
      </c>
      <c r="B2323" s="438">
        <v>0</v>
      </c>
      <c r="C2323" s="438">
        <v>0</v>
      </c>
      <c r="D2323" s="438">
        <v>0</v>
      </c>
      <c r="E2323" s="438">
        <v>0</v>
      </c>
      <c r="F2323" s="438">
        <v>0</v>
      </c>
      <c r="G2323" s="438">
        <v>0</v>
      </c>
      <c r="H2323" s="438">
        <v>0</v>
      </c>
    </row>
    <row r="2324" spans="1:8" s="422" customFormat="1" ht="11.25">
      <c r="A2324" s="451" t="s">
        <v>400</v>
      </c>
      <c r="B2324" s="438">
        <v>-67011</v>
      </c>
      <c r="C2324" s="438">
        <v>0</v>
      </c>
      <c r="D2324" s="438">
        <v>-50000</v>
      </c>
      <c r="E2324" s="438">
        <v>-50000</v>
      </c>
      <c r="F2324" s="438">
        <v>0</v>
      </c>
      <c r="G2324" s="438">
        <v>0</v>
      </c>
      <c r="H2324" s="438">
        <v>0</v>
      </c>
    </row>
    <row r="2325" spans="1:8" s="422" customFormat="1" ht="11.25">
      <c r="A2325" s="451" t="s">
        <v>401</v>
      </c>
      <c r="B2325" s="438">
        <v>343960.55</v>
      </c>
      <c r="C2325" s="438">
        <v>580732.55000000005</v>
      </c>
      <c r="D2325" s="438">
        <v>1125000</v>
      </c>
      <c r="E2325" s="438">
        <v>1270000</v>
      </c>
      <c r="F2325" s="438">
        <v>500000</v>
      </c>
      <c r="G2325" s="438">
        <v>850000</v>
      </c>
      <c r="H2325" s="438">
        <v>0</v>
      </c>
    </row>
    <row r="2326" spans="1:8" s="422" customFormat="1" ht="11.25"/>
    <row r="2327" spans="1:8" s="422" customFormat="1" ht="11.25">
      <c r="A2327" s="421" t="s">
        <v>597</v>
      </c>
      <c r="B2327" s="421"/>
      <c r="C2327" s="421"/>
    </row>
    <row r="2328" spans="1:8" s="429" customFormat="1" ht="11.25">
      <c r="A2328" s="428"/>
      <c r="B2328" s="428"/>
      <c r="C2328" s="428"/>
    </row>
    <row r="2329" spans="1:8" s="429" customFormat="1" ht="4.5" customHeight="1">
      <c r="A2329" s="428"/>
      <c r="B2329" s="428"/>
      <c r="C2329" s="428"/>
    </row>
    <row r="2330" spans="1:8" s="429" customFormat="1" ht="11.25">
      <c r="A2330" s="428"/>
      <c r="B2330" s="428"/>
      <c r="C2330" s="428"/>
    </row>
    <row r="2331" spans="1:8" s="422" customFormat="1" ht="11.25"/>
    <row r="2332" spans="1:8" s="422" customFormat="1" ht="11.25">
      <c r="A2332" s="421" t="s">
        <v>598</v>
      </c>
      <c r="B2332" s="421"/>
      <c r="C2332" s="421"/>
    </row>
    <row r="2333" spans="1:8" s="422" customFormat="1" ht="11.25">
      <c r="A2333" s="452" t="s">
        <v>599</v>
      </c>
      <c r="B2333" s="447"/>
      <c r="C2333" s="447"/>
      <c r="D2333" s="447"/>
      <c r="E2333" s="439" t="s">
        <v>375</v>
      </c>
      <c r="F2333" s="439" t="s">
        <v>9</v>
      </c>
      <c r="G2333" s="439" t="s">
        <v>131</v>
      </c>
      <c r="H2333" s="439" t="s">
        <v>424</v>
      </c>
    </row>
    <row r="2334" spans="1:8" s="422" customFormat="1" ht="11.25">
      <c r="A2334" s="448" t="s">
        <v>121</v>
      </c>
      <c r="B2334" s="449"/>
      <c r="C2334" s="449"/>
      <c r="D2334" s="449"/>
      <c r="E2334" s="438">
        <v>0</v>
      </c>
      <c r="F2334" s="438">
        <v>500000</v>
      </c>
      <c r="G2334" s="438">
        <v>1500000</v>
      </c>
      <c r="H2334" s="438">
        <v>1000000</v>
      </c>
    </row>
    <row r="2335" spans="1:8" s="422" customFormat="1" ht="11.25">
      <c r="A2335" s="448"/>
      <c r="B2335" s="449"/>
      <c r="C2335" s="449"/>
      <c r="D2335" s="449"/>
      <c r="E2335" s="438">
        <v>0</v>
      </c>
      <c r="F2335" s="438">
        <v>0</v>
      </c>
      <c r="G2335" s="438">
        <v>0</v>
      </c>
      <c r="H2335" s="438">
        <v>0</v>
      </c>
    </row>
    <row r="2336" spans="1:8" s="422" customFormat="1" ht="11.25">
      <c r="A2336" s="448"/>
      <c r="B2336" s="449"/>
      <c r="C2336" s="449"/>
      <c r="D2336" s="449"/>
      <c r="E2336" s="438">
        <v>0</v>
      </c>
      <c r="F2336" s="438">
        <v>0</v>
      </c>
      <c r="G2336" s="438">
        <v>0</v>
      </c>
      <c r="H2336" s="438">
        <v>0</v>
      </c>
    </row>
    <row r="2337" spans="1:8" s="421" customFormat="1" ht="11.25">
      <c r="A2337" s="421" t="s">
        <v>391</v>
      </c>
      <c r="D2337" s="421" t="s">
        <v>472</v>
      </c>
    </row>
    <row r="2338" spans="1:8" s="422" customFormat="1" ht="11.25"/>
    <row r="2339" spans="1:8" s="421" customFormat="1" ht="11.25" customHeight="1">
      <c r="A2339" s="423" t="s">
        <v>392</v>
      </c>
      <c r="D2339" s="421" t="s">
        <v>145</v>
      </c>
    </row>
    <row r="2340" spans="1:8" s="421" customFormat="1" ht="7.5" customHeight="1">
      <c r="A2340" s="423"/>
    </row>
    <row r="2341" spans="1:8" s="421" customFormat="1" ht="11.25">
      <c r="A2341" s="424" t="s">
        <v>393</v>
      </c>
      <c r="D2341" s="583" t="s">
        <v>147</v>
      </c>
      <c r="E2341" s="583"/>
      <c r="F2341" s="583"/>
      <c r="G2341" s="583"/>
      <c r="H2341" s="583"/>
    </row>
    <row r="2342" spans="1:8" s="421" customFormat="1" ht="7.5" customHeight="1"/>
    <row r="2343" spans="1:8" s="422" customFormat="1" ht="11.25">
      <c r="A2343" s="421" t="s">
        <v>170</v>
      </c>
      <c r="B2343" s="421"/>
      <c r="C2343" s="421"/>
      <c r="D2343" s="422" t="s">
        <v>233</v>
      </c>
      <c r="E2343" s="422" t="s">
        <v>234</v>
      </c>
    </row>
    <row r="2344" spans="1:8" s="422" customFormat="1" ht="7.5" customHeight="1"/>
    <row r="2345" spans="1:8" s="427" customFormat="1" ht="11.25">
      <c r="A2345" s="425" t="s">
        <v>587</v>
      </c>
      <c r="B2345" s="425"/>
      <c r="C2345" s="425"/>
      <c r="D2345" s="426" t="s">
        <v>841</v>
      </c>
      <c r="E2345" s="584" t="s">
        <v>228</v>
      </c>
      <c r="F2345" s="584"/>
      <c r="G2345" s="584"/>
      <c r="H2345" s="584"/>
    </row>
    <row r="2346" spans="1:8" s="427" customFormat="1" ht="11.25">
      <c r="A2346" s="425"/>
      <c r="B2346" s="425"/>
      <c r="C2346" s="425"/>
      <c r="D2346" s="426" t="s">
        <v>842</v>
      </c>
      <c r="E2346" s="584" t="s">
        <v>171</v>
      </c>
      <c r="F2346" s="584"/>
      <c r="G2346" s="584"/>
      <c r="H2346" s="584"/>
    </row>
    <row r="2347" spans="1:8" s="427" customFormat="1" ht="5.25" customHeight="1">
      <c r="A2347" s="425"/>
      <c r="B2347" s="425"/>
      <c r="C2347" s="425"/>
      <c r="D2347" s="426"/>
      <c r="E2347" s="584"/>
      <c r="F2347" s="584"/>
      <c r="G2347" s="584"/>
      <c r="H2347" s="584"/>
    </row>
    <row r="2348" spans="1:8" s="427" customFormat="1" ht="11.25"/>
    <row r="2349" spans="1:8" s="422" customFormat="1" ht="11.25"/>
    <row r="2350" spans="1:8" s="422" customFormat="1" ht="11.25">
      <c r="A2350" s="421" t="s">
        <v>589</v>
      </c>
      <c r="B2350" s="421"/>
      <c r="C2350" s="421"/>
    </row>
    <row r="2351" spans="1:8" s="429" customFormat="1" ht="11.25">
      <c r="A2351" s="428"/>
      <c r="B2351" s="428"/>
      <c r="C2351" s="428"/>
    </row>
    <row r="2352" spans="1:8" s="429" customFormat="1" ht="11.25">
      <c r="A2352" s="428"/>
      <c r="B2352" s="428"/>
      <c r="C2352" s="428"/>
    </row>
    <row r="2353" spans="1:8" s="429" customFormat="1" ht="11.25">
      <c r="A2353" s="428"/>
      <c r="B2353" s="428"/>
      <c r="C2353" s="428"/>
    </row>
    <row r="2354" spans="1:8" s="422" customFormat="1" ht="11.25">
      <c r="A2354" s="430"/>
      <c r="B2354" s="430"/>
      <c r="C2354" s="430"/>
      <c r="D2354" s="430"/>
      <c r="E2354" s="430"/>
      <c r="F2354" s="430"/>
      <c r="G2354" s="430"/>
      <c r="H2354" s="430"/>
    </row>
    <row r="2355" spans="1:8" s="422" customFormat="1" ht="22.5" customHeight="1">
      <c r="A2355" s="585" t="s">
        <v>590</v>
      </c>
      <c r="B2355" s="585"/>
      <c r="C2355" s="585"/>
      <c r="D2355" s="586"/>
      <c r="E2355" s="586"/>
      <c r="F2355" s="586"/>
      <c r="G2355" s="586"/>
      <c r="H2355" s="586"/>
    </row>
    <row r="2356" spans="1:8" s="429" customFormat="1" ht="11.25">
      <c r="A2356" s="431"/>
      <c r="B2356" s="431"/>
      <c r="C2356" s="431"/>
      <c r="D2356" s="432"/>
      <c r="E2356" s="432"/>
      <c r="F2356" s="432"/>
      <c r="G2356" s="432"/>
      <c r="H2356" s="432"/>
    </row>
    <row r="2357" spans="1:8" s="429" customFormat="1" ht="11.25">
      <c r="A2357" s="431"/>
      <c r="B2357" s="431"/>
      <c r="C2357" s="431"/>
      <c r="D2357" s="432"/>
      <c r="E2357" s="432"/>
      <c r="F2357" s="432"/>
      <c r="G2357" s="432"/>
      <c r="H2357" s="432"/>
    </row>
    <row r="2358" spans="1:8" s="429" customFormat="1" ht="11.25">
      <c r="A2358" s="431"/>
      <c r="B2358" s="431"/>
      <c r="C2358" s="431"/>
      <c r="D2358" s="432"/>
      <c r="E2358" s="432"/>
      <c r="F2358" s="432"/>
      <c r="G2358" s="432"/>
      <c r="H2358" s="432"/>
    </row>
    <row r="2359" spans="1:8" s="429" customFormat="1" ht="11.25">
      <c r="A2359" s="431"/>
      <c r="B2359" s="431"/>
      <c r="C2359" s="431"/>
      <c r="D2359" s="432"/>
      <c r="E2359" s="432"/>
      <c r="F2359" s="432"/>
      <c r="G2359" s="432"/>
      <c r="H2359" s="432"/>
    </row>
    <row r="2360" spans="1:8" s="429" customFormat="1" ht="11.25">
      <c r="A2360" s="431"/>
      <c r="B2360" s="431"/>
      <c r="C2360" s="431"/>
      <c r="D2360" s="432"/>
      <c r="E2360" s="432"/>
      <c r="F2360" s="432"/>
      <c r="G2360" s="432"/>
      <c r="H2360" s="432"/>
    </row>
    <row r="2361" spans="1:8" s="429" customFormat="1" ht="11.25">
      <c r="A2361" s="431"/>
      <c r="B2361" s="431"/>
      <c r="C2361" s="431"/>
      <c r="D2361" s="432"/>
      <c r="E2361" s="432"/>
      <c r="F2361" s="432"/>
      <c r="G2361" s="432"/>
      <c r="H2361" s="432"/>
    </row>
    <row r="2362" spans="1:8" s="429" customFormat="1" ht="11.25">
      <c r="A2362" s="431"/>
      <c r="B2362" s="431"/>
      <c r="C2362" s="431"/>
      <c r="D2362" s="432"/>
      <c r="E2362" s="432"/>
      <c r="F2362" s="432"/>
      <c r="G2362" s="432"/>
      <c r="H2362" s="432"/>
    </row>
    <row r="2363" spans="1:8" s="429" customFormat="1" ht="11.25">
      <c r="A2363" s="431"/>
      <c r="B2363" s="431"/>
      <c r="C2363" s="431"/>
      <c r="D2363" s="432"/>
      <c r="E2363" s="432"/>
      <c r="F2363" s="432"/>
      <c r="G2363" s="432"/>
      <c r="H2363" s="432"/>
    </row>
    <row r="2364" spans="1:8" s="429" customFormat="1" ht="11.25">
      <c r="A2364" s="431"/>
      <c r="B2364" s="431"/>
      <c r="C2364" s="431"/>
      <c r="D2364" s="432"/>
      <c r="E2364" s="432"/>
      <c r="F2364" s="432"/>
      <c r="G2364" s="432"/>
      <c r="H2364" s="432"/>
    </row>
    <row r="2365" spans="1:8" s="422" customFormat="1" ht="11.25"/>
    <row r="2366" spans="1:8" s="422" customFormat="1" ht="11.25">
      <c r="A2366" s="421" t="s">
        <v>591</v>
      </c>
      <c r="B2366" s="421"/>
      <c r="C2366" s="421"/>
    </row>
    <row r="2367" spans="1:8" s="429" customFormat="1" ht="11.25">
      <c r="A2367" s="428"/>
      <c r="B2367" s="428"/>
      <c r="C2367" s="428"/>
    </row>
    <row r="2368" spans="1:8" s="429" customFormat="1" ht="6" customHeight="1">
      <c r="A2368" s="428"/>
      <c r="B2368" s="428"/>
      <c r="C2368" s="428"/>
    </row>
    <row r="2369" spans="1:8" s="429" customFormat="1" ht="6" customHeight="1">
      <c r="A2369" s="428"/>
      <c r="B2369" s="428"/>
      <c r="C2369" s="428"/>
    </row>
    <row r="2370" spans="1:8" s="422" customFormat="1" ht="9" customHeight="1"/>
    <row r="2371" spans="1:8" s="422" customFormat="1" ht="11.25">
      <c r="A2371" s="433" t="s">
        <v>592</v>
      </c>
      <c r="B2371" s="434"/>
      <c r="C2371" s="434"/>
      <c r="D2371" s="434"/>
      <c r="E2371" s="434"/>
      <c r="F2371" s="434"/>
      <c r="G2371" s="434"/>
      <c r="H2371" s="434"/>
    </row>
    <row r="2372" spans="1:8" s="429" customFormat="1" ht="11.25">
      <c r="A2372" s="435"/>
      <c r="B2372" s="436"/>
      <c r="C2372" s="436"/>
      <c r="D2372" s="436"/>
      <c r="E2372" s="436"/>
      <c r="F2372" s="436"/>
      <c r="G2372" s="436"/>
      <c r="H2372" s="436"/>
    </row>
    <row r="2373" spans="1:8" s="429" customFormat="1" ht="7.5" customHeight="1">
      <c r="A2373" s="435"/>
      <c r="B2373" s="436"/>
      <c r="C2373" s="436"/>
      <c r="D2373" s="436"/>
      <c r="E2373" s="436"/>
      <c r="F2373" s="436"/>
      <c r="G2373" s="436"/>
      <c r="H2373" s="436"/>
    </row>
    <row r="2374" spans="1:8" s="422" customFormat="1" ht="11.25">
      <c r="A2374" s="437"/>
      <c r="B2374" s="437"/>
      <c r="C2374" s="437"/>
      <c r="D2374" s="437"/>
      <c r="E2374" s="437"/>
      <c r="F2374" s="437"/>
      <c r="G2374" s="437"/>
      <c r="H2374" s="437"/>
    </row>
    <row r="2375" spans="1:8" s="422" customFormat="1" ht="11.25">
      <c r="A2375" s="421" t="s">
        <v>593</v>
      </c>
      <c r="B2375" s="421"/>
      <c r="C2375" s="421"/>
    </row>
    <row r="2376" spans="1:8" s="422" customFormat="1" ht="11.25">
      <c r="A2376" s="438"/>
      <c r="B2376" s="439" t="s">
        <v>132</v>
      </c>
      <c r="C2376" s="439" t="s">
        <v>473</v>
      </c>
      <c r="D2376" s="439" t="s">
        <v>474</v>
      </c>
      <c r="E2376" s="439" t="s">
        <v>375</v>
      </c>
      <c r="F2376" s="439" t="s">
        <v>9</v>
      </c>
      <c r="G2376" s="439" t="s">
        <v>131</v>
      </c>
      <c r="H2376" s="439" t="s">
        <v>424</v>
      </c>
    </row>
    <row r="2377" spans="1:8" s="422" customFormat="1" ht="11.25">
      <c r="A2377" s="439" t="s">
        <v>394</v>
      </c>
      <c r="B2377" s="438">
        <v>1531878.1400000001</v>
      </c>
      <c r="C2377" s="438">
        <v>1464128.7699999998</v>
      </c>
      <c r="D2377" s="438">
        <v>1511552.65</v>
      </c>
      <c r="E2377" s="438">
        <v>1509610.0824</v>
      </c>
      <c r="F2377" s="438">
        <v>1529743.0824</v>
      </c>
      <c r="G2377" s="438">
        <v>1529020.5417600002</v>
      </c>
      <c r="H2377" s="438">
        <v>1680800.06296</v>
      </c>
    </row>
    <row r="2378" spans="1:8" s="422" customFormat="1" ht="11.25">
      <c r="A2378" s="439" t="s">
        <v>395</v>
      </c>
      <c r="B2378" s="438">
        <v>-934265.46</v>
      </c>
      <c r="C2378" s="438">
        <v>-1044849.04</v>
      </c>
      <c r="D2378" s="438">
        <v>-990435.08</v>
      </c>
      <c r="E2378" s="438">
        <v>-1100435.08</v>
      </c>
      <c r="F2378" s="438">
        <v>-1110435.08</v>
      </c>
      <c r="G2378" s="438">
        <v>-1120435.08</v>
      </c>
      <c r="H2378" s="438">
        <v>-1130435.08</v>
      </c>
    </row>
    <row r="2379" spans="1:8" s="422" customFormat="1" ht="11.25">
      <c r="A2379" s="439" t="s">
        <v>396</v>
      </c>
      <c r="B2379" s="438">
        <v>597612.68000000017</v>
      </c>
      <c r="C2379" s="438">
        <v>419279.72999999975</v>
      </c>
      <c r="D2379" s="438">
        <v>521117.56999999995</v>
      </c>
      <c r="E2379" s="438">
        <v>409175.00239999988</v>
      </c>
      <c r="F2379" s="438">
        <v>419308.00239999988</v>
      </c>
      <c r="G2379" s="438">
        <v>408585.46176000009</v>
      </c>
      <c r="H2379" s="438">
        <v>550364.98295999994</v>
      </c>
    </row>
    <row r="2380" spans="1:8" s="442" customFormat="1" ht="11.25">
      <c r="A2380" s="440" t="s">
        <v>397</v>
      </c>
      <c r="B2380" s="441">
        <v>0.60988236309710631</v>
      </c>
      <c r="C2380" s="441">
        <v>0.71363193006582348</v>
      </c>
      <c r="D2380" s="441">
        <v>0.65524352062761426</v>
      </c>
      <c r="E2380" s="441">
        <v>0.72895318654106522</v>
      </c>
      <c r="F2380" s="441">
        <v>0.72589645462416386</v>
      </c>
      <c r="G2380" s="441">
        <v>0.7327796124375856</v>
      </c>
      <c r="H2380" s="441">
        <v>0.67255773301747102</v>
      </c>
    </row>
    <row r="2381" spans="1:8" s="422" customFormat="1" ht="11.25"/>
    <row r="2382" spans="1:8" s="422" customFormat="1" ht="11.25">
      <c r="A2382" s="443" t="s">
        <v>594</v>
      </c>
      <c r="B2382" s="443"/>
      <c r="C2382" s="444"/>
    </row>
    <row r="2383" spans="1:8" s="422" customFormat="1" ht="11.25">
      <c r="A2383" s="445" t="s">
        <v>595</v>
      </c>
      <c r="B2383" s="446"/>
      <c r="C2383" s="447"/>
      <c r="D2383" s="439" t="s">
        <v>474</v>
      </c>
      <c r="E2383" s="439" t="s">
        <v>375</v>
      </c>
      <c r="F2383" s="439" t="s">
        <v>9</v>
      </c>
      <c r="G2383" s="439" t="s">
        <v>131</v>
      </c>
      <c r="H2383" s="439" t="s">
        <v>424</v>
      </c>
    </row>
    <row r="2384" spans="1:8" s="422" customFormat="1" ht="11.25">
      <c r="A2384" s="448" t="s">
        <v>843</v>
      </c>
      <c r="B2384" s="449"/>
      <c r="C2384" s="449"/>
      <c r="D2384" s="465" t="s">
        <v>844</v>
      </c>
      <c r="E2384" s="465" t="s">
        <v>844</v>
      </c>
      <c r="F2384" s="465" t="s">
        <v>844</v>
      </c>
      <c r="G2384" s="465" t="s">
        <v>844</v>
      </c>
      <c r="H2384" s="465" t="s">
        <v>844</v>
      </c>
    </row>
    <row r="2385" spans="1:8" s="422" customFormat="1" ht="11.25">
      <c r="A2385" s="448"/>
      <c r="B2385" s="449"/>
      <c r="C2385" s="449"/>
      <c r="D2385" s="438"/>
      <c r="E2385" s="438"/>
      <c r="F2385" s="438"/>
      <c r="G2385" s="438"/>
      <c r="H2385" s="438"/>
    </row>
    <row r="2386" spans="1:8" s="422" customFormat="1" ht="11.25">
      <c r="A2386" s="448"/>
      <c r="B2386" s="449"/>
      <c r="C2386" s="449"/>
      <c r="D2386" s="438"/>
      <c r="E2386" s="438"/>
      <c r="F2386" s="438"/>
      <c r="G2386" s="438"/>
      <c r="H2386" s="438"/>
    </row>
    <row r="2387" spans="1:8" s="422" customFormat="1" ht="11.25"/>
    <row r="2388" spans="1:8" s="422" customFormat="1" ht="11.25">
      <c r="A2388" s="421" t="s">
        <v>423</v>
      </c>
      <c r="B2388" s="421"/>
      <c r="C2388" s="421"/>
    </row>
    <row r="2389" spans="1:8" s="422" customFormat="1" ht="11.25">
      <c r="A2389" s="450"/>
      <c r="B2389" s="439" t="s">
        <v>132</v>
      </c>
      <c r="C2389" s="439" t="s">
        <v>473</v>
      </c>
      <c r="D2389" s="439" t="s">
        <v>474</v>
      </c>
      <c r="E2389" s="439" t="s">
        <v>375</v>
      </c>
      <c r="F2389" s="439" t="s">
        <v>9</v>
      </c>
      <c r="G2389" s="439" t="s">
        <v>131</v>
      </c>
      <c r="H2389" s="439" t="s">
        <v>424</v>
      </c>
    </row>
    <row r="2390" spans="1:8" s="422" customFormat="1" ht="11.25">
      <c r="A2390" s="451" t="s">
        <v>398</v>
      </c>
      <c r="B2390" s="438">
        <v>0</v>
      </c>
      <c r="C2390" s="438">
        <v>359228.8</v>
      </c>
      <c r="D2390" s="438">
        <v>250000</v>
      </c>
      <c r="E2390" s="438">
        <v>0</v>
      </c>
      <c r="F2390" s="438">
        <v>0</v>
      </c>
      <c r="G2390" s="438">
        <v>0</v>
      </c>
      <c r="H2390" s="438">
        <v>775000</v>
      </c>
    </row>
    <row r="2391" spans="1:8" s="422" customFormat="1" ht="11.25">
      <c r="A2391" s="451" t="s">
        <v>399</v>
      </c>
      <c r="B2391" s="438">
        <v>0</v>
      </c>
      <c r="C2391" s="438">
        <v>0</v>
      </c>
      <c r="D2391" s="438">
        <v>0</v>
      </c>
      <c r="E2391" s="438">
        <v>0</v>
      </c>
      <c r="F2391" s="438">
        <v>0</v>
      </c>
      <c r="G2391" s="438">
        <v>0</v>
      </c>
      <c r="H2391" s="438">
        <v>0</v>
      </c>
    </row>
    <row r="2392" spans="1:8" s="422" customFormat="1" ht="11.25">
      <c r="A2392" s="451" t="s">
        <v>400</v>
      </c>
      <c r="B2392" s="438">
        <v>0</v>
      </c>
      <c r="C2392" s="438">
        <v>0</v>
      </c>
      <c r="D2392" s="438">
        <v>0</v>
      </c>
      <c r="E2392" s="438">
        <v>0</v>
      </c>
      <c r="F2392" s="438">
        <v>0</v>
      </c>
      <c r="G2392" s="438">
        <v>0</v>
      </c>
      <c r="H2392" s="438">
        <v>0</v>
      </c>
    </row>
    <row r="2393" spans="1:8" s="422" customFormat="1" ht="11.25">
      <c r="A2393" s="451" t="s">
        <v>401</v>
      </c>
      <c r="B2393" s="438">
        <v>0</v>
      </c>
      <c r="C2393" s="438">
        <v>359228.8</v>
      </c>
      <c r="D2393" s="438">
        <v>250000</v>
      </c>
      <c r="E2393" s="438">
        <v>0</v>
      </c>
      <c r="F2393" s="438">
        <v>0</v>
      </c>
      <c r="G2393" s="438">
        <v>0</v>
      </c>
      <c r="H2393" s="438">
        <v>775000</v>
      </c>
    </row>
    <row r="2394" spans="1:8" s="422" customFormat="1" ht="11.25"/>
    <row r="2395" spans="1:8" s="422" customFormat="1" ht="11.25">
      <c r="A2395" s="421" t="s">
        <v>597</v>
      </c>
      <c r="B2395" s="421"/>
      <c r="C2395" s="421"/>
    </row>
    <row r="2396" spans="1:8" s="429" customFormat="1" ht="11.25">
      <c r="A2396" s="428"/>
      <c r="B2396" s="428"/>
      <c r="C2396" s="428"/>
    </row>
    <row r="2397" spans="1:8" s="429" customFormat="1" ht="8.25" customHeight="1">
      <c r="A2397" s="428"/>
      <c r="B2397" s="428"/>
      <c r="C2397" s="428"/>
    </row>
    <row r="2398" spans="1:8" s="422" customFormat="1" ht="11.25"/>
    <row r="2399" spans="1:8" s="422" customFormat="1" ht="11.25">
      <c r="A2399" s="421" t="s">
        <v>598</v>
      </c>
      <c r="B2399" s="421"/>
      <c r="C2399" s="421"/>
    </row>
    <row r="2400" spans="1:8" s="422" customFormat="1" ht="11.25">
      <c r="A2400" s="452" t="s">
        <v>599</v>
      </c>
      <c r="B2400" s="447"/>
      <c r="C2400" s="447"/>
      <c r="D2400" s="447"/>
      <c r="E2400" s="439" t="s">
        <v>375</v>
      </c>
      <c r="F2400" s="439" t="s">
        <v>9</v>
      </c>
      <c r="G2400" s="439" t="s">
        <v>131</v>
      </c>
      <c r="H2400" s="439" t="s">
        <v>424</v>
      </c>
    </row>
    <row r="2401" spans="1:8" s="422" customFormat="1" ht="11.25">
      <c r="A2401" s="448"/>
      <c r="B2401" s="449"/>
      <c r="C2401" s="449"/>
      <c r="D2401" s="449"/>
      <c r="E2401" s="438">
        <v>0</v>
      </c>
      <c r="F2401" s="438">
        <v>0</v>
      </c>
      <c r="G2401" s="438">
        <v>0</v>
      </c>
      <c r="H2401" s="438">
        <v>0</v>
      </c>
    </row>
    <row r="2402" spans="1:8" s="422" customFormat="1" ht="11.25">
      <c r="A2402" s="448"/>
      <c r="B2402" s="449"/>
      <c r="C2402" s="449"/>
      <c r="D2402" s="449"/>
      <c r="E2402" s="438">
        <v>0</v>
      </c>
      <c r="F2402" s="438">
        <v>0</v>
      </c>
      <c r="G2402" s="438">
        <v>0</v>
      </c>
      <c r="H2402" s="438">
        <v>0</v>
      </c>
    </row>
    <row r="2403" spans="1:8" s="422" customFormat="1" ht="11.25">
      <c r="A2403" s="448"/>
      <c r="B2403" s="449"/>
      <c r="C2403" s="449"/>
      <c r="D2403" s="449"/>
      <c r="E2403" s="438">
        <v>0</v>
      </c>
      <c r="F2403" s="438">
        <v>0</v>
      </c>
      <c r="G2403" s="438">
        <v>0</v>
      </c>
      <c r="H2403" s="438">
        <v>0</v>
      </c>
    </row>
    <row r="2404" spans="1:8" s="421" customFormat="1" ht="11.25">
      <c r="A2404" s="421" t="s">
        <v>391</v>
      </c>
      <c r="D2404" s="421" t="s">
        <v>472</v>
      </c>
    </row>
    <row r="2405" spans="1:8" s="422" customFormat="1" ht="11.25"/>
    <row r="2406" spans="1:8" s="421" customFormat="1" ht="11.25" customHeight="1">
      <c r="A2406" s="423" t="s">
        <v>392</v>
      </c>
      <c r="D2406" s="421" t="s">
        <v>145</v>
      </c>
    </row>
    <row r="2407" spans="1:8" s="421" customFormat="1" ht="7.5" customHeight="1">
      <c r="A2407" s="423"/>
    </row>
    <row r="2408" spans="1:8" s="421" customFormat="1" ht="11.25">
      <c r="A2408" s="424" t="s">
        <v>393</v>
      </c>
      <c r="D2408" s="583" t="s">
        <v>147</v>
      </c>
      <c r="E2408" s="583"/>
      <c r="F2408" s="583"/>
      <c r="G2408" s="583"/>
      <c r="H2408" s="583"/>
    </row>
    <row r="2409" spans="1:8" s="421" customFormat="1" ht="7.5" customHeight="1"/>
    <row r="2410" spans="1:8" s="422" customFormat="1" ht="11.25">
      <c r="A2410" s="421" t="s">
        <v>170</v>
      </c>
      <c r="B2410" s="421"/>
      <c r="C2410" s="421"/>
      <c r="D2410" s="422" t="s">
        <v>235</v>
      </c>
      <c r="E2410" s="422" t="s">
        <v>236</v>
      </c>
    </row>
    <row r="2411" spans="1:8" s="422" customFormat="1" ht="7.5" customHeight="1"/>
    <row r="2412" spans="1:8" s="427" customFormat="1" ht="11.25">
      <c r="A2412" s="425" t="s">
        <v>587</v>
      </c>
      <c r="B2412" s="425"/>
      <c r="C2412" s="425"/>
      <c r="D2412" s="426" t="s">
        <v>845</v>
      </c>
      <c r="E2412" s="584" t="s">
        <v>846</v>
      </c>
      <c r="F2412" s="584"/>
      <c r="G2412" s="584"/>
      <c r="H2412" s="584"/>
    </row>
    <row r="2413" spans="1:8" s="427" customFormat="1" ht="11.25">
      <c r="A2413" s="425"/>
      <c r="B2413" s="425"/>
      <c r="C2413" s="425"/>
      <c r="D2413" s="426" t="s">
        <v>847</v>
      </c>
      <c r="E2413" s="584" t="s">
        <v>848</v>
      </c>
      <c r="F2413" s="584"/>
      <c r="G2413" s="584"/>
      <c r="H2413" s="584"/>
    </row>
    <row r="2414" spans="1:8" s="427" customFormat="1" ht="11.25">
      <c r="A2414" s="425"/>
      <c r="B2414" s="425"/>
      <c r="C2414" s="425"/>
      <c r="D2414" s="426" t="s">
        <v>849</v>
      </c>
      <c r="E2414" s="584" t="s">
        <v>850</v>
      </c>
      <c r="F2414" s="584"/>
      <c r="G2414" s="584"/>
      <c r="H2414" s="584"/>
    </row>
    <row r="2415" spans="1:8" s="427" customFormat="1" ht="11.25">
      <c r="A2415" s="425"/>
      <c r="B2415" s="425"/>
      <c r="C2415" s="425"/>
      <c r="D2415" s="426" t="s">
        <v>851</v>
      </c>
      <c r="E2415" s="584" t="s">
        <v>852</v>
      </c>
      <c r="F2415" s="584"/>
      <c r="G2415" s="584"/>
      <c r="H2415" s="584"/>
    </row>
    <row r="2416" spans="1:8" s="427" customFormat="1" ht="11.25">
      <c r="A2416" s="425"/>
      <c r="B2416" s="425"/>
      <c r="C2416" s="425"/>
      <c r="D2416" s="426"/>
      <c r="E2416" s="584"/>
      <c r="F2416" s="584"/>
      <c r="G2416" s="584"/>
      <c r="H2416" s="584"/>
    </row>
    <row r="2417" spans="1:8" s="427" customFormat="1" ht="11.25"/>
    <row r="2418" spans="1:8" s="422" customFormat="1" ht="11.25"/>
    <row r="2419" spans="1:8" s="422" customFormat="1" ht="11.25">
      <c r="A2419" s="421" t="s">
        <v>589</v>
      </c>
      <c r="B2419" s="421"/>
      <c r="C2419" s="421"/>
    </row>
    <row r="2420" spans="1:8" s="429" customFormat="1" ht="11.25">
      <c r="A2420" s="428"/>
      <c r="B2420" s="428"/>
      <c r="C2420" s="428"/>
    </row>
    <row r="2421" spans="1:8" s="429" customFormat="1" ht="11.25">
      <c r="A2421" s="428"/>
      <c r="B2421" s="428"/>
      <c r="C2421" s="428"/>
    </row>
    <row r="2422" spans="1:8" s="429" customFormat="1" ht="11.25">
      <c r="A2422" s="428"/>
      <c r="B2422" s="428"/>
      <c r="C2422" s="428"/>
    </row>
    <row r="2423" spans="1:8" s="422" customFormat="1" ht="9" customHeight="1">
      <c r="A2423" s="430"/>
      <c r="B2423" s="430"/>
      <c r="C2423" s="430"/>
      <c r="D2423" s="430"/>
      <c r="E2423" s="430"/>
      <c r="F2423" s="430"/>
      <c r="G2423" s="430"/>
      <c r="H2423" s="430"/>
    </row>
    <row r="2424" spans="1:8" s="422" customFormat="1" ht="22.5" customHeight="1">
      <c r="A2424" s="585" t="s">
        <v>590</v>
      </c>
      <c r="B2424" s="585"/>
      <c r="C2424" s="585"/>
      <c r="D2424" s="586"/>
      <c r="E2424" s="586"/>
      <c r="F2424" s="586"/>
      <c r="G2424" s="586"/>
      <c r="H2424" s="586"/>
    </row>
    <row r="2425" spans="1:8" s="429" customFormat="1" ht="11.25">
      <c r="A2425" s="431"/>
      <c r="B2425" s="431"/>
      <c r="C2425" s="431"/>
      <c r="D2425" s="432"/>
      <c r="E2425" s="432"/>
      <c r="F2425" s="432"/>
      <c r="G2425" s="432"/>
      <c r="H2425" s="432"/>
    </row>
    <row r="2426" spans="1:8" s="429" customFormat="1" ht="11.25">
      <c r="A2426" s="431"/>
      <c r="B2426" s="431"/>
      <c r="C2426" s="431"/>
      <c r="D2426" s="432"/>
      <c r="E2426" s="432"/>
      <c r="F2426" s="432"/>
      <c r="G2426" s="432"/>
      <c r="H2426" s="432"/>
    </row>
    <row r="2427" spans="1:8" s="429" customFormat="1" ht="11.25">
      <c r="A2427" s="431"/>
      <c r="B2427" s="431"/>
      <c r="C2427" s="431"/>
      <c r="D2427" s="432"/>
      <c r="E2427" s="432"/>
      <c r="F2427" s="432"/>
      <c r="G2427" s="432"/>
      <c r="H2427" s="432"/>
    </row>
    <row r="2428" spans="1:8" s="429" customFormat="1" ht="11.25">
      <c r="A2428" s="431"/>
      <c r="B2428" s="431"/>
      <c r="C2428" s="431"/>
      <c r="D2428" s="432"/>
      <c r="E2428" s="432"/>
      <c r="F2428" s="432"/>
      <c r="G2428" s="432"/>
      <c r="H2428" s="432"/>
    </row>
    <row r="2429" spans="1:8" s="422" customFormat="1" ht="11.25"/>
    <row r="2430" spans="1:8" s="422" customFormat="1" ht="11.25">
      <c r="A2430" s="421" t="s">
        <v>591</v>
      </c>
      <c r="B2430" s="421"/>
      <c r="C2430" s="421"/>
    </row>
    <row r="2431" spans="1:8" s="429" customFormat="1" ht="11.25">
      <c r="A2431" s="428"/>
      <c r="B2431" s="428"/>
      <c r="C2431" s="428"/>
    </row>
    <row r="2432" spans="1:8" s="429" customFormat="1" ht="11.25">
      <c r="A2432" s="428"/>
      <c r="B2432" s="428"/>
      <c r="C2432" s="428"/>
    </row>
    <row r="2433" spans="1:8" s="429" customFormat="1" ht="11.25">
      <c r="A2433" s="428"/>
      <c r="B2433" s="428"/>
      <c r="C2433" s="428"/>
    </row>
    <row r="2434" spans="1:8" s="429" customFormat="1" ht="11.25">
      <c r="A2434" s="428"/>
      <c r="B2434" s="428"/>
      <c r="C2434" s="428"/>
    </row>
    <row r="2435" spans="1:8" s="422" customFormat="1" ht="11.25"/>
    <row r="2436" spans="1:8" s="422" customFormat="1" ht="11.25">
      <c r="A2436" s="433" t="s">
        <v>592</v>
      </c>
      <c r="B2436" s="434"/>
      <c r="C2436" s="434"/>
      <c r="D2436" s="434"/>
      <c r="E2436" s="434"/>
      <c r="F2436" s="434"/>
      <c r="G2436" s="434"/>
      <c r="H2436" s="434"/>
    </row>
    <row r="2437" spans="1:8" s="429" customFormat="1" ht="11.25">
      <c r="A2437" s="435"/>
      <c r="B2437" s="436"/>
      <c r="C2437" s="436"/>
      <c r="D2437" s="436"/>
      <c r="E2437" s="436"/>
      <c r="F2437" s="436"/>
      <c r="G2437" s="436"/>
      <c r="H2437" s="436"/>
    </row>
    <row r="2438" spans="1:8" s="422" customFormat="1" ht="11.25">
      <c r="A2438" s="437"/>
      <c r="B2438" s="437"/>
      <c r="C2438" s="437"/>
      <c r="D2438" s="437"/>
      <c r="E2438" s="437"/>
      <c r="F2438" s="437"/>
      <c r="G2438" s="437"/>
      <c r="H2438" s="437"/>
    </row>
    <row r="2439" spans="1:8" s="422" customFormat="1" ht="11.25">
      <c r="A2439" s="437"/>
      <c r="B2439" s="437"/>
      <c r="C2439" s="437"/>
      <c r="D2439" s="437"/>
      <c r="E2439" s="437"/>
      <c r="F2439" s="437"/>
      <c r="G2439" s="437"/>
      <c r="H2439" s="437"/>
    </row>
    <row r="2440" spans="1:8" s="422" customFormat="1" ht="12" customHeight="1">
      <c r="A2440" s="421" t="s">
        <v>593</v>
      </c>
      <c r="B2440" s="421"/>
      <c r="C2440" s="421"/>
    </row>
    <row r="2441" spans="1:8" s="422" customFormat="1" ht="11.25">
      <c r="A2441" s="438"/>
      <c r="B2441" s="439" t="s">
        <v>132</v>
      </c>
      <c r="C2441" s="439" t="s">
        <v>473</v>
      </c>
      <c r="D2441" s="439" t="s">
        <v>474</v>
      </c>
      <c r="E2441" s="439" t="s">
        <v>375</v>
      </c>
      <c r="F2441" s="439" t="s">
        <v>9</v>
      </c>
      <c r="G2441" s="439" t="s">
        <v>131</v>
      </c>
      <c r="H2441" s="439" t="s">
        <v>424</v>
      </c>
    </row>
    <row r="2442" spans="1:8" s="422" customFormat="1" ht="11.25">
      <c r="A2442" s="439" t="s">
        <v>394</v>
      </c>
      <c r="B2442" s="438">
        <v>3988119.5799999996</v>
      </c>
      <c r="C2442" s="438">
        <v>4199606.03</v>
      </c>
      <c r="D2442" s="438">
        <v>4163596.97</v>
      </c>
      <c r="E2442" s="438">
        <v>4244014.1160000004</v>
      </c>
      <c r="F2442" s="438">
        <v>4272554.1160000004</v>
      </c>
      <c r="G2442" s="438">
        <v>4271881.9844000004</v>
      </c>
      <c r="H2442" s="438">
        <v>4272668.4374000002</v>
      </c>
    </row>
    <row r="2443" spans="1:8" s="422" customFormat="1" ht="11.25">
      <c r="A2443" s="439" t="s">
        <v>395</v>
      </c>
      <c r="B2443" s="438">
        <v>-91795.18</v>
      </c>
      <c r="C2443" s="438">
        <v>-190709.2</v>
      </c>
      <c r="D2443" s="438">
        <v>-151574.88</v>
      </c>
      <c r="E2443" s="438">
        <v>-361574.88</v>
      </c>
      <c r="F2443" s="438">
        <v>-361574.88</v>
      </c>
      <c r="G2443" s="438">
        <v>-361574.88</v>
      </c>
      <c r="H2443" s="438">
        <v>-361574.88</v>
      </c>
    </row>
    <row r="2444" spans="1:8" s="422" customFormat="1" ht="11.25">
      <c r="A2444" s="439" t="s">
        <v>396</v>
      </c>
      <c r="B2444" s="438">
        <v>3896324.3999999994</v>
      </c>
      <c r="C2444" s="438">
        <v>4008896.83</v>
      </c>
      <c r="D2444" s="438">
        <v>4012022.0900000003</v>
      </c>
      <c r="E2444" s="438">
        <v>3882439.2360000005</v>
      </c>
      <c r="F2444" s="438">
        <v>3910979.2360000005</v>
      </c>
      <c r="G2444" s="438">
        <v>3910307.1044000005</v>
      </c>
      <c r="H2444" s="438">
        <v>3911093.5574000003</v>
      </c>
    </row>
    <row r="2445" spans="1:8" s="442" customFormat="1" ht="11.25">
      <c r="A2445" s="440" t="s">
        <v>397</v>
      </c>
      <c r="B2445" s="441">
        <v>2.3017158377181862E-2</v>
      </c>
      <c r="C2445" s="441">
        <v>4.5411212060765614E-2</v>
      </c>
      <c r="D2445" s="441">
        <v>3.6404791600182188E-2</v>
      </c>
      <c r="E2445" s="441">
        <v>8.5196436702898087E-2</v>
      </c>
      <c r="F2445" s="441">
        <v>8.4627337696195015E-2</v>
      </c>
      <c r="G2445" s="441">
        <v>8.4640652836476787E-2</v>
      </c>
      <c r="H2445" s="441">
        <v>8.4625073369845941E-2</v>
      </c>
    </row>
    <row r="2446" spans="1:8" s="422" customFormat="1" ht="11.25"/>
    <row r="2447" spans="1:8" s="422" customFormat="1" ht="11.25">
      <c r="A2447" s="443" t="s">
        <v>594</v>
      </c>
      <c r="B2447" s="443"/>
      <c r="C2447" s="444"/>
    </row>
    <row r="2448" spans="1:8" s="422" customFormat="1" ht="11.25">
      <c r="A2448" s="445" t="s">
        <v>595</v>
      </c>
      <c r="B2448" s="446"/>
      <c r="C2448" s="447"/>
      <c r="D2448" s="439" t="s">
        <v>474</v>
      </c>
      <c r="E2448" s="439" t="s">
        <v>375</v>
      </c>
      <c r="F2448" s="439" t="s">
        <v>9</v>
      </c>
      <c r="G2448" s="439" t="s">
        <v>131</v>
      </c>
      <c r="H2448" s="439" t="s">
        <v>424</v>
      </c>
    </row>
    <row r="2449" spans="1:8" s="422" customFormat="1" ht="11.25">
      <c r="A2449" s="448" t="s">
        <v>853</v>
      </c>
      <c r="B2449" s="449"/>
      <c r="C2449" s="449"/>
      <c r="D2449" s="466">
        <v>1</v>
      </c>
      <c r="E2449" s="466">
        <v>1</v>
      </c>
      <c r="F2449" s="466">
        <v>1</v>
      </c>
      <c r="G2449" s="466">
        <v>1</v>
      </c>
      <c r="H2449" s="466">
        <v>1</v>
      </c>
    </row>
    <row r="2450" spans="1:8" s="422" customFormat="1" ht="11.25">
      <c r="A2450" s="448" t="s">
        <v>854</v>
      </c>
      <c r="B2450" s="449"/>
      <c r="C2450" s="449"/>
      <c r="D2450" s="466">
        <v>1</v>
      </c>
      <c r="E2450" s="466">
        <v>1</v>
      </c>
      <c r="F2450" s="466">
        <v>1</v>
      </c>
      <c r="G2450" s="466">
        <v>1</v>
      </c>
      <c r="H2450" s="466">
        <v>1</v>
      </c>
    </row>
    <row r="2451" spans="1:8" s="422" customFormat="1" ht="11.25">
      <c r="A2451" s="448" t="s">
        <v>855</v>
      </c>
      <c r="B2451" s="449"/>
      <c r="C2451" s="449"/>
      <c r="D2451" s="438"/>
      <c r="E2451" s="438"/>
      <c r="F2451" s="438"/>
      <c r="G2451" s="438"/>
      <c r="H2451" s="438"/>
    </row>
    <row r="2452" spans="1:8" s="422" customFormat="1" ht="11.25"/>
    <row r="2453" spans="1:8" s="422" customFormat="1" ht="11.25">
      <c r="A2453" s="421" t="s">
        <v>423</v>
      </c>
      <c r="B2453" s="421"/>
      <c r="C2453" s="421"/>
    </row>
    <row r="2454" spans="1:8" s="422" customFormat="1" ht="11.25">
      <c r="A2454" s="450"/>
      <c r="B2454" s="439" t="s">
        <v>132</v>
      </c>
      <c r="C2454" s="439" t="s">
        <v>473</v>
      </c>
      <c r="D2454" s="439" t="s">
        <v>474</v>
      </c>
      <c r="E2454" s="439" t="s">
        <v>375</v>
      </c>
      <c r="F2454" s="439" t="s">
        <v>9</v>
      </c>
      <c r="G2454" s="439" t="s">
        <v>131</v>
      </c>
      <c r="H2454" s="439" t="s">
        <v>424</v>
      </c>
    </row>
    <row r="2455" spans="1:8" s="422" customFormat="1" ht="11.25">
      <c r="A2455" s="451" t="s">
        <v>398</v>
      </c>
      <c r="B2455" s="438">
        <v>16305.4</v>
      </c>
      <c r="C2455" s="438">
        <v>65952.25</v>
      </c>
      <c r="D2455" s="438">
        <v>0</v>
      </c>
      <c r="E2455" s="438">
        <v>0</v>
      </c>
      <c r="F2455" s="438">
        <v>300000</v>
      </c>
      <c r="G2455" s="438">
        <v>0</v>
      </c>
      <c r="H2455" s="438">
        <v>0</v>
      </c>
    </row>
    <row r="2456" spans="1:8" s="422" customFormat="1" ht="11.25">
      <c r="A2456" s="451" t="s">
        <v>399</v>
      </c>
      <c r="B2456" s="438">
        <v>0</v>
      </c>
      <c r="C2456" s="438">
        <v>0</v>
      </c>
      <c r="D2456" s="438">
        <v>0</v>
      </c>
      <c r="E2456" s="438">
        <v>0</v>
      </c>
      <c r="F2456" s="438">
        <v>0</v>
      </c>
      <c r="G2456" s="438">
        <v>0</v>
      </c>
      <c r="H2456" s="438">
        <v>0</v>
      </c>
    </row>
    <row r="2457" spans="1:8" s="422" customFormat="1" ht="11.25">
      <c r="A2457" s="451" t="s">
        <v>400</v>
      </c>
      <c r="B2457" s="438">
        <v>-15600.35</v>
      </c>
      <c r="C2457" s="438">
        <v>-65952.25</v>
      </c>
      <c r="D2457" s="438">
        <v>0</v>
      </c>
      <c r="E2457" s="438">
        <v>0</v>
      </c>
      <c r="F2457" s="438">
        <v>0</v>
      </c>
      <c r="G2457" s="438">
        <v>0</v>
      </c>
      <c r="H2457" s="438">
        <v>0</v>
      </c>
    </row>
    <row r="2458" spans="1:8" s="422" customFormat="1" ht="11.25">
      <c r="A2458" s="451" t="s">
        <v>401</v>
      </c>
      <c r="B2458" s="438">
        <v>705.04999999999927</v>
      </c>
      <c r="C2458" s="438">
        <v>0</v>
      </c>
      <c r="D2458" s="438">
        <v>0</v>
      </c>
      <c r="E2458" s="438">
        <v>0</v>
      </c>
      <c r="F2458" s="438">
        <v>300000</v>
      </c>
      <c r="G2458" s="438">
        <v>0</v>
      </c>
      <c r="H2458" s="438">
        <v>0</v>
      </c>
    </row>
    <row r="2459" spans="1:8" s="422" customFormat="1" ht="11.25"/>
    <row r="2460" spans="1:8" s="422" customFormat="1" ht="11.25">
      <c r="A2460" s="421" t="s">
        <v>597</v>
      </c>
      <c r="B2460" s="421"/>
      <c r="C2460" s="421"/>
    </row>
    <row r="2461" spans="1:8" s="429" customFormat="1" ht="11.25">
      <c r="A2461" s="428"/>
      <c r="B2461" s="428"/>
      <c r="C2461" s="428"/>
    </row>
    <row r="2462" spans="1:8" s="429" customFormat="1" ht="11.25">
      <c r="A2462" s="428"/>
      <c r="B2462" s="428"/>
      <c r="C2462" s="428"/>
    </row>
    <row r="2463" spans="1:8" s="422" customFormat="1" ht="11.25"/>
    <row r="2464" spans="1:8" s="422" customFormat="1" ht="11.25">
      <c r="A2464" s="421" t="s">
        <v>598</v>
      </c>
      <c r="B2464" s="421"/>
      <c r="C2464" s="421"/>
    </row>
    <row r="2465" spans="1:8" s="422" customFormat="1" ht="11.25">
      <c r="A2465" s="452" t="s">
        <v>599</v>
      </c>
      <c r="B2465" s="447"/>
      <c r="C2465" s="447"/>
      <c r="D2465" s="447"/>
      <c r="E2465" s="439" t="s">
        <v>375</v>
      </c>
      <c r="F2465" s="439" t="s">
        <v>9</v>
      </c>
      <c r="G2465" s="439" t="s">
        <v>131</v>
      </c>
      <c r="H2465" s="439" t="s">
        <v>424</v>
      </c>
    </row>
    <row r="2466" spans="1:8" s="422" customFormat="1" ht="11.25">
      <c r="A2466" s="448"/>
      <c r="B2466" s="449"/>
      <c r="C2466" s="449"/>
      <c r="D2466" s="449"/>
      <c r="E2466" s="438">
        <v>0</v>
      </c>
      <c r="F2466" s="438">
        <v>0</v>
      </c>
      <c r="G2466" s="438">
        <v>0</v>
      </c>
      <c r="H2466" s="438">
        <v>0</v>
      </c>
    </row>
    <row r="2467" spans="1:8" s="422" customFormat="1" ht="11.25">
      <c r="A2467" s="448"/>
      <c r="B2467" s="449"/>
      <c r="C2467" s="449"/>
      <c r="D2467" s="449"/>
      <c r="E2467" s="438">
        <v>0</v>
      </c>
      <c r="F2467" s="438">
        <v>0</v>
      </c>
      <c r="G2467" s="438">
        <v>0</v>
      </c>
      <c r="H2467" s="438">
        <v>0</v>
      </c>
    </row>
    <row r="2468" spans="1:8" s="422" customFormat="1" ht="11.25">
      <c r="A2468" s="448"/>
      <c r="B2468" s="449"/>
      <c r="C2468" s="449"/>
      <c r="D2468" s="449"/>
      <c r="E2468" s="438">
        <v>0</v>
      </c>
      <c r="F2468" s="438">
        <v>0</v>
      </c>
      <c r="G2468" s="438">
        <v>0</v>
      </c>
      <c r="H2468" s="438">
        <v>0</v>
      </c>
    </row>
    <row r="2469" spans="1:8" s="421" customFormat="1" ht="11.25">
      <c r="A2469" s="421" t="s">
        <v>391</v>
      </c>
      <c r="D2469" s="421" t="s">
        <v>472</v>
      </c>
    </row>
    <row r="2470" spans="1:8" s="422" customFormat="1" ht="11.25"/>
    <row r="2471" spans="1:8" s="421" customFormat="1" ht="11.25" customHeight="1">
      <c r="A2471" s="423" t="s">
        <v>392</v>
      </c>
      <c r="D2471" s="421" t="s">
        <v>145</v>
      </c>
    </row>
    <row r="2472" spans="1:8" s="421" customFormat="1" ht="7.5" customHeight="1">
      <c r="A2472" s="423"/>
    </row>
    <row r="2473" spans="1:8" s="421" customFormat="1" ht="11.25">
      <c r="A2473" s="424" t="s">
        <v>393</v>
      </c>
      <c r="D2473" s="583" t="s">
        <v>147</v>
      </c>
      <c r="E2473" s="583"/>
      <c r="F2473" s="583"/>
      <c r="G2473" s="583"/>
      <c r="H2473" s="583"/>
    </row>
    <row r="2474" spans="1:8" s="421" customFormat="1" ht="7.5" customHeight="1"/>
    <row r="2475" spans="1:8" s="422" customFormat="1" ht="11.25">
      <c r="A2475" s="421" t="s">
        <v>170</v>
      </c>
      <c r="B2475" s="421"/>
      <c r="C2475" s="421"/>
      <c r="D2475" s="422" t="s">
        <v>237</v>
      </c>
      <c r="E2475" s="422" t="s">
        <v>238</v>
      </c>
    </row>
    <row r="2476" spans="1:8" s="422" customFormat="1" ht="7.5" customHeight="1"/>
    <row r="2477" spans="1:8" s="427" customFormat="1" ht="11.25">
      <c r="A2477" s="425" t="s">
        <v>587</v>
      </c>
      <c r="B2477" s="425"/>
      <c r="C2477" s="425"/>
      <c r="D2477" s="426" t="s">
        <v>856</v>
      </c>
      <c r="E2477" s="584" t="s">
        <v>857</v>
      </c>
      <c r="F2477" s="584"/>
      <c r="G2477" s="584"/>
      <c r="H2477" s="584"/>
    </row>
    <row r="2478" spans="1:8" s="427" customFormat="1" ht="11.25">
      <c r="A2478" s="425"/>
      <c r="B2478" s="425"/>
      <c r="C2478" s="425"/>
      <c r="D2478" s="426" t="s">
        <v>858</v>
      </c>
      <c r="E2478" s="584" t="s">
        <v>859</v>
      </c>
      <c r="F2478" s="584"/>
      <c r="G2478" s="584"/>
      <c r="H2478" s="584"/>
    </row>
    <row r="2479" spans="1:8" s="427" customFormat="1" ht="11.25">
      <c r="A2479" s="425"/>
      <c r="B2479" s="425"/>
      <c r="C2479" s="425"/>
      <c r="D2479" s="426" t="s">
        <v>860</v>
      </c>
      <c r="E2479" s="584" t="s">
        <v>171</v>
      </c>
      <c r="F2479" s="584"/>
      <c r="G2479" s="584"/>
      <c r="H2479" s="584"/>
    </row>
    <row r="2480" spans="1:8" s="427" customFormat="1" ht="3.75" customHeight="1">
      <c r="A2480" s="425"/>
      <c r="B2480" s="425"/>
      <c r="C2480" s="425"/>
      <c r="D2480" s="426"/>
      <c r="E2480" s="453"/>
      <c r="F2480" s="453"/>
      <c r="G2480" s="453"/>
      <c r="H2480" s="453"/>
    </row>
    <row r="2481" spans="1:8" s="427" customFormat="1" ht="5.25" customHeight="1"/>
    <row r="2482" spans="1:8" s="422" customFormat="1" ht="11.25"/>
    <row r="2483" spans="1:8" s="422" customFormat="1" ht="11.25">
      <c r="A2483" s="421" t="s">
        <v>589</v>
      </c>
      <c r="B2483" s="421"/>
      <c r="C2483" s="421"/>
    </row>
    <row r="2484" spans="1:8" s="429" customFormat="1" ht="11.25">
      <c r="A2484" s="428"/>
      <c r="B2484" s="428"/>
      <c r="C2484" s="428"/>
    </row>
    <row r="2485" spans="1:8" s="429" customFormat="1" ht="11.25">
      <c r="A2485" s="428"/>
      <c r="B2485" s="428"/>
      <c r="C2485" s="428"/>
    </row>
    <row r="2486" spans="1:8" s="429" customFormat="1" ht="11.25">
      <c r="A2486" s="428"/>
      <c r="B2486" s="428"/>
      <c r="C2486" s="428"/>
    </row>
    <row r="2487" spans="1:8" s="422" customFormat="1" ht="11.25">
      <c r="A2487" s="430"/>
      <c r="B2487" s="430"/>
      <c r="C2487" s="430"/>
      <c r="D2487" s="430"/>
      <c r="E2487" s="430"/>
      <c r="F2487" s="430"/>
      <c r="G2487" s="430"/>
      <c r="H2487" s="430"/>
    </row>
    <row r="2488" spans="1:8" s="422" customFormat="1" ht="22.5" customHeight="1">
      <c r="A2488" s="585" t="s">
        <v>590</v>
      </c>
      <c r="B2488" s="585"/>
      <c r="C2488" s="585"/>
      <c r="D2488" s="586"/>
      <c r="E2488" s="586"/>
      <c r="F2488" s="586"/>
      <c r="G2488" s="586"/>
      <c r="H2488" s="586"/>
    </row>
    <row r="2489" spans="1:8" s="429" customFormat="1" ht="11.25">
      <c r="A2489" s="431"/>
      <c r="B2489" s="431"/>
      <c r="C2489" s="431"/>
      <c r="D2489" s="432"/>
      <c r="E2489" s="432"/>
      <c r="F2489" s="432"/>
      <c r="G2489" s="432"/>
      <c r="H2489" s="432"/>
    </row>
    <row r="2490" spans="1:8" s="429" customFormat="1" ht="11.25">
      <c r="A2490" s="431"/>
      <c r="B2490" s="431"/>
      <c r="C2490" s="431"/>
      <c r="D2490" s="432"/>
      <c r="E2490" s="432"/>
      <c r="F2490" s="432"/>
      <c r="G2490" s="432"/>
      <c r="H2490" s="432"/>
    </row>
    <row r="2491" spans="1:8" s="429" customFormat="1" ht="11.25">
      <c r="A2491" s="431"/>
      <c r="B2491" s="431"/>
      <c r="C2491" s="431"/>
      <c r="D2491" s="432"/>
      <c r="E2491" s="432"/>
      <c r="F2491" s="432"/>
      <c r="G2491" s="432"/>
      <c r="H2491" s="432"/>
    </row>
    <row r="2492" spans="1:8" s="429" customFormat="1" ht="11.25">
      <c r="A2492" s="431"/>
      <c r="B2492" s="431"/>
      <c r="C2492" s="431"/>
      <c r="D2492" s="432"/>
      <c r="E2492" s="432"/>
      <c r="F2492" s="432"/>
      <c r="G2492" s="432"/>
      <c r="H2492" s="432"/>
    </row>
    <row r="2493" spans="1:8" s="429" customFormat="1" ht="11.25">
      <c r="A2493" s="431"/>
      <c r="B2493" s="431"/>
      <c r="C2493" s="431"/>
      <c r="D2493" s="432"/>
      <c r="E2493" s="432"/>
      <c r="F2493" s="432"/>
      <c r="G2493" s="432"/>
      <c r="H2493" s="432"/>
    </row>
    <row r="2494" spans="1:8" s="429" customFormat="1" ht="11.25">
      <c r="A2494" s="431"/>
      <c r="B2494" s="431"/>
      <c r="C2494" s="431"/>
      <c r="D2494" s="432"/>
      <c r="E2494" s="432"/>
      <c r="F2494" s="432"/>
      <c r="G2494" s="432"/>
      <c r="H2494" s="432"/>
    </row>
    <row r="2495" spans="1:8" s="429" customFormat="1" ht="11.25">
      <c r="A2495" s="431"/>
      <c r="B2495" s="431"/>
      <c r="C2495" s="431"/>
      <c r="D2495" s="432"/>
      <c r="E2495" s="432"/>
      <c r="F2495" s="432"/>
      <c r="G2495" s="432"/>
      <c r="H2495" s="432"/>
    </row>
    <row r="2496" spans="1:8" s="429" customFormat="1" ht="11.25">
      <c r="A2496" s="431"/>
      <c r="B2496" s="431"/>
      <c r="C2496" s="431"/>
      <c r="D2496" s="432"/>
      <c r="E2496" s="432"/>
      <c r="F2496" s="432"/>
      <c r="G2496" s="432"/>
      <c r="H2496" s="432"/>
    </row>
    <row r="2497" spans="1:8" s="429" customFormat="1" ht="11.25">
      <c r="A2497" s="431"/>
      <c r="B2497" s="431"/>
      <c r="C2497" s="431"/>
      <c r="D2497" s="432"/>
      <c r="E2497" s="432"/>
      <c r="F2497" s="432"/>
      <c r="G2497" s="432"/>
      <c r="H2497" s="432"/>
    </row>
    <row r="2498" spans="1:8" s="429" customFormat="1" ht="11.25">
      <c r="A2498" s="431"/>
      <c r="B2498" s="431"/>
      <c r="C2498" s="431"/>
      <c r="D2498" s="432"/>
      <c r="E2498" s="432"/>
      <c r="F2498" s="432"/>
      <c r="G2498" s="432"/>
      <c r="H2498" s="432"/>
    </row>
    <row r="2499" spans="1:8" s="422" customFormat="1" ht="11.25"/>
    <row r="2500" spans="1:8" s="422" customFormat="1" ht="11.25">
      <c r="A2500" s="421" t="s">
        <v>591</v>
      </c>
      <c r="B2500" s="421"/>
      <c r="C2500" s="421"/>
    </row>
    <row r="2501" spans="1:8" s="429" customFormat="1" ht="11.25">
      <c r="A2501" s="428"/>
      <c r="B2501" s="428"/>
      <c r="C2501" s="428"/>
    </row>
    <row r="2502" spans="1:8" s="429" customFormat="1" ht="11.25">
      <c r="A2502" s="428"/>
      <c r="B2502" s="428"/>
      <c r="C2502" s="428"/>
    </row>
    <row r="2503" spans="1:8" s="422" customFormat="1" ht="11.25"/>
    <row r="2504" spans="1:8" s="422" customFormat="1" ht="11.25">
      <c r="A2504" s="433" t="s">
        <v>592</v>
      </c>
      <c r="B2504" s="434"/>
      <c r="C2504" s="434"/>
      <c r="D2504" s="434"/>
      <c r="E2504" s="434"/>
      <c r="F2504" s="434"/>
      <c r="G2504" s="434"/>
      <c r="H2504" s="434"/>
    </row>
    <row r="2505" spans="1:8" s="429" customFormat="1" ht="11.25">
      <c r="A2505" s="435"/>
      <c r="B2505" s="436"/>
      <c r="C2505" s="436"/>
      <c r="D2505" s="436"/>
      <c r="E2505" s="436"/>
      <c r="F2505" s="436"/>
      <c r="G2505" s="436"/>
      <c r="H2505" s="436"/>
    </row>
    <row r="2506" spans="1:8" s="429" customFormat="1" ht="11.25">
      <c r="A2506" s="435"/>
      <c r="B2506" s="436"/>
      <c r="C2506" s="436"/>
      <c r="D2506" s="436"/>
      <c r="E2506" s="436"/>
      <c r="F2506" s="436"/>
      <c r="G2506" s="436"/>
      <c r="H2506" s="436"/>
    </row>
    <row r="2507" spans="1:8" s="422" customFormat="1" ht="11.25">
      <c r="A2507" s="437"/>
      <c r="B2507" s="437"/>
      <c r="C2507" s="437"/>
      <c r="D2507" s="437"/>
      <c r="E2507" s="437"/>
      <c r="F2507" s="437"/>
      <c r="G2507" s="437"/>
      <c r="H2507" s="437"/>
    </row>
    <row r="2508" spans="1:8" s="422" customFormat="1" ht="11.25">
      <c r="A2508" s="421" t="s">
        <v>593</v>
      </c>
      <c r="B2508" s="421"/>
      <c r="C2508" s="421"/>
    </row>
    <row r="2509" spans="1:8" s="422" customFormat="1" ht="11.25">
      <c r="A2509" s="438"/>
      <c r="B2509" s="439" t="s">
        <v>132</v>
      </c>
      <c r="C2509" s="439" t="s">
        <v>473</v>
      </c>
      <c r="D2509" s="439" t="s">
        <v>474</v>
      </c>
      <c r="E2509" s="439" t="s">
        <v>375</v>
      </c>
      <c r="F2509" s="439" t="s">
        <v>9</v>
      </c>
      <c r="G2509" s="439" t="s">
        <v>131</v>
      </c>
      <c r="H2509" s="439" t="s">
        <v>424</v>
      </c>
    </row>
    <row r="2510" spans="1:8" s="422" customFormat="1" ht="11.25">
      <c r="A2510" s="439" t="s">
        <v>394</v>
      </c>
      <c r="B2510" s="438">
        <v>2440413.5100000002</v>
      </c>
      <c r="C2510" s="438">
        <v>2433971.8600000003</v>
      </c>
      <c r="D2510" s="438">
        <v>2714615.32</v>
      </c>
      <c r="E2510" s="438">
        <v>2722287.2419999996</v>
      </c>
      <c r="F2510" s="438">
        <v>2722947.2419999996</v>
      </c>
      <c r="G2510" s="438">
        <v>2741628.2127999994</v>
      </c>
      <c r="H2510" s="438">
        <v>1878723.9893099996</v>
      </c>
    </row>
    <row r="2511" spans="1:8" s="422" customFormat="1" ht="11.25">
      <c r="A2511" s="439" t="s">
        <v>395</v>
      </c>
      <c r="B2511" s="438">
        <v>-1024371.6900000001</v>
      </c>
      <c r="C2511" s="438">
        <v>-1092489.2999999998</v>
      </c>
      <c r="D2511" s="438">
        <v>-963569.2</v>
      </c>
      <c r="E2511" s="438">
        <v>-971569.2</v>
      </c>
      <c r="F2511" s="438">
        <v>-971569.2</v>
      </c>
      <c r="G2511" s="438">
        <v>-971569.2</v>
      </c>
      <c r="H2511" s="438">
        <v>-451569.19999999995</v>
      </c>
    </row>
    <row r="2512" spans="1:8" s="422" customFormat="1" ht="11.25">
      <c r="A2512" s="439" t="s">
        <v>396</v>
      </c>
      <c r="B2512" s="438">
        <v>1416041.8200000003</v>
      </c>
      <c r="C2512" s="438">
        <v>1341482.5600000005</v>
      </c>
      <c r="D2512" s="438">
        <v>1751046.1199999999</v>
      </c>
      <c r="E2512" s="438">
        <v>1750718.0419999997</v>
      </c>
      <c r="F2512" s="438">
        <v>1751378.0419999997</v>
      </c>
      <c r="G2512" s="438">
        <v>1770059.0127999994</v>
      </c>
      <c r="H2512" s="438">
        <v>1427154.7893099997</v>
      </c>
    </row>
    <row r="2513" spans="1:8" s="442" customFormat="1" ht="11.25">
      <c r="A2513" s="440" t="s">
        <v>397</v>
      </c>
      <c r="B2513" s="441">
        <v>0.41975332696793666</v>
      </c>
      <c r="C2513" s="441">
        <v>0.44885042343915993</v>
      </c>
      <c r="D2513" s="441">
        <v>0.354956075323409</v>
      </c>
      <c r="E2513" s="441">
        <v>0.35689444707025525</v>
      </c>
      <c r="F2513" s="441">
        <v>0.35680794141512057</v>
      </c>
      <c r="G2513" s="441">
        <v>0.35437671507171475</v>
      </c>
      <c r="H2513" s="441">
        <v>0.24035952197845098</v>
      </c>
    </row>
    <row r="2514" spans="1:8" s="422" customFormat="1" ht="11.25"/>
    <row r="2515" spans="1:8" s="422" customFormat="1" ht="11.25">
      <c r="A2515" s="443" t="s">
        <v>594</v>
      </c>
      <c r="B2515" s="443"/>
      <c r="C2515" s="444"/>
    </row>
    <row r="2516" spans="1:8" s="422" customFormat="1" ht="11.25">
      <c r="A2516" s="445" t="s">
        <v>595</v>
      </c>
      <c r="B2516" s="446"/>
      <c r="C2516" s="447"/>
      <c r="D2516" s="439" t="s">
        <v>474</v>
      </c>
      <c r="E2516" s="439" t="s">
        <v>375</v>
      </c>
      <c r="F2516" s="439" t="s">
        <v>9</v>
      </c>
      <c r="G2516" s="439" t="s">
        <v>131</v>
      </c>
      <c r="H2516" s="439" t="s">
        <v>424</v>
      </c>
    </row>
    <row r="2517" spans="1:8" s="422" customFormat="1" ht="11.25">
      <c r="A2517" s="448" t="s">
        <v>861</v>
      </c>
      <c r="B2517" s="449"/>
      <c r="C2517" s="449"/>
      <c r="D2517" s="457">
        <v>1</v>
      </c>
      <c r="E2517" s="457">
        <v>1</v>
      </c>
      <c r="F2517" s="457">
        <v>1</v>
      </c>
      <c r="G2517" s="457">
        <v>1</v>
      </c>
      <c r="H2517" s="457">
        <v>1</v>
      </c>
    </row>
    <row r="2518" spans="1:8" s="422" customFormat="1" ht="11.25">
      <c r="A2518" s="448" t="s">
        <v>862</v>
      </c>
      <c r="B2518" s="449"/>
      <c r="C2518" s="449"/>
      <c r="D2518" s="457">
        <v>1</v>
      </c>
      <c r="E2518" s="457">
        <v>1</v>
      </c>
      <c r="F2518" s="457">
        <v>1</v>
      </c>
      <c r="G2518" s="457">
        <v>1</v>
      </c>
      <c r="H2518" s="457">
        <v>1</v>
      </c>
    </row>
    <row r="2519" spans="1:8" s="422" customFormat="1" ht="11.25">
      <c r="A2519" s="448"/>
      <c r="B2519" s="449"/>
      <c r="C2519" s="449"/>
      <c r="D2519" s="438"/>
      <c r="E2519" s="438"/>
      <c r="F2519" s="438"/>
      <c r="G2519" s="438"/>
      <c r="H2519" s="438"/>
    </row>
    <row r="2520" spans="1:8" s="422" customFormat="1" ht="11.25"/>
    <row r="2521" spans="1:8" s="422" customFormat="1" ht="11.25">
      <c r="A2521" s="421" t="s">
        <v>423</v>
      </c>
      <c r="B2521" s="421"/>
      <c r="C2521" s="421"/>
    </row>
    <row r="2522" spans="1:8" s="422" customFormat="1" ht="11.25">
      <c r="A2522" s="450"/>
      <c r="B2522" s="439" t="s">
        <v>132</v>
      </c>
      <c r="C2522" s="439" t="s">
        <v>473</v>
      </c>
      <c r="D2522" s="439" t="s">
        <v>474</v>
      </c>
      <c r="E2522" s="439" t="s">
        <v>375</v>
      </c>
      <c r="F2522" s="439" t="s">
        <v>9</v>
      </c>
      <c r="G2522" s="439" t="s">
        <v>131</v>
      </c>
      <c r="H2522" s="439" t="s">
        <v>424</v>
      </c>
    </row>
    <row r="2523" spans="1:8" s="422" customFormat="1" ht="11.25">
      <c r="A2523" s="451" t="s">
        <v>398</v>
      </c>
      <c r="B2523" s="438">
        <v>0</v>
      </c>
      <c r="C2523" s="438">
        <v>0</v>
      </c>
      <c r="D2523" s="438">
        <v>0</v>
      </c>
      <c r="E2523" s="438">
        <v>0</v>
      </c>
      <c r="F2523" s="438">
        <v>0</v>
      </c>
      <c r="G2523" s="438">
        <v>0</v>
      </c>
      <c r="H2523" s="438">
        <v>0</v>
      </c>
    </row>
    <row r="2524" spans="1:8" s="422" customFormat="1" ht="11.25">
      <c r="A2524" s="451" t="s">
        <v>399</v>
      </c>
      <c r="B2524" s="438">
        <v>0</v>
      </c>
      <c r="C2524" s="438">
        <v>0</v>
      </c>
      <c r="D2524" s="438">
        <v>0</v>
      </c>
      <c r="E2524" s="438">
        <v>0</v>
      </c>
      <c r="F2524" s="438">
        <v>0</v>
      </c>
      <c r="G2524" s="438">
        <v>0</v>
      </c>
      <c r="H2524" s="438">
        <v>0</v>
      </c>
    </row>
    <row r="2525" spans="1:8" s="422" customFormat="1" ht="11.25">
      <c r="A2525" s="451" t="s">
        <v>400</v>
      </c>
      <c r="B2525" s="438">
        <v>0</v>
      </c>
      <c r="C2525" s="438">
        <v>0</v>
      </c>
      <c r="D2525" s="438">
        <v>0</v>
      </c>
      <c r="E2525" s="438">
        <v>0</v>
      </c>
      <c r="F2525" s="438">
        <v>0</v>
      </c>
      <c r="G2525" s="438">
        <v>0</v>
      </c>
      <c r="H2525" s="438">
        <v>0</v>
      </c>
    </row>
    <row r="2526" spans="1:8" s="422" customFormat="1" ht="11.25">
      <c r="A2526" s="451" t="s">
        <v>401</v>
      </c>
      <c r="B2526" s="438">
        <v>0</v>
      </c>
      <c r="C2526" s="438">
        <v>0</v>
      </c>
      <c r="D2526" s="438">
        <v>0</v>
      </c>
      <c r="E2526" s="438">
        <v>0</v>
      </c>
      <c r="F2526" s="438">
        <v>0</v>
      </c>
      <c r="G2526" s="438">
        <v>0</v>
      </c>
      <c r="H2526" s="438">
        <v>0</v>
      </c>
    </row>
    <row r="2527" spans="1:8" s="422" customFormat="1" ht="11.25"/>
    <row r="2528" spans="1:8" s="422" customFormat="1" ht="11.25">
      <c r="A2528" s="421" t="s">
        <v>597</v>
      </c>
      <c r="B2528" s="421"/>
      <c r="C2528" s="421"/>
    </row>
    <row r="2529" spans="1:8" s="429" customFormat="1" ht="11.25">
      <c r="A2529" s="428"/>
      <c r="B2529" s="428"/>
      <c r="C2529" s="428"/>
    </row>
    <row r="2530" spans="1:8" s="429" customFormat="1" ht="11.25">
      <c r="A2530" s="428"/>
      <c r="B2530" s="428"/>
      <c r="C2530" s="428"/>
    </row>
    <row r="2531" spans="1:8" s="422" customFormat="1" ht="11.25"/>
    <row r="2532" spans="1:8" s="422" customFormat="1" ht="11.25">
      <c r="A2532" s="421" t="s">
        <v>598</v>
      </c>
      <c r="B2532" s="421"/>
      <c r="C2532" s="421"/>
    </row>
    <row r="2533" spans="1:8" s="422" customFormat="1" ht="11.25">
      <c r="A2533" s="452" t="s">
        <v>599</v>
      </c>
      <c r="B2533" s="447"/>
      <c r="C2533" s="447"/>
      <c r="D2533" s="447"/>
      <c r="E2533" s="439" t="s">
        <v>375</v>
      </c>
      <c r="F2533" s="439" t="s">
        <v>9</v>
      </c>
      <c r="G2533" s="439" t="s">
        <v>131</v>
      </c>
      <c r="H2533" s="439" t="s">
        <v>424</v>
      </c>
    </row>
    <row r="2534" spans="1:8" s="422" customFormat="1" ht="11.25">
      <c r="A2534" s="448"/>
      <c r="B2534" s="449"/>
      <c r="C2534" s="449"/>
      <c r="D2534" s="449"/>
      <c r="E2534" s="438">
        <v>0</v>
      </c>
      <c r="F2534" s="438">
        <v>0</v>
      </c>
      <c r="G2534" s="438">
        <v>0</v>
      </c>
      <c r="H2534" s="438">
        <v>0</v>
      </c>
    </row>
    <row r="2535" spans="1:8" s="422" customFormat="1" ht="11.25">
      <c r="A2535" s="448"/>
      <c r="B2535" s="449"/>
      <c r="C2535" s="449"/>
      <c r="D2535" s="449"/>
      <c r="E2535" s="438">
        <v>0</v>
      </c>
      <c r="F2535" s="438">
        <v>0</v>
      </c>
      <c r="G2535" s="438">
        <v>0</v>
      </c>
      <c r="H2535" s="438">
        <v>0</v>
      </c>
    </row>
    <row r="2536" spans="1:8" s="422" customFormat="1" ht="11.25">
      <c r="A2536" s="448"/>
      <c r="B2536" s="449"/>
      <c r="C2536" s="449"/>
      <c r="D2536" s="449"/>
      <c r="E2536" s="438">
        <v>0</v>
      </c>
      <c r="F2536" s="438">
        <v>0</v>
      </c>
      <c r="G2536" s="438">
        <v>0</v>
      </c>
      <c r="H2536" s="438">
        <v>0</v>
      </c>
    </row>
    <row r="2537" spans="1:8" s="421" customFormat="1" ht="11.25">
      <c r="A2537" s="421" t="s">
        <v>391</v>
      </c>
      <c r="D2537" s="421" t="s">
        <v>472</v>
      </c>
    </row>
    <row r="2538" spans="1:8" s="422" customFormat="1" ht="11.25"/>
    <row r="2539" spans="1:8" s="421" customFormat="1" ht="11.25" customHeight="1">
      <c r="A2539" s="423" t="s">
        <v>392</v>
      </c>
      <c r="D2539" s="421" t="s">
        <v>145</v>
      </c>
    </row>
    <row r="2540" spans="1:8" s="421" customFormat="1" ht="7.5" customHeight="1">
      <c r="A2540" s="423"/>
    </row>
    <row r="2541" spans="1:8" s="421" customFormat="1" ht="11.25">
      <c r="A2541" s="424" t="s">
        <v>393</v>
      </c>
      <c r="D2541" s="583" t="s">
        <v>30</v>
      </c>
      <c r="E2541" s="583"/>
      <c r="F2541" s="583"/>
      <c r="G2541" s="583"/>
      <c r="H2541" s="583"/>
    </row>
    <row r="2542" spans="1:8" s="421" customFormat="1" ht="7.5" customHeight="1"/>
    <row r="2543" spans="1:8" s="422" customFormat="1" ht="11.25">
      <c r="A2543" s="421" t="s">
        <v>170</v>
      </c>
      <c r="B2543" s="421"/>
      <c r="C2543" s="421"/>
      <c r="D2543" s="422" t="s">
        <v>434</v>
      </c>
      <c r="E2543" s="422" t="s">
        <v>863</v>
      </c>
    </row>
    <row r="2544" spans="1:8" s="422" customFormat="1" ht="7.5" customHeight="1"/>
    <row r="2545" spans="1:8" s="427" customFormat="1" ht="11.25">
      <c r="A2545" s="425" t="s">
        <v>587</v>
      </c>
      <c r="B2545" s="425"/>
      <c r="C2545" s="425"/>
      <c r="D2545" s="426" t="s">
        <v>864</v>
      </c>
      <c r="E2545" s="584" t="s">
        <v>865</v>
      </c>
      <c r="F2545" s="584"/>
      <c r="G2545" s="584"/>
      <c r="H2545" s="584"/>
    </row>
    <row r="2546" spans="1:8" s="427" customFormat="1" ht="11.25">
      <c r="A2546" s="425"/>
      <c r="B2546" s="425"/>
      <c r="C2546" s="425"/>
      <c r="D2546" s="426" t="s">
        <v>866</v>
      </c>
      <c r="E2546" s="584" t="s">
        <v>867</v>
      </c>
      <c r="F2546" s="584"/>
      <c r="G2546" s="584"/>
      <c r="H2546" s="584"/>
    </row>
    <row r="2547" spans="1:8" s="427" customFormat="1" ht="11.25">
      <c r="A2547" s="425"/>
      <c r="B2547" s="425"/>
      <c r="C2547" s="425"/>
      <c r="D2547" s="426" t="s">
        <v>868</v>
      </c>
      <c r="E2547" s="584" t="s">
        <v>869</v>
      </c>
      <c r="F2547" s="584"/>
      <c r="G2547" s="584"/>
      <c r="H2547" s="584"/>
    </row>
    <row r="2548" spans="1:8" s="427" customFormat="1" ht="11.25">
      <c r="A2548" s="425"/>
      <c r="B2548" s="425"/>
      <c r="C2548" s="425"/>
      <c r="D2548" s="426" t="s">
        <v>870</v>
      </c>
      <c r="E2548" s="584" t="s">
        <v>871</v>
      </c>
      <c r="F2548" s="584"/>
      <c r="G2548" s="584"/>
      <c r="H2548" s="584"/>
    </row>
    <row r="2549" spans="1:8" s="427" customFormat="1" ht="11.25">
      <c r="A2549" s="425"/>
      <c r="B2549" s="425"/>
      <c r="C2549" s="425"/>
      <c r="D2549" s="426"/>
      <c r="E2549" s="584"/>
      <c r="F2549" s="584"/>
      <c r="G2549" s="584"/>
      <c r="H2549" s="584"/>
    </row>
    <row r="2550" spans="1:8" s="427" customFormat="1" ht="11.25"/>
    <row r="2551" spans="1:8" s="422" customFormat="1" ht="11.25"/>
    <row r="2552" spans="1:8" s="422" customFormat="1" ht="11.25">
      <c r="A2552" s="421" t="s">
        <v>589</v>
      </c>
      <c r="B2552" s="421"/>
      <c r="C2552" s="421"/>
    </row>
    <row r="2553" spans="1:8" s="429" customFormat="1" ht="11.25">
      <c r="A2553" s="428"/>
      <c r="B2553" s="428"/>
      <c r="C2553" s="428"/>
    </row>
    <row r="2554" spans="1:8" s="429" customFormat="1" ht="11.25">
      <c r="A2554" s="428"/>
      <c r="B2554" s="428"/>
      <c r="C2554" s="428"/>
    </row>
    <row r="2555" spans="1:8" s="429" customFormat="1" ht="11.25">
      <c r="A2555" s="428"/>
      <c r="B2555" s="428"/>
      <c r="C2555" s="428"/>
    </row>
    <row r="2556" spans="1:8" s="429" customFormat="1" ht="11.25">
      <c r="A2556" s="428"/>
      <c r="B2556" s="428"/>
      <c r="C2556" s="428"/>
    </row>
    <row r="2557" spans="1:8" s="429" customFormat="1" ht="11.25">
      <c r="A2557" s="428"/>
      <c r="B2557" s="428"/>
      <c r="C2557" s="428"/>
    </row>
    <row r="2558" spans="1:8" s="429" customFormat="1" ht="11.25">
      <c r="A2558" s="428"/>
      <c r="B2558" s="428"/>
      <c r="C2558" s="428"/>
    </row>
    <row r="2559" spans="1:8" s="422" customFormat="1" ht="9" customHeight="1">
      <c r="A2559" s="430"/>
      <c r="B2559" s="430"/>
      <c r="C2559" s="430"/>
      <c r="D2559" s="430"/>
      <c r="E2559" s="430"/>
      <c r="F2559" s="430"/>
      <c r="G2559" s="430"/>
      <c r="H2559" s="430"/>
    </row>
    <row r="2560" spans="1:8" s="422" customFormat="1" ht="22.5" customHeight="1">
      <c r="A2560" s="585" t="s">
        <v>590</v>
      </c>
      <c r="B2560" s="585"/>
      <c r="C2560" s="585"/>
      <c r="D2560" s="586"/>
      <c r="E2560" s="586"/>
      <c r="F2560" s="586"/>
      <c r="G2560" s="586"/>
      <c r="H2560" s="586"/>
    </row>
    <row r="2561" spans="1:8" s="429" customFormat="1" ht="11.25">
      <c r="A2561" s="431"/>
      <c r="B2561" s="431"/>
      <c r="C2561" s="431"/>
      <c r="D2561" s="432"/>
      <c r="E2561" s="432"/>
      <c r="F2561" s="432"/>
      <c r="G2561" s="432"/>
      <c r="H2561" s="432"/>
    </row>
    <row r="2562" spans="1:8" s="429" customFormat="1" ht="11.25">
      <c r="A2562" s="431"/>
      <c r="B2562" s="431"/>
      <c r="C2562" s="431"/>
      <c r="D2562" s="432"/>
      <c r="E2562" s="432"/>
      <c r="F2562" s="432"/>
      <c r="G2562" s="432"/>
      <c r="H2562" s="432"/>
    </row>
    <row r="2563" spans="1:8" s="429" customFormat="1" ht="11.25">
      <c r="A2563" s="431"/>
      <c r="B2563" s="431"/>
      <c r="C2563" s="431"/>
      <c r="D2563" s="432"/>
      <c r="E2563" s="432"/>
      <c r="F2563" s="432"/>
      <c r="G2563" s="432"/>
      <c r="H2563" s="432"/>
    </row>
    <row r="2564" spans="1:8" s="422" customFormat="1" ht="11.25"/>
    <row r="2565" spans="1:8" s="422" customFormat="1" ht="9" customHeight="1"/>
    <row r="2566" spans="1:8" s="422" customFormat="1" ht="11.25">
      <c r="A2566" s="421" t="s">
        <v>591</v>
      </c>
      <c r="B2566" s="421"/>
      <c r="C2566" s="421"/>
    </row>
    <row r="2567" spans="1:8" s="429" customFormat="1" ht="11.25">
      <c r="A2567" s="428"/>
      <c r="B2567" s="428"/>
      <c r="C2567" s="428"/>
    </row>
    <row r="2568" spans="1:8" s="422" customFormat="1" ht="9" customHeight="1"/>
    <row r="2569" spans="1:8" s="422" customFormat="1" ht="9" customHeight="1"/>
    <row r="2570" spans="1:8" s="422" customFormat="1" ht="9" customHeight="1"/>
    <row r="2571" spans="1:8" s="422" customFormat="1" ht="9" customHeight="1"/>
    <row r="2572" spans="1:8" s="422" customFormat="1" ht="9" customHeight="1"/>
    <row r="2573" spans="1:8" s="422" customFormat="1" ht="11.25">
      <c r="A2573" s="433" t="s">
        <v>592</v>
      </c>
      <c r="B2573" s="434"/>
      <c r="C2573" s="434"/>
      <c r="D2573" s="434"/>
      <c r="E2573" s="434"/>
      <c r="F2573" s="434"/>
      <c r="G2573" s="434"/>
      <c r="H2573" s="434"/>
    </row>
    <row r="2574" spans="1:8" s="429" customFormat="1" ht="11.25">
      <c r="A2574" s="435"/>
      <c r="B2574" s="436"/>
      <c r="C2574" s="436"/>
      <c r="D2574" s="436"/>
      <c r="E2574" s="436"/>
      <c r="F2574" s="436"/>
      <c r="G2574" s="436"/>
      <c r="H2574" s="436"/>
    </row>
    <row r="2575" spans="1:8" s="429" customFormat="1" ht="11.25">
      <c r="A2575" s="435"/>
      <c r="B2575" s="436"/>
      <c r="C2575" s="436"/>
      <c r="D2575" s="436"/>
      <c r="E2575" s="436"/>
      <c r="F2575" s="436"/>
      <c r="G2575" s="436"/>
      <c r="H2575" s="436"/>
    </row>
    <row r="2576" spans="1:8" s="429" customFormat="1" ht="11.25">
      <c r="A2576" s="435"/>
      <c r="B2576" s="436"/>
      <c r="C2576" s="436"/>
      <c r="D2576" s="436"/>
      <c r="E2576" s="436"/>
      <c r="F2576" s="436"/>
      <c r="G2576" s="436"/>
      <c r="H2576" s="436"/>
    </row>
    <row r="2577" spans="1:8" s="422" customFormat="1" ht="11.25">
      <c r="A2577" s="437"/>
      <c r="B2577" s="437"/>
      <c r="C2577" s="437"/>
      <c r="D2577" s="437"/>
      <c r="E2577" s="437"/>
      <c r="F2577" s="437"/>
      <c r="G2577" s="437"/>
      <c r="H2577" s="437"/>
    </row>
    <row r="2578" spans="1:8" s="422" customFormat="1" ht="11.25">
      <c r="A2578" s="421" t="s">
        <v>593</v>
      </c>
      <c r="B2578" s="421"/>
      <c r="C2578" s="421"/>
    </row>
    <row r="2579" spans="1:8" s="422" customFormat="1" ht="11.25">
      <c r="A2579" s="438"/>
      <c r="B2579" s="439" t="s">
        <v>132</v>
      </c>
      <c r="C2579" s="439" t="s">
        <v>473</v>
      </c>
      <c r="D2579" s="439" t="s">
        <v>474</v>
      </c>
      <c r="E2579" s="439" t="s">
        <v>375</v>
      </c>
      <c r="F2579" s="439" t="s">
        <v>9</v>
      </c>
      <c r="G2579" s="439" t="s">
        <v>131</v>
      </c>
      <c r="H2579" s="439" t="s">
        <v>424</v>
      </c>
    </row>
    <row r="2580" spans="1:8" s="422" customFormat="1" ht="11.25">
      <c r="A2580" s="439" t="s">
        <v>394</v>
      </c>
      <c r="B2580" s="438">
        <v>4706868.42</v>
      </c>
      <c r="C2580" s="438">
        <v>4632878.92</v>
      </c>
      <c r="D2580" s="438">
        <v>4091820.48</v>
      </c>
      <c r="E2580" s="438">
        <v>4458071.9847999997</v>
      </c>
      <c r="F2580" s="438">
        <v>4180044.9847999997</v>
      </c>
      <c r="G2580" s="438">
        <v>4210990.9315200001</v>
      </c>
      <c r="H2580" s="438">
        <v>4234197.4839200005</v>
      </c>
    </row>
    <row r="2581" spans="1:8" s="422" customFormat="1" ht="11.25">
      <c r="A2581" s="439" t="s">
        <v>395</v>
      </c>
      <c r="B2581" s="438">
        <v>-736402.05</v>
      </c>
      <c r="C2581" s="438">
        <v>-688025.13000000012</v>
      </c>
      <c r="D2581" s="438">
        <v>-408904.64</v>
      </c>
      <c r="E2581" s="438">
        <v>-408904.64</v>
      </c>
      <c r="F2581" s="438">
        <v>-408904.64</v>
      </c>
      <c r="G2581" s="438">
        <v>-408904.64</v>
      </c>
      <c r="H2581" s="438">
        <v>-408904.64</v>
      </c>
    </row>
    <row r="2582" spans="1:8" s="422" customFormat="1" ht="11.25">
      <c r="A2582" s="439" t="s">
        <v>396</v>
      </c>
      <c r="B2582" s="438">
        <v>3970466.37</v>
      </c>
      <c r="C2582" s="438">
        <v>3944853.79</v>
      </c>
      <c r="D2582" s="438">
        <v>3682915.84</v>
      </c>
      <c r="E2582" s="438">
        <v>4049167.3447999996</v>
      </c>
      <c r="F2582" s="438">
        <v>3771140.3447999996</v>
      </c>
      <c r="G2582" s="438">
        <v>3802086.29152</v>
      </c>
      <c r="H2582" s="438">
        <v>3825292.8439200004</v>
      </c>
    </row>
    <row r="2583" spans="1:8" s="442" customFormat="1" ht="11.25">
      <c r="A2583" s="440" t="s">
        <v>397</v>
      </c>
      <c r="B2583" s="441">
        <v>0.1564526526535025</v>
      </c>
      <c r="C2583" s="441">
        <v>0.1485091973869242</v>
      </c>
      <c r="D2583" s="441">
        <v>9.9932204259361848E-2</v>
      </c>
      <c r="E2583" s="441">
        <v>9.1722305380931277E-2</v>
      </c>
      <c r="F2583" s="441">
        <v>9.7823023792066838E-2</v>
      </c>
      <c r="G2583" s="441">
        <v>9.7104136923990406E-2</v>
      </c>
      <c r="H2583" s="441">
        <v>9.6571934009426028E-2</v>
      </c>
    </row>
    <row r="2584" spans="1:8" s="422" customFormat="1" ht="11.25"/>
    <row r="2585" spans="1:8" s="422" customFormat="1" ht="11.25">
      <c r="A2585" s="443" t="s">
        <v>594</v>
      </c>
      <c r="B2585" s="443"/>
      <c r="C2585" s="444"/>
    </row>
    <row r="2586" spans="1:8" s="422" customFormat="1" ht="11.25">
      <c r="A2586" s="445" t="s">
        <v>595</v>
      </c>
      <c r="B2586" s="446"/>
      <c r="C2586" s="447"/>
      <c r="D2586" s="439" t="s">
        <v>474</v>
      </c>
      <c r="E2586" s="439" t="s">
        <v>375</v>
      </c>
      <c r="F2586" s="439" t="s">
        <v>9</v>
      </c>
      <c r="G2586" s="439" t="s">
        <v>131</v>
      </c>
      <c r="H2586" s="439" t="s">
        <v>424</v>
      </c>
    </row>
    <row r="2587" spans="1:8" s="422" customFormat="1" ht="11.25">
      <c r="A2587" s="448" t="s">
        <v>872</v>
      </c>
      <c r="B2587" s="449"/>
      <c r="C2587" s="449"/>
      <c r="D2587" s="438">
        <v>80</v>
      </c>
      <c r="E2587" s="438">
        <v>80</v>
      </c>
      <c r="F2587" s="438">
        <v>80</v>
      </c>
      <c r="G2587" s="438">
        <v>80</v>
      </c>
      <c r="H2587" s="438">
        <v>80</v>
      </c>
    </row>
    <row r="2588" spans="1:8" s="422" customFormat="1" ht="11.25">
      <c r="A2588" s="448" t="s">
        <v>873</v>
      </c>
      <c r="B2588" s="449"/>
      <c r="C2588" s="449"/>
      <c r="D2588" s="438">
        <v>15</v>
      </c>
      <c r="E2588" s="438">
        <v>15</v>
      </c>
      <c r="F2588" s="438">
        <v>15</v>
      </c>
      <c r="G2588" s="438">
        <v>15</v>
      </c>
      <c r="H2588" s="438">
        <v>15</v>
      </c>
    </row>
    <row r="2589" spans="1:8" s="422" customFormat="1" ht="11.25">
      <c r="A2589" s="448"/>
      <c r="B2589" s="449"/>
      <c r="C2589" s="449"/>
      <c r="D2589" s="438"/>
      <c r="E2589" s="438"/>
      <c r="F2589" s="438"/>
      <c r="G2589" s="438"/>
      <c r="H2589" s="438"/>
    </row>
    <row r="2590" spans="1:8" s="422" customFormat="1" ht="11.25"/>
    <row r="2591" spans="1:8" s="422" customFormat="1" ht="11.25">
      <c r="A2591" s="421" t="s">
        <v>423</v>
      </c>
      <c r="B2591" s="421"/>
      <c r="C2591" s="421"/>
    </row>
    <row r="2592" spans="1:8" s="422" customFormat="1" ht="11.25">
      <c r="A2592" s="450"/>
      <c r="B2592" s="439" t="s">
        <v>132</v>
      </c>
      <c r="C2592" s="439" t="s">
        <v>473</v>
      </c>
      <c r="D2592" s="439" t="s">
        <v>474</v>
      </c>
      <c r="E2592" s="439" t="s">
        <v>375</v>
      </c>
      <c r="F2592" s="439" t="s">
        <v>9</v>
      </c>
      <c r="G2592" s="439" t="s">
        <v>131</v>
      </c>
      <c r="H2592" s="439" t="s">
        <v>424</v>
      </c>
    </row>
    <row r="2593" spans="1:8" s="422" customFormat="1" ht="11.25">
      <c r="A2593" s="451" t="s">
        <v>398</v>
      </c>
      <c r="B2593" s="438">
        <v>0</v>
      </c>
      <c r="C2593" s="438">
        <v>0</v>
      </c>
      <c r="D2593" s="438">
        <v>0</v>
      </c>
      <c r="E2593" s="438">
        <v>0</v>
      </c>
      <c r="F2593" s="438">
        <v>0</v>
      </c>
      <c r="G2593" s="438">
        <v>0</v>
      </c>
      <c r="H2593" s="438">
        <v>0</v>
      </c>
    </row>
    <row r="2594" spans="1:8" s="422" customFormat="1" ht="11.25">
      <c r="A2594" s="451" t="s">
        <v>399</v>
      </c>
      <c r="B2594" s="438">
        <v>0</v>
      </c>
      <c r="C2594" s="438">
        <v>0</v>
      </c>
      <c r="D2594" s="438">
        <v>0</v>
      </c>
      <c r="E2594" s="438">
        <v>0</v>
      </c>
      <c r="F2594" s="438">
        <v>0</v>
      </c>
      <c r="G2594" s="438">
        <v>0</v>
      </c>
      <c r="H2594" s="438">
        <v>0</v>
      </c>
    </row>
    <row r="2595" spans="1:8" s="422" customFormat="1" ht="11.25">
      <c r="A2595" s="451" t="s">
        <v>400</v>
      </c>
      <c r="B2595" s="438">
        <v>0</v>
      </c>
      <c r="C2595" s="438">
        <v>0</v>
      </c>
      <c r="D2595" s="438">
        <v>0</v>
      </c>
      <c r="E2595" s="438">
        <v>0</v>
      </c>
      <c r="F2595" s="438">
        <v>0</v>
      </c>
      <c r="G2595" s="438">
        <v>0</v>
      </c>
      <c r="H2595" s="438">
        <v>0</v>
      </c>
    </row>
    <row r="2596" spans="1:8" s="422" customFormat="1" ht="11.25">
      <c r="A2596" s="451" t="s">
        <v>401</v>
      </c>
      <c r="B2596" s="438">
        <v>0</v>
      </c>
      <c r="C2596" s="438">
        <v>0</v>
      </c>
      <c r="D2596" s="438">
        <v>0</v>
      </c>
      <c r="E2596" s="438">
        <v>0</v>
      </c>
      <c r="F2596" s="438">
        <v>0</v>
      </c>
      <c r="G2596" s="438">
        <v>0</v>
      </c>
      <c r="H2596" s="438">
        <v>0</v>
      </c>
    </row>
    <row r="2597" spans="1:8" s="422" customFormat="1" ht="11.25"/>
    <row r="2598" spans="1:8" s="422" customFormat="1" ht="11.25">
      <c r="A2598" s="421" t="s">
        <v>597</v>
      </c>
      <c r="B2598" s="421"/>
      <c r="C2598" s="421"/>
    </row>
    <row r="2599" spans="1:8" s="429" customFormat="1" ht="11.25">
      <c r="A2599" s="428"/>
      <c r="B2599" s="428"/>
      <c r="C2599" s="428"/>
    </row>
    <row r="2600" spans="1:8" s="422" customFormat="1" ht="15.75" customHeight="1"/>
    <row r="2601" spans="1:8" s="422" customFormat="1" ht="11.25">
      <c r="A2601" s="421" t="s">
        <v>598</v>
      </c>
      <c r="B2601" s="421"/>
      <c r="C2601" s="421"/>
    </row>
    <row r="2602" spans="1:8" s="422" customFormat="1" ht="11.25">
      <c r="A2602" s="452" t="s">
        <v>599</v>
      </c>
      <c r="B2602" s="447"/>
      <c r="C2602" s="447"/>
      <c r="D2602" s="447"/>
      <c r="E2602" s="439" t="s">
        <v>375</v>
      </c>
      <c r="F2602" s="439" t="s">
        <v>9</v>
      </c>
      <c r="G2602" s="439" t="s">
        <v>131</v>
      </c>
      <c r="H2602" s="439" t="s">
        <v>424</v>
      </c>
    </row>
    <row r="2603" spans="1:8" s="422" customFormat="1" ht="11.25">
      <c r="A2603" s="448" t="s">
        <v>522</v>
      </c>
      <c r="B2603" s="449"/>
      <c r="C2603" s="449"/>
      <c r="D2603" s="449"/>
      <c r="E2603" s="438">
        <v>14000</v>
      </c>
      <c r="F2603" s="438">
        <v>14000</v>
      </c>
      <c r="G2603" s="438">
        <v>14000</v>
      </c>
      <c r="H2603" s="438">
        <v>14000</v>
      </c>
    </row>
    <row r="2604" spans="1:8" s="422" customFormat="1" ht="11.25">
      <c r="A2604" s="448" t="s">
        <v>435</v>
      </c>
      <c r="B2604" s="449"/>
      <c r="C2604" s="449"/>
      <c r="D2604" s="449"/>
      <c r="E2604" s="438">
        <v>300000</v>
      </c>
      <c r="F2604" s="438">
        <v>0</v>
      </c>
      <c r="G2604" s="438">
        <v>0</v>
      </c>
      <c r="H2604" s="438">
        <v>0</v>
      </c>
    </row>
    <row r="2605" spans="1:8" s="422" customFormat="1" ht="11.25">
      <c r="A2605" s="448" t="s">
        <v>436</v>
      </c>
      <c r="B2605" s="449"/>
      <c r="C2605" s="449"/>
      <c r="D2605" s="449"/>
      <c r="E2605" s="438">
        <v>25000</v>
      </c>
      <c r="F2605" s="438">
        <v>25000</v>
      </c>
      <c r="G2605" s="438">
        <v>25000</v>
      </c>
      <c r="H2605" s="438">
        <v>25000</v>
      </c>
    </row>
    <row r="2606" spans="1:8" s="421" customFormat="1" ht="11.25">
      <c r="A2606" s="421" t="s">
        <v>391</v>
      </c>
      <c r="D2606" s="421" t="s">
        <v>472</v>
      </c>
    </row>
    <row r="2607" spans="1:8" s="422" customFormat="1" ht="11.25"/>
    <row r="2608" spans="1:8" s="421" customFormat="1" ht="11.25" customHeight="1">
      <c r="A2608" s="423" t="s">
        <v>392</v>
      </c>
      <c r="D2608" s="421" t="s">
        <v>145</v>
      </c>
    </row>
    <row r="2609" spans="1:8" s="421" customFormat="1" ht="7.5" customHeight="1">
      <c r="A2609" s="423"/>
    </row>
    <row r="2610" spans="1:8" s="421" customFormat="1" ht="11.25">
      <c r="A2610" s="424" t="s">
        <v>393</v>
      </c>
      <c r="D2610" s="583" t="s">
        <v>240</v>
      </c>
      <c r="E2610" s="583"/>
      <c r="F2610" s="583"/>
      <c r="G2610" s="583"/>
      <c r="H2610" s="583"/>
    </row>
    <row r="2611" spans="1:8" s="421" customFormat="1" ht="7.5" customHeight="1"/>
    <row r="2612" spans="1:8" s="422" customFormat="1" ht="11.25">
      <c r="A2612" s="421" t="s">
        <v>170</v>
      </c>
      <c r="B2612" s="421"/>
      <c r="C2612" s="421"/>
      <c r="D2612" s="422" t="s">
        <v>239</v>
      </c>
      <c r="E2612" s="422" t="s">
        <v>240</v>
      </c>
    </row>
    <row r="2613" spans="1:8" s="422" customFormat="1" ht="7.5" customHeight="1"/>
    <row r="2614" spans="1:8" s="427" customFormat="1" ht="11.25">
      <c r="A2614" s="425" t="s">
        <v>587</v>
      </c>
      <c r="B2614" s="425"/>
      <c r="C2614" s="425"/>
      <c r="D2614" s="426" t="s">
        <v>874</v>
      </c>
      <c r="E2614" s="584" t="s">
        <v>875</v>
      </c>
      <c r="F2614" s="584"/>
      <c r="G2614" s="584"/>
      <c r="H2614" s="584"/>
    </row>
    <row r="2615" spans="1:8" s="427" customFormat="1" ht="11.25">
      <c r="A2615" s="425"/>
      <c r="B2615" s="425"/>
      <c r="C2615" s="425"/>
      <c r="D2615" s="426" t="s">
        <v>876</v>
      </c>
      <c r="E2615" s="584" t="s">
        <v>877</v>
      </c>
      <c r="F2615" s="584"/>
      <c r="G2615" s="584"/>
      <c r="H2615" s="584"/>
    </row>
    <row r="2616" spans="1:8" s="427" customFormat="1" ht="11.25">
      <c r="A2616" s="425"/>
      <c r="B2616" s="425"/>
      <c r="C2616" s="425"/>
      <c r="D2616" s="426" t="s">
        <v>878</v>
      </c>
      <c r="E2616" s="584" t="s">
        <v>879</v>
      </c>
      <c r="F2616" s="584"/>
      <c r="G2616" s="584"/>
      <c r="H2616" s="584"/>
    </row>
    <row r="2617" spans="1:8" s="427" customFormat="1" ht="11.25">
      <c r="A2617" s="425"/>
      <c r="B2617" s="425"/>
      <c r="C2617" s="425"/>
      <c r="D2617" s="426" t="s">
        <v>880</v>
      </c>
      <c r="E2617" s="584" t="s">
        <v>881</v>
      </c>
      <c r="F2617" s="584"/>
      <c r="G2617" s="584"/>
      <c r="H2617" s="584"/>
    </row>
    <row r="2618" spans="1:8" s="427" customFormat="1" ht="11.25">
      <c r="A2618" s="425"/>
      <c r="B2618" s="425"/>
      <c r="C2618" s="425"/>
      <c r="D2618" s="426" t="s">
        <v>882</v>
      </c>
      <c r="E2618" s="584" t="s">
        <v>883</v>
      </c>
      <c r="F2618" s="584"/>
      <c r="G2618" s="584"/>
      <c r="H2618" s="584"/>
    </row>
    <row r="2619" spans="1:8" s="427" customFormat="1" ht="11.25">
      <c r="A2619" s="425"/>
      <c r="B2619" s="425"/>
      <c r="C2619" s="425"/>
      <c r="D2619" s="426"/>
      <c r="E2619" s="584"/>
      <c r="F2619" s="584"/>
      <c r="G2619" s="584"/>
      <c r="H2619" s="584"/>
    </row>
    <row r="2620" spans="1:8" s="427" customFormat="1" ht="11.25"/>
    <row r="2621" spans="1:8" s="422" customFormat="1" ht="11.25"/>
    <row r="2622" spans="1:8" s="422" customFormat="1" ht="11.25">
      <c r="A2622" s="421" t="s">
        <v>589</v>
      </c>
      <c r="B2622" s="421"/>
      <c r="C2622" s="421"/>
    </row>
    <row r="2623" spans="1:8" s="429" customFormat="1" ht="11.25">
      <c r="A2623" s="428"/>
      <c r="B2623" s="428"/>
      <c r="C2623" s="428"/>
    </row>
    <row r="2624" spans="1:8" s="422" customFormat="1" ht="9" customHeight="1">
      <c r="A2624" s="430"/>
      <c r="B2624" s="430"/>
      <c r="C2624" s="430"/>
      <c r="D2624" s="430"/>
      <c r="E2624" s="430"/>
      <c r="F2624" s="430"/>
      <c r="G2624" s="430"/>
      <c r="H2624" s="430"/>
    </row>
    <row r="2625" spans="1:8" s="422" customFormat="1" ht="22.5" customHeight="1">
      <c r="A2625" s="585" t="s">
        <v>590</v>
      </c>
      <c r="B2625" s="585"/>
      <c r="C2625" s="585"/>
      <c r="D2625" s="586"/>
      <c r="E2625" s="586"/>
      <c r="F2625" s="586"/>
      <c r="G2625" s="586"/>
      <c r="H2625" s="586"/>
    </row>
    <row r="2626" spans="1:8" s="429" customFormat="1" ht="11.25">
      <c r="A2626" s="431"/>
      <c r="B2626" s="431"/>
      <c r="C2626" s="431"/>
      <c r="D2626" s="432"/>
      <c r="E2626" s="432"/>
      <c r="F2626" s="432"/>
      <c r="G2626" s="432"/>
      <c r="H2626" s="432"/>
    </row>
    <row r="2627" spans="1:8" s="429" customFormat="1" ht="11.25">
      <c r="A2627" s="431"/>
      <c r="B2627" s="431"/>
      <c r="C2627" s="431"/>
      <c r="D2627" s="432"/>
      <c r="E2627" s="432"/>
      <c r="F2627" s="432"/>
      <c r="G2627" s="432"/>
      <c r="H2627" s="432"/>
    </row>
    <row r="2628" spans="1:8" s="429" customFormat="1" ht="11.25">
      <c r="A2628" s="431"/>
      <c r="B2628" s="431"/>
      <c r="C2628" s="431"/>
      <c r="D2628" s="432"/>
      <c r="E2628" s="432"/>
      <c r="F2628" s="432"/>
      <c r="G2628" s="432"/>
      <c r="H2628" s="432"/>
    </row>
    <row r="2629" spans="1:8" s="429" customFormat="1" ht="11.25">
      <c r="A2629" s="431"/>
      <c r="B2629" s="431"/>
      <c r="C2629" s="431"/>
      <c r="D2629" s="432"/>
      <c r="E2629" s="432"/>
      <c r="F2629" s="432"/>
      <c r="G2629" s="432"/>
      <c r="H2629" s="432"/>
    </row>
    <row r="2630" spans="1:8" s="429" customFormat="1" ht="11.25">
      <c r="A2630" s="431"/>
      <c r="B2630" s="431"/>
      <c r="C2630" s="431"/>
      <c r="D2630" s="432"/>
      <c r="E2630" s="432"/>
      <c r="F2630" s="432"/>
      <c r="G2630" s="432"/>
      <c r="H2630" s="432"/>
    </row>
    <row r="2631" spans="1:8" s="429" customFormat="1" ht="11.25">
      <c r="A2631" s="431"/>
      <c r="B2631" s="431"/>
      <c r="C2631" s="431"/>
      <c r="D2631" s="432"/>
      <c r="E2631" s="432"/>
      <c r="F2631" s="432"/>
      <c r="G2631" s="432"/>
      <c r="H2631" s="432"/>
    </row>
    <row r="2632" spans="1:8" s="429" customFormat="1" ht="11.25">
      <c r="A2632" s="431"/>
      <c r="B2632" s="431"/>
      <c r="C2632" s="431"/>
      <c r="D2632" s="432"/>
      <c r="E2632" s="432"/>
      <c r="F2632" s="432"/>
      <c r="G2632" s="432"/>
      <c r="H2632" s="432"/>
    </row>
    <row r="2633" spans="1:8" s="429" customFormat="1" ht="11.25">
      <c r="A2633" s="431"/>
      <c r="B2633" s="431"/>
      <c r="C2633" s="431"/>
      <c r="D2633" s="432"/>
      <c r="E2633" s="432"/>
      <c r="F2633" s="432"/>
      <c r="G2633" s="432"/>
      <c r="H2633" s="432"/>
    </row>
    <row r="2634" spans="1:8" s="422" customFormat="1" ht="11.25"/>
    <row r="2635" spans="1:8" s="422" customFormat="1" ht="11.25">
      <c r="A2635" s="421" t="s">
        <v>591</v>
      </c>
      <c r="B2635" s="421"/>
      <c r="C2635" s="421"/>
    </row>
    <row r="2636" spans="1:8" s="422" customFormat="1" ht="5.25" customHeight="1">
      <c r="A2636" s="421"/>
      <c r="B2636" s="421"/>
      <c r="C2636" s="421"/>
    </row>
    <row r="2637" spans="1:8" s="422" customFormat="1" ht="5.25" customHeight="1">
      <c r="A2637" s="421"/>
      <c r="B2637" s="421"/>
      <c r="C2637" s="421"/>
    </row>
    <row r="2638" spans="1:8" s="422" customFormat="1" ht="3.75" customHeight="1">
      <c r="A2638" s="421"/>
      <c r="B2638" s="421"/>
      <c r="C2638" s="421"/>
    </row>
    <row r="2639" spans="1:8" s="422" customFormat="1" ht="4.5" customHeight="1">
      <c r="A2639" s="421"/>
      <c r="B2639" s="421"/>
      <c r="C2639" s="421"/>
    </row>
    <row r="2640" spans="1:8" s="422" customFormat="1" ht="11.25">
      <c r="A2640" s="421"/>
      <c r="B2640" s="421"/>
      <c r="C2640" s="421"/>
    </row>
    <row r="2641" spans="1:8" s="422" customFormat="1" ht="11.25">
      <c r="A2641" s="421"/>
      <c r="B2641" s="421"/>
      <c r="C2641" s="421"/>
    </row>
    <row r="2642" spans="1:8" s="422" customFormat="1" ht="11.25">
      <c r="A2642" s="421"/>
      <c r="B2642" s="421"/>
      <c r="C2642" s="421"/>
    </row>
    <row r="2643" spans="1:8" s="422" customFormat="1" ht="11.25">
      <c r="A2643" s="421"/>
      <c r="B2643" s="421"/>
      <c r="C2643" s="421"/>
    </row>
    <row r="2644" spans="1:8" s="422" customFormat="1" ht="3.75" customHeight="1">
      <c r="A2644" s="421"/>
      <c r="B2644" s="421"/>
      <c r="C2644" s="421"/>
    </row>
    <row r="2645" spans="1:8" s="422" customFormat="1" ht="6.75" customHeight="1">
      <c r="A2645" s="421"/>
      <c r="B2645" s="421"/>
      <c r="C2645" s="421"/>
    </row>
    <row r="2646" spans="1:8" s="422" customFormat="1" ht="3" customHeight="1"/>
    <row r="2647" spans="1:8" s="422" customFormat="1" ht="11.25">
      <c r="A2647" s="433" t="s">
        <v>592</v>
      </c>
      <c r="B2647" s="434"/>
      <c r="C2647" s="434"/>
      <c r="D2647" s="434"/>
      <c r="E2647" s="434"/>
      <c r="F2647" s="434"/>
      <c r="G2647" s="434"/>
      <c r="H2647" s="434"/>
    </row>
    <row r="2648" spans="1:8" s="429" customFormat="1" ht="11.25">
      <c r="A2648" s="435"/>
      <c r="B2648" s="436"/>
      <c r="C2648" s="436"/>
      <c r="D2648" s="436"/>
      <c r="E2648" s="436"/>
      <c r="F2648" s="436"/>
      <c r="G2648" s="436"/>
      <c r="H2648" s="436"/>
    </row>
    <row r="2649" spans="1:8" s="429" customFormat="1" ht="11.25">
      <c r="A2649" s="435"/>
      <c r="B2649" s="436"/>
      <c r="C2649" s="436"/>
      <c r="D2649" s="436"/>
      <c r="E2649" s="436"/>
      <c r="F2649" s="436"/>
      <c r="G2649" s="436"/>
      <c r="H2649" s="436"/>
    </row>
    <row r="2650" spans="1:8" s="422" customFormat="1" ht="11.25">
      <c r="A2650" s="437"/>
      <c r="B2650" s="437"/>
      <c r="C2650" s="437"/>
      <c r="D2650" s="437"/>
      <c r="E2650" s="437"/>
      <c r="F2650" s="437"/>
      <c r="G2650" s="437"/>
      <c r="H2650" s="437"/>
    </row>
    <row r="2651" spans="1:8" s="422" customFormat="1" ht="11.25">
      <c r="A2651" s="421" t="s">
        <v>593</v>
      </c>
      <c r="B2651" s="421"/>
      <c r="C2651" s="421"/>
    </row>
    <row r="2652" spans="1:8" s="422" customFormat="1" ht="11.25">
      <c r="A2652" s="438"/>
      <c r="B2652" s="439" t="s">
        <v>132</v>
      </c>
      <c r="C2652" s="439" t="s">
        <v>473</v>
      </c>
      <c r="D2652" s="439" t="s">
        <v>474</v>
      </c>
      <c r="E2652" s="439" t="s">
        <v>375</v>
      </c>
      <c r="F2652" s="439" t="s">
        <v>9</v>
      </c>
      <c r="G2652" s="439" t="s">
        <v>131</v>
      </c>
      <c r="H2652" s="439" t="s">
        <v>424</v>
      </c>
    </row>
    <row r="2653" spans="1:8" s="422" customFormat="1" ht="11.25">
      <c r="A2653" s="439" t="s">
        <v>394</v>
      </c>
      <c r="B2653" s="438">
        <v>9406971.1999999993</v>
      </c>
      <c r="C2653" s="438">
        <v>9266958.6899999995</v>
      </c>
      <c r="D2653" s="438">
        <v>9841066.6600000001</v>
      </c>
      <c r="E2653" s="438">
        <v>10120051.126</v>
      </c>
      <c r="F2653" s="438">
        <v>10039049.126</v>
      </c>
      <c r="G2653" s="438">
        <v>10093899.122400001</v>
      </c>
      <c r="H2653" s="438">
        <v>10110933.3354</v>
      </c>
    </row>
    <row r="2654" spans="1:8" s="422" customFormat="1" ht="11.25">
      <c r="A2654" s="439" t="s">
        <v>395</v>
      </c>
      <c r="B2654" s="438">
        <v>-2411236.09</v>
      </c>
      <c r="C2654" s="438">
        <v>-2289295.64</v>
      </c>
      <c r="D2654" s="438">
        <v>-2760880.64</v>
      </c>
      <c r="E2654" s="438">
        <v>-2760880.64</v>
      </c>
      <c r="F2654" s="438">
        <v>-2760880.64</v>
      </c>
      <c r="G2654" s="438">
        <v>-2760880.64</v>
      </c>
      <c r="H2654" s="438">
        <v>-2760880.64</v>
      </c>
    </row>
    <row r="2655" spans="1:8" s="422" customFormat="1" ht="11.25">
      <c r="A2655" s="439" t="s">
        <v>396</v>
      </c>
      <c r="B2655" s="438">
        <v>6995735.1099999994</v>
      </c>
      <c r="C2655" s="438">
        <v>6977663.0499999989</v>
      </c>
      <c r="D2655" s="438">
        <v>7080186.0199999996</v>
      </c>
      <c r="E2655" s="438">
        <v>7359170.4859999996</v>
      </c>
      <c r="F2655" s="438">
        <v>7278168.4859999996</v>
      </c>
      <c r="G2655" s="438">
        <v>7333018.4824000001</v>
      </c>
      <c r="H2655" s="438">
        <v>7350052.6953999996</v>
      </c>
    </row>
    <row r="2656" spans="1:8" s="442" customFormat="1" ht="11.25">
      <c r="A2656" s="440" t="s">
        <v>397</v>
      </c>
      <c r="B2656" s="441">
        <v>0.25632438313407402</v>
      </c>
      <c r="C2656" s="441">
        <v>0.2470385070854352</v>
      </c>
      <c r="D2656" s="441">
        <v>0.28054688941615197</v>
      </c>
      <c r="E2656" s="441">
        <v>0.27281291424574566</v>
      </c>
      <c r="F2656" s="441">
        <v>0.27501415775022275</v>
      </c>
      <c r="G2656" s="441">
        <v>0.27351973766739535</v>
      </c>
      <c r="H2656" s="441">
        <v>0.27305893021109279</v>
      </c>
    </row>
    <row r="2657" spans="1:8" s="422" customFormat="1" ht="11.25"/>
    <row r="2658" spans="1:8" s="422" customFormat="1" ht="11.25">
      <c r="A2658" s="443" t="s">
        <v>594</v>
      </c>
      <c r="B2658" s="443"/>
      <c r="C2658" s="444"/>
    </row>
    <row r="2659" spans="1:8" s="422" customFormat="1" ht="11.25">
      <c r="A2659" s="445" t="s">
        <v>595</v>
      </c>
      <c r="B2659" s="446"/>
      <c r="C2659" s="447"/>
      <c r="D2659" s="439" t="s">
        <v>474</v>
      </c>
      <c r="E2659" s="439" t="s">
        <v>375</v>
      </c>
      <c r="F2659" s="439" t="s">
        <v>9</v>
      </c>
      <c r="G2659" s="439" t="s">
        <v>131</v>
      </c>
      <c r="H2659" s="439" t="s">
        <v>424</v>
      </c>
    </row>
    <row r="2660" spans="1:8" s="422" customFormat="1" ht="11.25">
      <c r="A2660" s="448" t="s">
        <v>884</v>
      </c>
      <c r="B2660" s="449"/>
      <c r="C2660" s="449"/>
      <c r="D2660" s="438">
        <v>325000</v>
      </c>
      <c r="E2660" s="438">
        <v>325000</v>
      </c>
      <c r="F2660" s="438">
        <v>325000</v>
      </c>
      <c r="G2660" s="438">
        <v>325000</v>
      </c>
      <c r="H2660" s="438">
        <v>325000</v>
      </c>
    </row>
    <row r="2661" spans="1:8" s="422" customFormat="1" ht="11.25">
      <c r="A2661" s="448"/>
      <c r="B2661" s="449"/>
      <c r="C2661" s="449"/>
      <c r="D2661" s="438"/>
      <c r="E2661" s="438"/>
      <c r="F2661" s="438"/>
      <c r="G2661" s="438"/>
      <c r="H2661" s="438"/>
    </row>
    <row r="2662" spans="1:8" s="422" customFormat="1" ht="11.25">
      <c r="A2662" s="448"/>
      <c r="B2662" s="449"/>
      <c r="C2662" s="449"/>
      <c r="D2662" s="438"/>
      <c r="E2662" s="438"/>
      <c r="F2662" s="438"/>
      <c r="G2662" s="438"/>
      <c r="H2662" s="438"/>
    </row>
    <row r="2663" spans="1:8" s="422" customFormat="1" ht="11.25"/>
    <row r="2664" spans="1:8" s="422" customFormat="1" ht="11.25">
      <c r="A2664" s="421" t="s">
        <v>423</v>
      </c>
      <c r="B2664" s="421"/>
      <c r="C2664" s="421"/>
    </row>
    <row r="2665" spans="1:8" s="422" customFormat="1" ht="11.25">
      <c r="A2665" s="450"/>
      <c r="B2665" s="439" t="s">
        <v>132</v>
      </c>
      <c r="C2665" s="439" t="s">
        <v>473</v>
      </c>
      <c r="D2665" s="439" t="s">
        <v>474</v>
      </c>
      <c r="E2665" s="439" t="s">
        <v>375</v>
      </c>
      <c r="F2665" s="439" t="s">
        <v>9</v>
      </c>
      <c r="G2665" s="439" t="s">
        <v>131</v>
      </c>
      <c r="H2665" s="439" t="s">
        <v>424</v>
      </c>
    </row>
    <row r="2666" spans="1:8" s="422" customFormat="1" ht="11.25">
      <c r="A2666" s="451" t="s">
        <v>398</v>
      </c>
      <c r="B2666" s="438">
        <v>280624.34999999998</v>
      </c>
      <c r="C2666" s="438">
        <v>64371.85</v>
      </c>
      <c r="D2666" s="438">
        <v>150000</v>
      </c>
      <c r="E2666" s="438">
        <v>135000</v>
      </c>
      <c r="F2666" s="438">
        <v>0</v>
      </c>
      <c r="G2666" s="438">
        <v>0</v>
      </c>
      <c r="H2666" s="438">
        <v>0</v>
      </c>
    </row>
    <row r="2667" spans="1:8" s="422" customFormat="1" ht="11.25">
      <c r="A2667" s="451" t="s">
        <v>399</v>
      </c>
      <c r="B2667" s="438">
        <v>0</v>
      </c>
      <c r="C2667" s="438">
        <v>0</v>
      </c>
      <c r="D2667" s="438">
        <v>0</v>
      </c>
      <c r="E2667" s="438">
        <v>0</v>
      </c>
      <c r="F2667" s="438">
        <v>0</v>
      </c>
      <c r="G2667" s="438">
        <v>0</v>
      </c>
      <c r="H2667" s="438">
        <v>0</v>
      </c>
    </row>
    <row r="2668" spans="1:8" s="422" customFormat="1" ht="11.25">
      <c r="A2668" s="451" t="s">
        <v>400</v>
      </c>
      <c r="B2668" s="438">
        <v>0</v>
      </c>
      <c r="C2668" s="438">
        <v>0</v>
      </c>
      <c r="D2668" s="438">
        <v>0</v>
      </c>
      <c r="E2668" s="438">
        <v>0</v>
      </c>
      <c r="F2668" s="438">
        <v>0</v>
      </c>
      <c r="G2668" s="438">
        <v>0</v>
      </c>
      <c r="H2668" s="438">
        <v>0</v>
      </c>
    </row>
    <row r="2669" spans="1:8" s="422" customFormat="1" ht="11.25">
      <c r="A2669" s="451" t="s">
        <v>401</v>
      </c>
      <c r="B2669" s="438">
        <v>280624.34999999998</v>
      </c>
      <c r="C2669" s="438">
        <v>64371.85</v>
      </c>
      <c r="D2669" s="438">
        <v>150000</v>
      </c>
      <c r="E2669" s="438">
        <v>135000</v>
      </c>
      <c r="F2669" s="438">
        <v>0</v>
      </c>
      <c r="G2669" s="438">
        <v>0</v>
      </c>
      <c r="H2669" s="438">
        <v>0</v>
      </c>
    </row>
    <row r="2670" spans="1:8" s="422" customFormat="1" ht="11.25"/>
    <row r="2671" spans="1:8" s="422" customFormat="1" ht="11.25">
      <c r="A2671" s="421" t="s">
        <v>597</v>
      </c>
      <c r="B2671" s="421"/>
      <c r="C2671" s="421"/>
    </row>
    <row r="2672" spans="1:8" s="429" customFormat="1" ht="11.25">
      <c r="A2672" s="428"/>
      <c r="B2672" s="428"/>
      <c r="C2672" s="428"/>
    </row>
    <row r="2673" spans="1:8" s="429" customFormat="1" ht="11.25">
      <c r="A2673" s="428"/>
      <c r="B2673" s="428"/>
      <c r="C2673" s="428"/>
    </row>
    <row r="2674" spans="1:8" s="429" customFormat="1" ht="11.25">
      <c r="A2674" s="428"/>
      <c r="B2674" s="428"/>
      <c r="C2674" s="428"/>
    </row>
    <row r="2675" spans="1:8" s="429" customFormat="1" ht="11.25">
      <c r="A2675" s="428"/>
      <c r="B2675" s="428"/>
      <c r="C2675" s="428"/>
    </row>
    <row r="2676" spans="1:8" s="429" customFormat="1" ht="11.25">
      <c r="A2676" s="428"/>
      <c r="B2676" s="428"/>
      <c r="C2676" s="428"/>
    </row>
    <row r="2677" spans="1:8" s="429" customFormat="1" ht="11.25">
      <c r="A2677" s="428"/>
      <c r="B2677" s="428"/>
      <c r="C2677" s="428"/>
    </row>
    <row r="2678" spans="1:8" s="429" customFormat="1" ht="11.25">
      <c r="A2678" s="428"/>
      <c r="B2678" s="428"/>
      <c r="C2678" s="428"/>
    </row>
    <row r="2679" spans="1:8" s="429" customFormat="1" ht="5.25" customHeight="1">
      <c r="A2679" s="428"/>
      <c r="B2679" s="428"/>
      <c r="C2679" s="428"/>
    </row>
    <row r="2680" spans="1:8" s="422" customFormat="1" ht="3.75" customHeight="1"/>
    <row r="2681" spans="1:8" s="422" customFormat="1" ht="11.25">
      <c r="A2681" s="421" t="s">
        <v>598</v>
      </c>
      <c r="B2681" s="421"/>
      <c r="C2681" s="421"/>
    </row>
    <row r="2682" spans="1:8" s="422" customFormat="1" ht="11.25">
      <c r="A2682" s="452" t="s">
        <v>599</v>
      </c>
      <c r="B2682" s="447"/>
      <c r="C2682" s="447"/>
      <c r="D2682" s="447"/>
      <c r="E2682" s="439" t="s">
        <v>375</v>
      </c>
      <c r="F2682" s="439" t="s">
        <v>9</v>
      </c>
      <c r="G2682" s="439" t="s">
        <v>131</v>
      </c>
      <c r="H2682" s="439" t="s">
        <v>424</v>
      </c>
    </row>
    <row r="2683" spans="1:8" s="422" customFormat="1" ht="11.25">
      <c r="A2683" s="448" t="s">
        <v>122</v>
      </c>
      <c r="B2683" s="449"/>
      <c r="C2683" s="449"/>
      <c r="D2683" s="449"/>
      <c r="E2683" s="438">
        <v>264760</v>
      </c>
      <c r="F2683" s="438">
        <v>264760</v>
      </c>
      <c r="G2683" s="438">
        <v>264760</v>
      </c>
      <c r="H2683" s="438">
        <v>264760</v>
      </c>
    </row>
    <row r="2684" spans="1:8" s="422" customFormat="1" ht="11.25">
      <c r="A2684" s="448"/>
      <c r="B2684" s="449"/>
      <c r="C2684" s="449"/>
      <c r="D2684" s="449"/>
      <c r="E2684" s="438">
        <v>0</v>
      </c>
      <c r="F2684" s="438">
        <v>0</v>
      </c>
      <c r="G2684" s="438">
        <v>0</v>
      </c>
      <c r="H2684" s="438">
        <v>0</v>
      </c>
    </row>
    <row r="2685" spans="1:8" s="422" customFormat="1" ht="11.25">
      <c r="A2685" s="448"/>
      <c r="B2685" s="449"/>
      <c r="C2685" s="449"/>
      <c r="D2685" s="449"/>
      <c r="E2685" s="438">
        <v>0</v>
      </c>
      <c r="F2685" s="438">
        <v>0</v>
      </c>
      <c r="G2685" s="438">
        <v>0</v>
      </c>
      <c r="H2685" s="438">
        <v>0</v>
      </c>
    </row>
    <row r="2686" spans="1:8" s="421" customFormat="1" ht="11.25">
      <c r="A2686" s="421" t="s">
        <v>391</v>
      </c>
      <c r="D2686" s="421" t="s">
        <v>472</v>
      </c>
    </row>
    <row r="2687" spans="1:8" s="422" customFormat="1" ht="11.25"/>
    <row r="2688" spans="1:8" s="421" customFormat="1" ht="11.25" customHeight="1">
      <c r="A2688" s="423" t="s">
        <v>392</v>
      </c>
      <c r="D2688" s="421" t="s">
        <v>145</v>
      </c>
    </row>
    <row r="2689" spans="1:8" s="421" customFormat="1" ht="7.5" customHeight="1">
      <c r="A2689" s="423"/>
    </row>
    <row r="2690" spans="1:8" s="421" customFormat="1" ht="11.25">
      <c r="A2690" s="424" t="s">
        <v>393</v>
      </c>
      <c r="D2690" s="583" t="s">
        <v>148</v>
      </c>
      <c r="E2690" s="583"/>
      <c r="F2690" s="583"/>
      <c r="G2690" s="583"/>
      <c r="H2690" s="583"/>
    </row>
    <row r="2691" spans="1:8" s="421" customFormat="1" ht="7.5" customHeight="1"/>
    <row r="2692" spans="1:8" s="422" customFormat="1" ht="11.25">
      <c r="A2692" s="421" t="s">
        <v>170</v>
      </c>
      <c r="B2692" s="421"/>
      <c r="C2692" s="421"/>
      <c r="D2692" s="422" t="s">
        <v>371</v>
      </c>
      <c r="E2692" s="422" t="s">
        <v>265</v>
      </c>
    </row>
    <row r="2693" spans="1:8" s="422" customFormat="1" ht="7.5" customHeight="1"/>
    <row r="2694" spans="1:8" s="427" customFormat="1" ht="11.25">
      <c r="A2694" s="425" t="s">
        <v>587</v>
      </c>
      <c r="B2694" s="425"/>
      <c r="C2694" s="425"/>
      <c r="D2694" s="426" t="s">
        <v>885</v>
      </c>
      <c r="E2694" s="584" t="s">
        <v>886</v>
      </c>
      <c r="F2694" s="584"/>
      <c r="G2694" s="584"/>
      <c r="H2694" s="584"/>
    </row>
    <row r="2695" spans="1:8" s="427" customFormat="1" ht="11.25" customHeight="1">
      <c r="A2695" s="425"/>
      <c r="B2695" s="425"/>
      <c r="C2695" s="425"/>
      <c r="D2695" s="426" t="s">
        <v>887</v>
      </c>
      <c r="E2695" s="584" t="s">
        <v>888</v>
      </c>
      <c r="F2695" s="584"/>
      <c r="G2695" s="584"/>
      <c r="H2695" s="584"/>
    </row>
    <row r="2696" spans="1:8" s="427" customFormat="1" ht="11.25">
      <c r="A2696" s="425"/>
      <c r="B2696" s="425"/>
      <c r="C2696" s="425"/>
      <c r="D2696" s="426" t="s">
        <v>889</v>
      </c>
      <c r="E2696" s="584" t="s">
        <v>890</v>
      </c>
      <c r="F2696" s="584"/>
      <c r="G2696" s="584"/>
      <c r="H2696" s="584"/>
    </row>
    <row r="2697" spans="1:8" s="427" customFormat="1" ht="11.25">
      <c r="A2697" s="425"/>
      <c r="B2697" s="425"/>
      <c r="C2697" s="425"/>
      <c r="D2697" s="426" t="s">
        <v>891</v>
      </c>
      <c r="E2697" s="584" t="s">
        <v>892</v>
      </c>
      <c r="F2697" s="584"/>
      <c r="G2697" s="584"/>
      <c r="H2697" s="584"/>
    </row>
    <row r="2698" spans="1:8" s="427" customFormat="1" ht="11.25">
      <c r="A2698" s="425"/>
      <c r="B2698" s="425"/>
      <c r="C2698" s="425"/>
      <c r="D2698" s="426"/>
      <c r="E2698" s="584"/>
      <c r="F2698" s="584"/>
      <c r="G2698" s="584"/>
      <c r="H2698" s="584"/>
    </row>
    <row r="2699" spans="1:8" s="427" customFormat="1" ht="11.25"/>
    <row r="2700" spans="1:8" s="422" customFormat="1" ht="11.25"/>
    <row r="2701" spans="1:8" s="422" customFormat="1" ht="11.25">
      <c r="A2701" s="421" t="s">
        <v>589</v>
      </c>
      <c r="B2701" s="421"/>
      <c r="C2701" s="421"/>
    </row>
    <row r="2702" spans="1:8" s="429" customFormat="1" ht="15" customHeight="1">
      <c r="A2702" s="428"/>
      <c r="B2702" s="428"/>
      <c r="C2702" s="428"/>
    </row>
    <row r="2703" spans="1:8" s="422" customFormat="1" ht="9" customHeight="1">
      <c r="A2703" s="430"/>
      <c r="B2703" s="430"/>
      <c r="C2703" s="430"/>
      <c r="D2703" s="430"/>
      <c r="E2703" s="430"/>
      <c r="F2703" s="430"/>
      <c r="G2703" s="430"/>
      <c r="H2703" s="430"/>
    </row>
    <row r="2704" spans="1:8" s="422" customFormat="1" ht="22.5" customHeight="1">
      <c r="A2704" s="585" t="s">
        <v>590</v>
      </c>
      <c r="B2704" s="585"/>
      <c r="C2704" s="585"/>
      <c r="D2704" s="586"/>
      <c r="E2704" s="586"/>
      <c r="F2704" s="586"/>
      <c r="G2704" s="586"/>
      <c r="H2704" s="586"/>
    </row>
    <row r="2705" spans="1:8" s="422" customFormat="1" ht="9" customHeight="1"/>
    <row r="2706" spans="1:8" s="422" customFormat="1" ht="9" customHeight="1"/>
    <row r="2707" spans="1:8" s="422" customFormat="1" ht="9" customHeight="1"/>
    <row r="2708" spans="1:8" s="422" customFormat="1" ht="9" customHeight="1"/>
    <row r="2709" spans="1:8" s="422" customFormat="1" ht="9" customHeight="1"/>
    <row r="2710" spans="1:8" s="422" customFormat="1" ht="9" customHeight="1"/>
    <row r="2711" spans="1:8" s="422" customFormat="1" ht="9" customHeight="1"/>
    <row r="2712" spans="1:8" s="422" customFormat="1" ht="9" customHeight="1"/>
    <row r="2713" spans="1:8" s="422" customFormat="1" ht="11.25"/>
    <row r="2714" spans="1:8" s="422" customFormat="1" ht="9" customHeight="1"/>
    <row r="2715" spans="1:8" s="422" customFormat="1" ht="11.25"/>
    <row r="2716" spans="1:8" s="422" customFormat="1" ht="11.25">
      <c r="A2716" s="421" t="s">
        <v>591</v>
      </c>
      <c r="B2716" s="421"/>
      <c r="C2716" s="421"/>
    </row>
    <row r="2717" spans="1:8" s="429" customFormat="1" ht="11.25">
      <c r="A2717" s="428"/>
      <c r="B2717" s="428"/>
      <c r="C2717" s="428"/>
    </row>
    <row r="2718" spans="1:8" s="429" customFormat="1" ht="11.25">
      <c r="A2718" s="428"/>
      <c r="B2718" s="428"/>
      <c r="C2718" s="428"/>
    </row>
    <row r="2719" spans="1:8" s="422" customFormat="1" ht="9" customHeight="1"/>
    <row r="2720" spans="1:8" s="422" customFormat="1" ht="11.25">
      <c r="A2720" s="433" t="s">
        <v>592</v>
      </c>
      <c r="B2720" s="434"/>
      <c r="C2720" s="434"/>
      <c r="D2720" s="434"/>
      <c r="E2720" s="434"/>
      <c r="F2720" s="434"/>
      <c r="G2720" s="434"/>
      <c r="H2720" s="434"/>
    </row>
    <row r="2721" spans="1:8" s="429" customFormat="1" ht="11.25">
      <c r="A2721" s="435"/>
      <c r="B2721" s="436"/>
      <c r="C2721" s="436"/>
      <c r="D2721" s="436"/>
      <c r="E2721" s="436"/>
      <c r="F2721" s="436"/>
      <c r="G2721" s="436"/>
      <c r="H2721" s="436"/>
    </row>
    <row r="2722" spans="1:8" s="429" customFormat="1" ht="11.25">
      <c r="A2722" s="435"/>
      <c r="B2722" s="436"/>
      <c r="C2722" s="436"/>
      <c r="D2722" s="436"/>
      <c r="E2722" s="436"/>
      <c r="F2722" s="436"/>
      <c r="G2722" s="436"/>
      <c r="H2722" s="436"/>
    </row>
    <row r="2723" spans="1:8" s="422" customFormat="1" ht="11.25">
      <c r="A2723" s="437"/>
      <c r="B2723" s="437"/>
      <c r="C2723" s="437"/>
      <c r="D2723" s="437"/>
      <c r="E2723" s="437"/>
      <c r="F2723" s="437"/>
      <c r="G2723" s="437"/>
      <c r="H2723" s="437"/>
    </row>
    <row r="2724" spans="1:8" s="422" customFormat="1" ht="11.25">
      <c r="A2724" s="421" t="s">
        <v>593</v>
      </c>
      <c r="B2724" s="421"/>
      <c r="C2724" s="421"/>
    </row>
    <row r="2725" spans="1:8" s="422" customFormat="1" ht="11.25">
      <c r="A2725" s="438"/>
      <c r="B2725" s="439" t="s">
        <v>132</v>
      </c>
      <c r="C2725" s="439" t="s">
        <v>473</v>
      </c>
      <c r="D2725" s="439" t="s">
        <v>474</v>
      </c>
      <c r="E2725" s="439" t="s">
        <v>375</v>
      </c>
      <c r="F2725" s="439" t="s">
        <v>9</v>
      </c>
      <c r="G2725" s="439" t="s">
        <v>131</v>
      </c>
      <c r="H2725" s="439" t="s">
        <v>424</v>
      </c>
    </row>
    <row r="2726" spans="1:8" s="422" customFormat="1" ht="11.25">
      <c r="A2726" s="439" t="s">
        <v>394</v>
      </c>
      <c r="B2726" s="438">
        <v>2037128.0699999998</v>
      </c>
      <c r="C2726" s="438">
        <v>1957199.0399999998</v>
      </c>
      <c r="D2726" s="438">
        <v>1986413.24</v>
      </c>
      <c r="E2726" s="438">
        <v>978059.53040000016</v>
      </c>
      <c r="F2726" s="438">
        <v>978059.53040000016</v>
      </c>
      <c r="G2726" s="438">
        <v>989297.40096000012</v>
      </c>
      <c r="H2726" s="438">
        <v>993310.92616000003</v>
      </c>
    </row>
    <row r="2727" spans="1:8" s="422" customFormat="1" ht="11.25">
      <c r="A2727" s="439" t="s">
        <v>395</v>
      </c>
      <c r="B2727" s="438">
        <v>-476449</v>
      </c>
      <c r="C2727" s="438">
        <v>-533875.32999999996</v>
      </c>
      <c r="D2727" s="438">
        <v>-358353.64</v>
      </c>
      <c r="E2727" s="438">
        <v>0.35999999998603016</v>
      </c>
      <c r="F2727" s="438">
        <v>0.35999999998603016</v>
      </c>
      <c r="G2727" s="438">
        <v>0.35999999998603016</v>
      </c>
      <c r="H2727" s="438">
        <v>0.35999999998603016</v>
      </c>
    </row>
    <row r="2728" spans="1:8" s="422" customFormat="1" ht="11.25">
      <c r="A2728" s="439" t="s">
        <v>396</v>
      </c>
      <c r="B2728" s="438">
        <v>1560679.0699999998</v>
      </c>
      <c r="C2728" s="438">
        <v>1423323.71</v>
      </c>
      <c r="D2728" s="438">
        <v>1628059.6</v>
      </c>
      <c r="E2728" s="438">
        <v>978059.89040000015</v>
      </c>
      <c r="F2728" s="438">
        <v>978059.89040000015</v>
      </c>
      <c r="G2728" s="438">
        <v>989297.7609600001</v>
      </c>
      <c r="H2728" s="438">
        <v>993311.28616000002</v>
      </c>
    </row>
    <row r="2729" spans="1:8" s="442" customFormat="1" ht="11.25">
      <c r="A2729" s="440" t="s">
        <v>397</v>
      </c>
      <c r="B2729" s="441">
        <v>0.23388269349211807</v>
      </c>
      <c r="C2729" s="441">
        <v>0.27277518488870706</v>
      </c>
      <c r="D2729" s="441">
        <v>0.18040236179658167</v>
      </c>
      <c r="E2729" s="441">
        <v>-3.6807575489684129E-7</v>
      </c>
      <c r="F2729" s="441">
        <v>-3.6807575489684129E-7</v>
      </c>
      <c r="G2729" s="441">
        <v>-3.6389461817719451E-7</v>
      </c>
      <c r="H2729" s="441">
        <v>-3.6242428277492065E-7</v>
      </c>
    </row>
    <row r="2730" spans="1:8" s="422" customFormat="1" ht="11.25"/>
    <row r="2731" spans="1:8" s="422" customFormat="1" ht="11.25">
      <c r="A2731" s="443" t="s">
        <v>594</v>
      </c>
      <c r="B2731" s="443"/>
      <c r="C2731" s="444"/>
    </row>
    <row r="2732" spans="1:8" s="422" customFormat="1" ht="11.25">
      <c r="A2732" s="445" t="s">
        <v>595</v>
      </c>
      <c r="B2732" s="446"/>
      <c r="C2732" s="447"/>
      <c r="D2732" s="439" t="s">
        <v>474</v>
      </c>
      <c r="E2732" s="439" t="s">
        <v>375</v>
      </c>
      <c r="F2732" s="439" t="s">
        <v>9</v>
      </c>
      <c r="G2732" s="439" t="s">
        <v>131</v>
      </c>
      <c r="H2732" s="439" t="s">
        <v>424</v>
      </c>
    </row>
    <row r="2733" spans="1:8" s="422" customFormat="1" ht="11.25">
      <c r="A2733" s="448" t="s">
        <v>893</v>
      </c>
      <c r="B2733" s="449"/>
      <c r="C2733" s="449"/>
      <c r="D2733" s="463">
        <v>0.97</v>
      </c>
      <c r="E2733" s="463">
        <v>0.97</v>
      </c>
      <c r="F2733" s="463">
        <v>0.97</v>
      </c>
      <c r="G2733" s="463">
        <v>0.97</v>
      </c>
      <c r="H2733" s="463">
        <v>0.97</v>
      </c>
    </row>
    <row r="2734" spans="1:8" s="422" customFormat="1" ht="11.25">
      <c r="A2734" s="448"/>
      <c r="B2734" s="449"/>
      <c r="C2734" s="449"/>
      <c r="D2734" s="438"/>
      <c r="E2734" s="438"/>
      <c r="F2734" s="438"/>
      <c r="G2734" s="438"/>
      <c r="H2734" s="438"/>
    </row>
    <row r="2735" spans="1:8" s="422" customFormat="1" ht="11.25">
      <c r="A2735" s="448"/>
      <c r="B2735" s="449"/>
      <c r="C2735" s="449"/>
      <c r="D2735" s="438"/>
      <c r="E2735" s="438"/>
      <c r="F2735" s="438"/>
      <c r="G2735" s="438"/>
      <c r="H2735" s="438"/>
    </row>
    <row r="2736" spans="1:8" s="422" customFormat="1" ht="11.25"/>
    <row r="2737" spans="1:8" s="422" customFormat="1" ht="11.25">
      <c r="A2737" s="421" t="s">
        <v>423</v>
      </c>
      <c r="B2737" s="421"/>
      <c r="C2737" s="421"/>
    </row>
    <row r="2738" spans="1:8" s="422" customFormat="1" ht="11.25">
      <c r="A2738" s="450"/>
      <c r="B2738" s="439" t="s">
        <v>132</v>
      </c>
      <c r="C2738" s="439" t="s">
        <v>473</v>
      </c>
      <c r="D2738" s="439" t="s">
        <v>474</v>
      </c>
      <c r="E2738" s="439" t="s">
        <v>375</v>
      </c>
      <c r="F2738" s="439" t="s">
        <v>9</v>
      </c>
      <c r="G2738" s="439" t="s">
        <v>131</v>
      </c>
      <c r="H2738" s="439" t="s">
        <v>424</v>
      </c>
    </row>
    <row r="2739" spans="1:8" s="422" customFormat="1" ht="11.25">
      <c r="A2739" s="451" t="s">
        <v>398</v>
      </c>
      <c r="B2739" s="438">
        <v>0</v>
      </c>
      <c r="C2739" s="438">
        <v>0</v>
      </c>
      <c r="D2739" s="438">
        <v>0</v>
      </c>
      <c r="E2739" s="438">
        <v>0</v>
      </c>
      <c r="F2739" s="438">
        <v>0</v>
      </c>
      <c r="G2739" s="438">
        <v>0</v>
      </c>
      <c r="H2739" s="438">
        <v>0</v>
      </c>
    </row>
    <row r="2740" spans="1:8" s="422" customFormat="1" ht="11.25">
      <c r="A2740" s="451" t="s">
        <v>399</v>
      </c>
      <c r="B2740" s="438">
        <v>0</v>
      </c>
      <c r="C2740" s="438">
        <v>0</v>
      </c>
      <c r="D2740" s="438">
        <v>0</v>
      </c>
      <c r="E2740" s="438">
        <v>0</v>
      </c>
      <c r="F2740" s="438">
        <v>0</v>
      </c>
      <c r="G2740" s="438">
        <v>0</v>
      </c>
      <c r="H2740" s="438">
        <v>0</v>
      </c>
    </row>
    <row r="2741" spans="1:8" s="422" customFormat="1" ht="11.25">
      <c r="A2741" s="451" t="s">
        <v>400</v>
      </c>
      <c r="B2741" s="438">
        <v>0</v>
      </c>
      <c r="C2741" s="438">
        <v>0</v>
      </c>
      <c r="D2741" s="438">
        <v>0</v>
      </c>
      <c r="E2741" s="438">
        <v>0</v>
      </c>
      <c r="F2741" s="438">
        <v>0</v>
      </c>
      <c r="G2741" s="438">
        <v>0</v>
      </c>
      <c r="H2741" s="438">
        <v>0</v>
      </c>
    </row>
    <row r="2742" spans="1:8" s="422" customFormat="1" ht="11.25">
      <c r="A2742" s="451" t="s">
        <v>401</v>
      </c>
      <c r="B2742" s="438">
        <v>0</v>
      </c>
      <c r="C2742" s="438">
        <v>0</v>
      </c>
      <c r="D2742" s="438">
        <v>0</v>
      </c>
      <c r="E2742" s="438">
        <v>0</v>
      </c>
      <c r="F2742" s="438">
        <v>0</v>
      </c>
      <c r="G2742" s="438">
        <v>0</v>
      </c>
      <c r="H2742" s="438">
        <v>0</v>
      </c>
    </row>
    <row r="2743" spans="1:8" s="422" customFormat="1" ht="11.25"/>
    <row r="2744" spans="1:8" s="422" customFormat="1" ht="11.25">
      <c r="A2744" s="421" t="s">
        <v>597</v>
      </c>
      <c r="B2744" s="421"/>
      <c r="C2744" s="421"/>
    </row>
    <row r="2745" spans="1:8" s="429" customFormat="1" ht="11.25">
      <c r="A2745" s="428"/>
      <c r="B2745" s="428"/>
      <c r="C2745" s="428"/>
    </row>
    <row r="2746" spans="1:8" s="429" customFormat="1" ht="11.25">
      <c r="A2746" s="428"/>
      <c r="B2746" s="428"/>
      <c r="C2746" s="428"/>
    </row>
    <row r="2747" spans="1:8" s="429" customFormat="1" ht="11.25">
      <c r="A2747" s="428"/>
      <c r="B2747" s="428"/>
      <c r="C2747" s="428"/>
    </row>
    <row r="2748" spans="1:8" s="422" customFormat="1" ht="11.25"/>
    <row r="2749" spans="1:8" s="422" customFormat="1" ht="11.25">
      <c r="A2749" s="421" t="s">
        <v>598</v>
      </c>
      <c r="B2749" s="421"/>
      <c r="C2749" s="421"/>
    </row>
    <row r="2750" spans="1:8" s="422" customFormat="1" ht="11.25">
      <c r="A2750" s="452" t="s">
        <v>599</v>
      </c>
      <c r="B2750" s="447"/>
      <c r="C2750" s="447"/>
      <c r="D2750" s="447"/>
      <c r="E2750" s="439" t="s">
        <v>375</v>
      </c>
      <c r="F2750" s="439" t="s">
        <v>9</v>
      </c>
      <c r="G2750" s="439" t="s">
        <v>131</v>
      </c>
      <c r="H2750" s="439" t="s">
        <v>424</v>
      </c>
    </row>
    <row r="2751" spans="1:8" s="422" customFormat="1" ht="11.25">
      <c r="A2751" s="448"/>
      <c r="B2751" s="449"/>
      <c r="C2751" s="449"/>
      <c r="D2751" s="449"/>
      <c r="E2751" s="438">
        <v>0</v>
      </c>
      <c r="F2751" s="438">
        <v>0</v>
      </c>
      <c r="G2751" s="438">
        <v>0</v>
      </c>
      <c r="H2751" s="438">
        <v>0</v>
      </c>
    </row>
    <row r="2752" spans="1:8" s="422" customFormat="1" ht="11.25">
      <c r="A2752" s="448"/>
      <c r="B2752" s="449"/>
      <c r="C2752" s="449"/>
      <c r="D2752" s="449"/>
      <c r="E2752" s="438">
        <v>0</v>
      </c>
      <c r="F2752" s="438">
        <v>0</v>
      </c>
      <c r="G2752" s="438">
        <v>0</v>
      </c>
      <c r="H2752" s="438">
        <v>0</v>
      </c>
    </row>
    <row r="2753" spans="1:8" s="422" customFormat="1" ht="11.25">
      <c r="A2753" s="448"/>
      <c r="B2753" s="449"/>
      <c r="C2753" s="449"/>
      <c r="D2753" s="449"/>
      <c r="E2753" s="438">
        <v>0</v>
      </c>
      <c r="F2753" s="438">
        <v>0</v>
      </c>
      <c r="G2753" s="438">
        <v>0</v>
      </c>
      <c r="H2753" s="438">
        <v>0</v>
      </c>
    </row>
    <row r="2754" spans="1:8" s="421" customFormat="1" ht="11.25">
      <c r="A2754" s="421" t="s">
        <v>391</v>
      </c>
      <c r="D2754" s="421" t="s">
        <v>472</v>
      </c>
    </row>
    <row r="2755" spans="1:8" s="422" customFormat="1" ht="11.25"/>
    <row r="2756" spans="1:8" s="421" customFormat="1" ht="11.25" customHeight="1">
      <c r="A2756" s="423" t="s">
        <v>392</v>
      </c>
      <c r="D2756" s="421" t="s">
        <v>145</v>
      </c>
    </row>
    <row r="2757" spans="1:8" s="421" customFormat="1" ht="7.5" customHeight="1">
      <c r="A2757" s="423"/>
    </row>
    <row r="2758" spans="1:8" s="421" customFormat="1" ht="11.25">
      <c r="A2758" s="424" t="s">
        <v>393</v>
      </c>
      <c r="D2758" s="583" t="s">
        <v>148</v>
      </c>
      <c r="E2758" s="583"/>
      <c r="F2758" s="583"/>
      <c r="G2758" s="583"/>
      <c r="H2758" s="583"/>
    </row>
    <row r="2759" spans="1:8" s="421" customFormat="1" ht="7.5" customHeight="1"/>
    <row r="2760" spans="1:8" s="422" customFormat="1" ht="11.25">
      <c r="A2760" s="421" t="s">
        <v>170</v>
      </c>
      <c r="B2760" s="421"/>
      <c r="C2760" s="421"/>
      <c r="D2760" s="422" t="s">
        <v>372</v>
      </c>
      <c r="E2760" s="422" t="s">
        <v>266</v>
      </c>
    </row>
    <row r="2761" spans="1:8" s="422" customFormat="1" ht="7.5" customHeight="1"/>
    <row r="2762" spans="1:8" s="427" customFormat="1" ht="11.25">
      <c r="A2762" s="425" t="s">
        <v>587</v>
      </c>
      <c r="B2762" s="425"/>
      <c r="C2762" s="425"/>
      <c r="D2762" s="426" t="s">
        <v>894</v>
      </c>
      <c r="E2762" s="584" t="s">
        <v>895</v>
      </c>
      <c r="F2762" s="584"/>
      <c r="G2762" s="584"/>
      <c r="H2762" s="584"/>
    </row>
    <row r="2763" spans="1:8" s="427" customFormat="1" ht="11.25">
      <c r="A2763" s="425"/>
      <c r="B2763" s="425"/>
      <c r="C2763" s="425"/>
      <c r="D2763" s="426" t="s">
        <v>896</v>
      </c>
      <c r="E2763" s="584" t="s">
        <v>897</v>
      </c>
      <c r="F2763" s="584"/>
      <c r="G2763" s="584"/>
      <c r="H2763" s="584"/>
    </row>
    <row r="2764" spans="1:8" s="427" customFormat="1" ht="11.25" customHeight="1">
      <c r="A2764" s="425"/>
      <c r="B2764" s="425"/>
      <c r="C2764" s="425"/>
      <c r="D2764" s="426" t="s">
        <v>898</v>
      </c>
      <c r="E2764" s="584" t="s">
        <v>899</v>
      </c>
      <c r="F2764" s="584"/>
      <c r="G2764" s="584"/>
      <c r="H2764" s="584"/>
    </row>
    <row r="2765" spans="1:8" s="427" customFormat="1" ht="11.25" customHeight="1">
      <c r="A2765" s="425"/>
      <c r="B2765" s="425"/>
      <c r="C2765" s="425"/>
      <c r="D2765" s="426" t="s">
        <v>898</v>
      </c>
      <c r="E2765" s="453" t="s">
        <v>899</v>
      </c>
      <c r="F2765" s="453"/>
      <c r="G2765" s="453"/>
      <c r="H2765" s="453"/>
    </row>
    <row r="2766" spans="1:8" s="427" customFormat="1" ht="11.25">
      <c r="A2766" s="425"/>
      <c r="B2766" s="425"/>
      <c r="C2766" s="425"/>
      <c r="D2766" s="426"/>
      <c r="E2766" s="453"/>
      <c r="F2766" s="453"/>
      <c r="G2766" s="453"/>
      <c r="H2766" s="453"/>
    </row>
    <row r="2767" spans="1:8" s="427" customFormat="1" ht="11.25"/>
    <row r="2768" spans="1:8" s="422" customFormat="1" ht="11.25"/>
    <row r="2769" spans="1:8" s="422" customFormat="1" ht="11.25">
      <c r="A2769" s="421" t="s">
        <v>589</v>
      </c>
      <c r="B2769" s="421"/>
      <c r="C2769" s="421"/>
    </row>
    <row r="2770" spans="1:8" s="429" customFormat="1" ht="11.25">
      <c r="A2770" s="428"/>
      <c r="B2770" s="428"/>
      <c r="C2770" s="428"/>
    </row>
    <row r="2771" spans="1:8" s="422" customFormat="1" ht="9" customHeight="1">
      <c r="A2771" s="430"/>
      <c r="B2771" s="430"/>
      <c r="C2771" s="430"/>
      <c r="D2771" s="430"/>
      <c r="E2771" s="430"/>
      <c r="F2771" s="430"/>
      <c r="G2771" s="430"/>
      <c r="H2771" s="430"/>
    </row>
    <row r="2772" spans="1:8" s="422" customFormat="1" ht="22.5" customHeight="1">
      <c r="A2772" s="585" t="s">
        <v>590</v>
      </c>
      <c r="B2772" s="585"/>
      <c r="C2772" s="585"/>
      <c r="D2772" s="586"/>
      <c r="E2772" s="586"/>
      <c r="F2772" s="586"/>
      <c r="G2772" s="586"/>
      <c r="H2772" s="586"/>
    </row>
    <row r="2773" spans="1:8" s="429" customFormat="1" ht="11.25">
      <c r="A2773" s="431"/>
      <c r="B2773" s="431"/>
      <c r="C2773" s="431"/>
      <c r="D2773" s="432"/>
      <c r="E2773" s="432"/>
      <c r="F2773" s="432"/>
      <c r="G2773" s="432"/>
      <c r="H2773" s="432"/>
    </row>
    <row r="2774" spans="1:8" s="429" customFormat="1" ht="11.25">
      <c r="A2774" s="431"/>
      <c r="B2774" s="431"/>
      <c r="C2774" s="431"/>
      <c r="D2774" s="432"/>
      <c r="E2774" s="432"/>
      <c r="F2774" s="432"/>
      <c r="G2774" s="432"/>
      <c r="H2774" s="432"/>
    </row>
    <row r="2775" spans="1:8" s="429" customFormat="1" ht="11.25">
      <c r="A2775" s="431"/>
      <c r="B2775" s="431"/>
      <c r="C2775" s="431"/>
      <c r="D2775" s="432"/>
      <c r="E2775" s="432"/>
      <c r="F2775" s="432"/>
      <c r="G2775" s="432"/>
      <c r="H2775" s="432"/>
    </row>
    <row r="2776" spans="1:8" s="429" customFormat="1" ht="11.25">
      <c r="A2776" s="431"/>
      <c r="B2776" s="431"/>
      <c r="C2776" s="431"/>
      <c r="D2776" s="432"/>
      <c r="E2776" s="432"/>
      <c r="F2776" s="432"/>
      <c r="G2776" s="432"/>
      <c r="H2776" s="432"/>
    </row>
    <row r="2777" spans="1:8" s="429" customFormat="1" ht="11.25">
      <c r="A2777" s="431"/>
      <c r="B2777" s="431"/>
      <c r="C2777" s="431"/>
      <c r="D2777" s="432"/>
      <c r="E2777" s="432"/>
      <c r="F2777" s="432"/>
      <c r="G2777" s="432"/>
      <c r="H2777" s="432"/>
    </row>
    <row r="2778" spans="1:8" s="422" customFormat="1" ht="11.25"/>
    <row r="2779" spans="1:8" s="422" customFormat="1" ht="11.25">
      <c r="A2779" s="421" t="s">
        <v>591</v>
      </c>
      <c r="B2779" s="421"/>
      <c r="C2779" s="421"/>
    </row>
    <row r="2780" spans="1:8" s="422" customFormat="1" ht="11.25">
      <c r="A2780" s="421"/>
      <c r="B2780" s="421"/>
      <c r="C2780" s="421"/>
    </row>
    <row r="2781" spans="1:8" s="422" customFormat="1" ht="11.25">
      <c r="A2781" s="421"/>
      <c r="B2781" s="421"/>
      <c r="C2781" s="421"/>
    </row>
    <row r="2782" spans="1:8" s="422" customFormat="1" ht="11.25">
      <c r="A2782" s="421"/>
      <c r="B2782" s="421"/>
      <c r="C2782" s="421"/>
    </row>
    <row r="2783" spans="1:8" s="422" customFormat="1" ht="11.25">
      <c r="A2783" s="421"/>
      <c r="B2783" s="421"/>
      <c r="C2783" s="421"/>
    </row>
    <row r="2784" spans="1:8" s="429" customFormat="1" ht="11.25">
      <c r="A2784" s="428"/>
      <c r="B2784" s="428"/>
      <c r="C2784" s="428"/>
    </row>
    <row r="2785" spans="1:8" s="429" customFormat="1" ht="11.25">
      <c r="A2785" s="428" t="s">
        <v>591</v>
      </c>
      <c r="B2785" s="428"/>
      <c r="C2785" s="428"/>
    </row>
    <row r="2786" spans="1:8" s="429" customFormat="1" ht="11.25">
      <c r="A2786" s="428"/>
      <c r="B2786" s="428"/>
      <c r="C2786" s="428"/>
    </row>
    <row r="2787" spans="1:8" s="429" customFormat="1" ht="11.25">
      <c r="A2787" s="428"/>
      <c r="B2787" s="428"/>
      <c r="C2787" s="428"/>
    </row>
    <row r="2788" spans="1:8" s="429" customFormat="1" ht="11.25">
      <c r="A2788" s="428"/>
      <c r="B2788" s="428"/>
      <c r="C2788" s="428"/>
    </row>
    <row r="2789" spans="1:8" s="422" customFormat="1" ht="12" customHeight="1"/>
    <row r="2790" spans="1:8" s="422" customFormat="1" ht="11.25">
      <c r="A2790" s="433" t="s">
        <v>592</v>
      </c>
      <c r="B2790" s="434"/>
      <c r="C2790" s="434"/>
      <c r="D2790" s="434"/>
      <c r="E2790" s="434"/>
      <c r="F2790" s="434"/>
      <c r="G2790" s="434"/>
      <c r="H2790" s="434"/>
    </row>
    <row r="2791" spans="1:8" s="429" customFormat="1" ht="11.25">
      <c r="A2791" s="435"/>
      <c r="B2791" s="436"/>
      <c r="C2791" s="436"/>
      <c r="D2791" s="436"/>
      <c r="E2791" s="436"/>
      <c r="F2791" s="436"/>
      <c r="G2791" s="436"/>
      <c r="H2791" s="436"/>
    </row>
    <row r="2792" spans="1:8" s="429" customFormat="1" ht="11.25">
      <c r="A2792" s="435"/>
      <c r="B2792" s="436"/>
      <c r="C2792" s="436"/>
      <c r="D2792" s="436"/>
      <c r="E2792" s="436"/>
      <c r="F2792" s="436"/>
      <c r="G2792" s="436"/>
      <c r="H2792" s="436"/>
    </row>
    <row r="2793" spans="1:8" s="429" customFormat="1" ht="11.25">
      <c r="A2793" s="435"/>
      <c r="B2793" s="436"/>
      <c r="C2793" s="436"/>
      <c r="D2793" s="436"/>
      <c r="E2793" s="436"/>
      <c r="F2793" s="436"/>
      <c r="G2793" s="436"/>
      <c r="H2793" s="436"/>
    </row>
    <row r="2794" spans="1:8" s="422" customFormat="1" ht="11.25">
      <c r="A2794" s="437"/>
      <c r="B2794" s="437"/>
      <c r="C2794" s="437"/>
      <c r="D2794" s="437"/>
      <c r="E2794" s="437"/>
      <c r="F2794" s="437"/>
      <c r="G2794" s="437"/>
      <c r="H2794" s="437"/>
    </row>
    <row r="2795" spans="1:8" s="422" customFormat="1" ht="11.25">
      <c r="A2795" s="421" t="s">
        <v>593</v>
      </c>
      <c r="B2795" s="421"/>
      <c r="C2795" s="421"/>
    </row>
    <row r="2796" spans="1:8" s="422" customFormat="1" ht="11.25">
      <c r="A2796" s="438"/>
      <c r="B2796" s="439" t="s">
        <v>132</v>
      </c>
      <c r="C2796" s="439" t="s">
        <v>473</v>
      </c>
      <c r="D2796" s="439" t="s">
        <v>474</v>
      </c>
      <c r="E2796" s="439" t="s">
        <v>375</v>
      </c>
      <c r="F2796" s="439" t="s">
        <v>9</v>
      </c>
      <c r="G2796" s="439" t="s">
        <v>131</v>
      </c>
      <c r="H2796" s="439" t="s">
        <v>424</v>
      </c>
    </row>
    <row r="2797" spans="1:8" s="422" customFormat="1" ht="11.25">
      <c r="A2797" s="439" t="s">
        <v>394</v>
      </c>
      <c r="B2797" s="438">
        <v>7939410.5899999999</v>
      </c>
      <c r="C2797" s="438">
        <v>8676706.129999999</v>
      </c>
      <c r="D2797" s="438">
        <v>9624720.8399999961</v>
      </c>
      <c r="E2797" s="438">
        <v>10269586.730599999</v>
      </c>
      <c r="F2797" s="438">
        <v>10399066.730599999</v>
      </c>
      <c r="G2797" s="438">
        <v>10516073.621439997</v>
      </c>
      <c r="H2797" s="438">
        <v>10557861.796739995</v>
      </c>
    </row>
    <row r="2798" spans="1:8" s="422" customFormat="1" ht="11.25">
      <c r="A2798" s="439" t="s">
        <v>395</v>
      </c>
      <c r="B2798" s="438">
        <v>-1509885.76</v>
      </c>
      <c r="C2798" s="438">
        <v>-1742721.41</v>
      </c>
      <c r="D2798" s="438">
        <v>-1204203.24</v>
      </c>
      <c r="E2798" s="438">
        <v>-1240703.24</v>
      </c>
      <c r="F2798" s="438">
        <v>-1280703.24</v>
      </c>
      <c r="G2798" s="438">
        <v>-1320703.24</v>
      </c>
      <c r="H2798" s="438">
        <v>-1360703.24</v>
      </c>
    </row>
    <row r="2799" spans="1:8" s="422" customFormat="1" ht="11.25">
      <c r="A2799" s="439" t="s">
        <v>396</v>
      </c>
      <c r="B2799" s="438">
        <v>6429524.8300000001</v>
      </c>
      <c r="C2799" s="438">
        <v>6933984.7199999988</v>
      </c>
      <c r="D2799" s="438">
        <v>8420517.5999999959</v>
      </c>
      <c r="E2799" s="438">
        <v>9028883.4905999992</v>
      </c>
      <c r="F2799" s="438">
        <v>9118363.4905999992</v>
      </c>
      <c r="G2799" s="438">
        <v>9195370.3814399969</v>
      </c>
      <c r="H2799" s="438">
        <v>9197158.5567399953</v>
      </c>
    </row>
    <row r="2800" spans="1:8" s="442" customFormat="1" ht="11.25">
      <c r="A2800" s="440" t="s">
        <v>397</v>
      </c>
      <c r="B2800" s="441">
        <v>0.19017605184719386</v>
      </c>
      <c r="C2800" s="441">
        <v>0.20085057438726464</v>
      </c>
      <c r="D2800" s="441">
        <v>0.12511565374398959</v>
      </c>
      <c r="E2800" s="441">
        <v>0.12081335622816362</v>
      </c>
      <c r="F2800" s="441">
        <v>0.12315559397570158</v>
      </c>
      <c r="G2800" s="441">
        <v>0.12558900665238518</v>
      </c>
      <c r="H2800" s="441">
        <v>0.12888056939901896</v>
      </c>
    </row>
    <row r="2801" spans="1:8" s="422" customFormat="1" ht="11.25"/>
    <row r="2802" spans="1:8" s="422" customFormat="1" ht="11.25">
      <c r="A2802" s="443" t="s">
        <v>594</v>
      </c>
      <c r="B2802" s="443"/>
      <c r="C2802" s="444"/>
    </row>
    <row r="2803" spans="1:8" s="422" customFormat="1" ht="11.25">
      <c r="A2803" s="445" t="s">
        <v>595</v>
      </c>
      <c r="B2803" s="446"/>
      <c r="C2803" s="447"/>
      <c r="D2803" s="439" t="s">
        <v>474</v>
      </c>
      <c r="E2803" s="439" t="s">
        <v>375</v>
      </c>
      <c r="F2803" s="439" t="s">
        <v>9</v>
      </c>
      <c r="G2803" s="439" t="s">
        <v>131</v>
      </c>
      <c r="H2803" s="439" t="s">
        <v>424</v>
      </c>
    </row>
    <row r="2804" spans="1:8" s="422" customFormat="1" ht="11.25">
      <c r="A2804" s="448" t="s">
        <v>900</v>
      </c>
      <c r="B2804" s="449"/>
      <c r="C2804" s="449"/>
      <c r="D2804" s="463">
        <v>1</v>
      </c>
      <c r="E2804" s="463">
        <v>1</v>
      </c>
      <c r="F2804" s="463">
        <v>1</v>
      </c>
      <c r="G2804" s="463">
        <v>1</v>
      </c>
      <c r="H2804" s="463">
        <v>1</v>
      </c>
    </row>
    <row r="2805" spans="1:8" s="422" customFormat="1" ht="11.25">
      <c r="A2805" s="448"/>
      <c r="B2805" s="449"/>
      <c r="C2805" s="449"/>
      <c r="D2805" s="438"/>
      <c r="E2805" s="438"/>
      <c r="F2805" s="438"/>
      <c r="G2805" s="438"/>
      <c r="H2805" s="438"/>
    </row>
    <row r="2806" spans="1:8" s="422" customFormat="1" ht="11.25">
      <c r="A2806" s="448" t="s">
        <v>763</v>
      </c>
      <c r="B2806" s="449"/>
      <c r="C2806" s="449"/>
      <c r="D2806" s="438"/>
      <c r="E2806" s="438"/>
      <c r="F2806" s="438"/>
      <c r="G2806" s="438"/>
      <c r="H2806" s="438"/>
    </row>
    <row r="2807" spans="1:8" s="422" customFormat="1" ht="11.25"/>
    <row r="2808" spans="1:8" s="422" customFormat="1" ht="11.25">
      <c r="A2808" s="421" t="s">
        <v>423</v>
      </c>
      <c r="B2808" s="421"/>
      <c r="C2808" s="421"/>
    </row>
    <row r="2809" spans="1:8" s="422" customFormat="1" ht="11.25">
      <c r="A2809" s="450"/>
      <c r="B2809" s="439" t="s">
        <v>132</v>
      </c>
      <c r="C2809" s="439" t="s">
        <v>473</v>
      </c>
      <c r="D2809" s="439" t="s">
        <v>474</v>
      </c>
      <c r="E2809" s="439" t="s">
        <v>375</v>
      </c>
      <c r="F2809" s="439" t="s">
        <v>9</v>
      </c>
      <c r="G2809" s="439" t="s">
        <v>131</v>
      </c>
      <c r="H2809" s="439" t="s">
        <v>424</v>
      </c>
    </row>
    <row r="2810" spans="1:8" s="422" customFormat="1" ht="11.25">
      <c r="A2810" s="451" t="s">
        <v>398</v>
      </c>
      <c r="B2810" s="438">
        <v>0</v>
      </c>
      <c r="C2810" s="438">
        <v>0</v>
      </c>
      <c r="D2810" s="438">
        <v>0</v>
      </c>
      <c r="E2810" s="438">
        <v>0</v>
      </c>
      <c r="F2810" s="438">
        <v>0</v>
      </c>
      <c r="G2810" s="438">
        <v>0</v>
      </c>
      <c r="H2810" s="438">
        <v>0</v>
      </c>
    </row>
    <row r="2811" spans="1:8" s="422" customFormat="1" ht="11.25">
      <c r="A2811" s="451" t="s">
        <v>399</v>
      </c>
      <c r="B2811" s="438">
        <v>0</v>
      </c>
      <c r="C2811" s="438">
        <v>0</v>
      </c>
      <c r="D2811" s="438">
        <v>0</v>
      </c>
      <c r="E2811" s="438">
        <v>0</v>
      </c>
      <c r="F2811" s="438">
        <v>0</v>
      </c>
      <c r="G2811" s="438">
        <v>0</v>
      </c>
      <c r="H2811" s="438">
        <v>0</v>
      </c>
    </row>
    <row r="2812" spans="1:8" s="422" customFormat="1" ht="11.25">
      <c r="A2812" s="451" t="s">
        <v>400</v>
      </c>
      <c r="B2812" s="438">
        <v>0</v>
      </c>
      <c r="C2812" s="438">
        <v>0</v>
      </c>
      <c r="D2812" s="438">
        <v>0</v>
      </c>
      <c r="E2812" s="438">
        <v>0</v>
      </c>
      <c r="F2812" s="438">
        <v>0</v>
      </c>
      <c r="G2812" s="438">
        <v>0</v>
      </c>
      <c r="H2812" s="438">
        <v>0</v>
      </c>
    </row>
    <row r="2813" spans="1:8" s="422" customFormat="1" ht="11.25">
      <c r="A2813" s="451" t="s">
        <v>401</v>
      </c>
      <c r="B2813" s="438">
        <v>0</v>
      </c>
      <c r="C2813" s="438">
        <v>0</v>
      </c>
      <c r="D2813" s="438">
        <v>0</v>
      </c>
      <c r="E2813" s="438">
        <v>0</v>
      </c>
      <c r="F2813" s="438">
        <v>0</v>
      </c>
      <c r="G2813" s="438">
        <v>0</v>
      </c>
      <c r="H2813" s="438">
        <v>0</v>
      </c>
    </row>
    <row r="2814" spans="1:8" s="422" customFormat="1" ht="11.25">
      <c r="A2814" s="444"/>
      <c r="B2814" s="459"/>
      <c r="C2814" s="459"/>
      <c r="D2814" s="459"/>
      <c r="E2814" s="459"/>
      <c r="F2814" s="459"/>
      <c r="G2814" s="459"/>
      <c r="H2814" s="459"/>
    </row>
    <row r="2815" spans="1:8" s="422" customFormat="1" ht="11.25"/>
    <row r="2816" spans="1:8" s="422" customFormat="1" ht="11.25">
      <c r="A2816" s="421" t="s">
        <v>597</v>
      </c>
      <c r="B2816" s="421"/>
      <c r="C2816" s="421"/>
    </row>
    <row r="2817" spans="1:8" s="429" customFormat="1" ht="15" customHeight="1">
      <c r="A2817" s="428"/>
      <c r="B2817" s="428"/>
      <c r="C2817" s="428"/>
    </row>
    <row r="2818" spans="1:8" s="422" customFormat="1" ht="11.25"/>
    <row r="2819" spans="1:8" s="422" customFormat="1" ht="11.25">
      <c r="A2819" s="421" t="s">
        <v>598</v>
      </c>
      <c r="B2819" s="421"/>
      <c r="C2819" s="421"/>
    </row>
    <row r="2820" spans="1:8" s="422" customFormat="1" ht="11.25">
      <c r="A2820" s="452" t="s">
        <v>599</v>
      </c>
      <c r="B2820" s="447"/>
      <c r="C2820" s="447"/>
      <c r="D2820" s="447"/>
      <c r="E2820" s="439" t="s">
        <v>375</v>
      </c>
      <c r="F2820" s="439" t="s">
        <v>9</v>
      </c>
      <c r="G2820" s="439" t="s">
        <v>131</v>
      </c>
      <c r="H2820" s="439" t="s">
        <v>424</v>
      </c>
    </row>
    <row r="2821" spans="1:8" s="422" customFormat="1" ht="11.25">
      <c r="A2821" s="448" t="s">
        <v>437</v>
      </c>
      <c r="B2821" s="449"/>
      <c r="C2821" s="449"/>
      <c r="D2821" s="449"/>
      <c r="E2821" s="438">
        <v>179480</v>
      </c>
      <c r="F2821" s="438">
        <v>358960</v>
      </c>
      <c r="G2821" s="438">
        <v>363104</v>
      </c>
      <c r="H2821" s="438">
        <v>364584</v>
      </c>
    </row>
    <row r="2822" spans="1:8" s="421" customFormat="1" ht="11.25">
      <c r="A2822" s="421" t="s">
        <v>391</v>
      </c>
      <c r="D2822" s="421" t="s">
        <v>472</v>
      </c>
    </row>
    <row r="2823" spans="1:8" s="422" customFormat="1" ht="11.25"/>
    <row r="2824" spans="1:8" s="421" customFormat="1" ht="11.25" customHeight="1">
      <c r="A2824" s="423" t="s">
        <v>392</v>
      </c>
      <c r="D2824" s="421" t="s">
        <v>145</v>
      </c>
    </row>
    <row r="2825" spans="1:8" s="421" customFormat="1" ht="7.5" customHeight="1">
      <c r="A2825" s="423"/>
    </row>
    <row r="2826" spans="1:8" s="421" customFormat="1" ht="11.25">
      <c r="A2826" s="424" t="s">
        <v>393</v>
      </c>
      <c r="D2826" s="583" t="s">
        <v>148</v>
      </c>
      <c r="E2826" s="583"/>
      <c r="F2826" s="583"/>
      <c r="G2826" s="583"/>
      <c r="H2826" s="583"/>
    </row>
    <row r="2827" spans="1:8" s="421" customFormat="1" ht="7.5" customHeight="1"/>
    <row r="2828" spans="1:8" s="422" customFormat="1" ht="11.25">
      <c r="A2828" s="421" t="s">
        <v>170</v>
      </c>
      <c r="B2828" s="421"/>
      <c r="C2828" s="421"/>
      <c r="D2828" s="422" t="s">
        <v>373</v>
      </c>
      <c r="E2828" s="422" t="s">
        <v>267</v>
      </c>
    </row>
    <row r="2829" spans="1:8" s="422" customFormat="1" ht="7.5" customHeight="1"/>
    <row r="2830" spans="1:8" s="427" customFormat="1" ht="11.25">
      <c r="A2830" s="425" t="s">
        <v>587</v>
      </c>
      <c r="B2830" s="425"/>
      <c r="C2830" s="425"/>
      <c r="D2830" s="426" t="s">
        <v>901</v>
      </c>
      <c r="E2830" s="584" t="s">
        <v>902</v>
      </c>
      <c r="F2830" s="584"/>
      <c r="G2830" s="584"/>
      <c r="H2830" s="584"/>
    </row>
    <row r="2831" spans="1:8" s="427" customFormat="1" ht="11.25">
      <c r="A2831" s="425"/>
      <c r="B2831" s="425"/>
      <c r="C2831" s="425"/>
      <c r="D2831" s="426" t="s">
        <v>903</v>
      </c>
      <c r="E2831" s="584" t="s">
        <v>904</v>
      </c>
      <c r="F2831" s="584"/>
      <c r="G2831" s="584"/>
      <c r="H2831" s="584"/>
    </row>
    <row r="2832" spans="1:8" s="427" customFormat="1" ht="11.25">
      <c r="A2832" s="425"/>
      <c r="B2832" s="425"/>
      <c r="C2832" s="425"/>
      <c r="D2832" s="426" t="s">
        <v>905</v>
      </c>
      <c r="E2832" s="584" t="s">
        <v>906</v>
      </c>
      <c r="F2832" s="584"/>
      <c r="G2832" s="584"/>
      <c r="H2832" s="584"/>
    </row>
    <row r="2833" spans="1:8" s="427" customFormat="1" ht="11.25">
      <c r="A2833" s="425"/>
      <c r="B2833" s="425"/>
      <c r="C2833" s="425"/>
      <c r="D2833" s="426"/>
      <c r="E2833" s="584"/>
      <c r="F2833" s="584"/>
      <c r="G2833" s="584"/>
      <c r="H2833" s="584"/>
    </row>
    <row r="2834" spans="1:8" s="427" customFormat="1" ht="11.25"/>
    <row r="2835" spans="1:8" s="422" customFormat="1" ht="11.25"/>
    <row r="2836" spans="1:8" s="422" customFormat="1" ht="11.25">
      <c r="A2836" s="421" t="s">
        <v>589</v>
      </c>
      <c r="B2836" s="421"/>
      <c r="C2836" s="421"/>
    </row>
    <row r="2837" spans="1:8" s="429" customFormat="1" ht="13.5" customHeight="1">
      <c r="A2837" s="428"/>
      <c r="B2837" s="428"/>
      <c r="C2837" s="428"/>
    </row>
    <row r="2838" spans="1:8" s="429" customFormat="1" ht="11.25">
      <c r="A2838" s="428"/>
      <c r="B2838" s="428"/>
      <c r="C2838" s="428"/>
    </row>
    <row r="2839" spans="1:8" s="422" customFormat="1" ht="9" customHeight="1">
      <c r="A2839" s="430"/>
      <c r="B2839" s="430"/>
      <c r="C2839" s="430"/>
      <c r="D2839" s="430"/>
      <c r="E2839" s="430"/>
      <c r="F2839" s="430"/>
      <c r="G2839" s="430"/>
      <c r="H2839" s="430"/>
    </row>
    <row r="2840" spans="1:8" s="422" customFormat="1" ht="22.5" customHeight="1">
      <c r="A2840" s="585" t="s">
        <v>590</v>
      </c>
      <c r="B2840" s="585"/>
      <c r="C2840" s="585"/>
      <c r="D2840" s="586"/>
      <c r="E2840" s="586"/>
      <c r="F2840" s="586"/>
      <c r="G2840" s="586"/>
      <c r="H2840" s="586"/>
    </row>
    <row r="2841" spans="1:8" s="429" customFormat="1" ht="11.25">
      <c r="A2841" s="431"/>
      <c r="B2841" s="431"/>
      <c r="C2841" s="431"/>
      <c r="D2841" s="432"/>
      <c r="E2841" s="432"/>
      <c r="F2841" s="432"/>
      <c r="G2841" s="432"/>
      <c r="H2841" s="432"/>
    </row>
    <row r="2842" spans="1:8" s="429" customFormat="1" ht="11.25">
      <c r="A2842" s="431"/>
      <c r="B2842" s="431"/>
      <c r="C2842" s="431"/>
      <c r="D2842" s="432"/>
      <c r="E2842" s="432"/>
      <c r="F2842" s="432"/>
      <c r="G2842" s="432"/>
      <c r="H2842" s="432"/>
    </row>
    <row r="2843" spans="1:8" s="429" customFormat="1" ht="11.25">
      <c r="A2843" s="431"/>
      <c r="B2843" s="431"/>
      <c r="C2843" s="431"/>
      <c r="D2843" s="432"/>
      <c r="E2843" s="432"/>
      <c r="F2843" s="432"/>
      <c r="G2843" s="432"/>
      <c r="H2843" s="432"/>
    </row>
    <row r="2844" spans="1:8" s="429" customFormat="1" ht="11.25">
      <c r="A2844" s="431"/>
      <c r="B2844" s="431"/>
      <c r="C2844" s="431"/>
      <c r="D2844" s="432"/>
      <c r="E2844" s="432"/>
      <c r="F2844" s="432"/>
      <c r="G2844" s="432"/>
      <c r="H2844" s="432"/>
    </row>
    <row r="2845" spans="1:8" s="429" customFormat="1" ht="11.25">
      <c r="A2845" s="431"/>
      <c r="B2845" s="431"/>
      <c r="C2845" s="431"/>
      <c r="D2845" s="432"/>
      <c r="E2845" s="432"/>
      <c r="F2845" s="432"/>
      <c r="G2845" s="432"/>
      <c r="H2845" s="432"/>
    </row>
    <row r="2846" spans="1:8" s="429" customFormat="1" ht="11.25">
      <c r="A2846" s="431"/>
      <c r="B2846" s="431"/>
      <c r="C2846" s="431"/>
      <c r="D2846" s="432"/>
      <c r="E2846" s="432"/>
      <c r="F2846" s="432"/>
      <c r="G2846" s="432"/>
      <c r="H2846" s="432"/>
    </row>
    <row r="2847" spans="1:8" s="422" customFormat="1" ht="9" customHeight="1"/>
    <row r="2848" spans="1:8" s="422" customFormat="1" ht="11.25">
      <c r="A2848" s="421" t="s">
        <v>591</v>
      </c>
      <c r="B2848" s="421"/>
      <c r="C2848" s="421"/>
    </row>
    <row r="2849" spans="1:8" s="429" customFormat="1" ht="11.25">
      <c r="A2849" s="428"/>
      <c r="B2849" s="428"/>
      <c r="C2849" s="428"/>
    </row>
    <row r="2850" spans="1:8" s="429" customFormat="1" ht="11.25">
      <c r="A2850" s="428"/>
      <c r="B2850" s="428"/>
      <c r="C2850" s="428"/>
    </row>
    <row r="2851" spans="1:8" s="422" customFormat="1" ht="9" customHeight="1"/>
    <row r="2852" spans="1:8" s="422" customFormat="1" ht="11.25">
      <c r="A2852" s="433" t="s">
        <v>592</v>
      </c>
      <c r="B2852" s="434"/>
      <c r="C2852" s="434"/>
      <c r="D2852" s="434"/>
      <c r="E2852" s="434"/>
      <c r="F2852" s="434"/>
      <c r="G2852" s="434"/>
      <c r="H2852" s="434"/>
    </row>
    <row r="2853" spans="1:8" s="429" customFormat="1" ht="11.25">
      <c r="A2853" s="435"/>
      <c r="B2853" s="436"/>
      <c r="C2853" s="436"/>
      <c r="D2853" s="436"/>
      <c r="E2853" s="436"/>
      <c r="F2853" s="436"/>
      <c r="G2853" s="436"/>
      <c r="H2853" s="436"/>
    </row>
    <row r="2854" spans="1:8" s="429" customFormat="1" ht="11.25">
      <c r="A2854" s="435"/>
      <c r="B2854" s="436"/>
      <c r="C2854" s="436"/>
      <c r="D2854" s="436"/>
      <c r="E2854" s="436"/>
      <c r="F2854" s="436"/>
      <c r="G2854" s="436"/>
      <c r="H2854" s="436"/>
    </row>
    <row r="2855" spans="1:8" s="422" customFormat="1" ht="11.25">
      <c r="A2855" s="437"/>
      <c r="B2855" s="437"/>
      <c r="C2855" s="437"/>
      <c r="D2855" s="437"/>
      <c r="E2855" s="437"/>
      <c r="F2855" s="437"/>
      <c r="G2855" s="437"/>
      <c r="H2855" s="437"/>
    </row>
    <row r="2856" spans="1:8" s="422" customFormat="1" ht="11.25">
      <c r="A2856" s="421" t="s">
        <v>593</v>
      </c>
      <c r="B2856" s="421"/>
      <c r="C2856" s="421"/>
    </row>
    <row r="2857" spans="1:8" s="422" customFormat="1" ht="11.25">
      <c r="A2857" s="438"/>
      <c r="B2857" s="439" t="s">
        <v>132</v>
      </c>
      <c r="C2857" s="439" t="s">
        <v>473</v>
      </c>
      <c r="D2857" s="439" t="s">
        <v>474</v>
      </c>
      <c r="E2857" s="439" t="s">
        <v>375</v>
      </c>
      <c r="F2857" s="439" t="s">
        <v>9</v>
      </c>
      <c r="G2857" s="439" t="s">
        <v>131</v>
      </c>
      <c r="H2857" s="439" t="s">
        <v>424</v>
      </c>
    </row>
    <row r="2858" spans="1:8" s="422" customFormat="1" ht="11.25">
      <c r="A2858" s="439" t="s">
        <v>394</v>
      </c>
      <c r="B2858" s="438">
        <v>1679191.1700000002</v>
      </c>
      <c r="C2858" s="438">
        <v>1858789.53</v>
      </c>
      <c r="D2858" s="438">
        <v>1957691.72</v>
      </c>
      <c r="E2858" s="438">
        <v>1934533.1270000001</v>
      </c>
      <c r="F2858" s="438">
        <v>1934533.1270000001</v>
      </c>
      <c r="G2858" s="438">
        <v>1954978.4288000001</v>
      </c>
      <c r="H2858" s="438">
        <v>1962280.3222999999</v>
      </c>
    </row>
    <row r="2859" spans="1:8" s="422" customFormat="1" ht="11.25">
      <c r="A2859" s="439" t="s">
        <v>395</v>
      </c>
      <c r="B2859" s="438">
        <v>-568299.89</v>
      </c>
      <c r="C2859" s="438">
        <v>-585829.93000000005</v>
      </c>
      <c r="D2859" s="438">
        <v>-807515.68</v>
      </c>
      <c r="E2859" s="438">
        <v>-807515.68</v>
      </c>
      <c r="F2859" s="438">
        <v>-807515.68</v>
      </c>
      <c r="G2859" s="438">
        <v>-807515.68</v>
      </c>
      <c r="H2859" s="438">
        <v>-807515.68</v>
      </c>
    </row>
    <row r="2860" spans="1:8" s="422" customFormat="1" ht="11.25">
      <c r="A2860" s="439" t="s">
        <v>396</v>
      </c>
      <c r="B2860" s="438">
        <v>1110891.2800000003</v>
      </c>
      <c r="C2860" s="438">
        <v>1272959.6000000001</v>
      </c>
      <c r="D2860" s="438">
        <v>1150176.04</v>
      </c>
      <c r="E2860" s="438">
        <v>1127017.4470000002</v>
      </c>
      <c r="F2860" s="438">
        <v>1127017.4470000002</v>
      </c>
      <c r="G2860" s="438">
        <v>1147462.7488000002</v>
      </c>
      <c r="H2860" s="438">
        <v>1154764.6422999999</v>
      </c>
    </row>
    <row r="2861" spans="1:8" s="442" customFormat="1" ht="11.25">
      <c r="A2861" s="440" t="s">
        <v>397</v>
      </c>
      <c r="B2861" s="441">
        <v>0.33843668318003362</v>
      </c>
      <c r="C2861" s="441">
        <v>0.31516743587424878</v>
      </c>
      <c r="D2861" s="441">
        <v>0.41248357529958807</v>
      </c>
      <c r="E2861" s="441">
        <v>0.41742147949271069</v>
      </c>
      <c r="F2861" s="441">
        <v>0.41742147949271069</v>
      </c>
      <c r="G2861" s="441">
        <v>0.41305605632470699</v>
      </c>
      <c r="H2861" s="441">
        <v>0.41151902244706118</v>
      </c>
    </row>
    <row r="2862" spans="1:8" s="422" customFormat="1" ht="11.25"/>
    <row r="2863" spans="1:8" s="422" customFormat="1" ht="11.25">
      <c r="A2863" s="443" t="s">
        <v>594</v>
      </c>
      <c r="B2863" s="443"/>
      <c r="C2863" s="444"/>
    </row>
    <row r="2864" spans="1:8" s="422" customFormat="1" ht="11.25">
      <c r="A2864" s="445" t="s">
        <v>595</v>
      </c>
      <c r="B2864" s="446"/>
      <c r="C2864" s="447"/>
      <c r="D2864" s="439" t="s">
        <v>474</v>
      </c>
      <c r="E2864" s="439" t="s">
        <v>375</v>
      </c>
      <c r="F2864" s="439" t="s">
        <v>9</v>
      </c>
      <c r="G2864" s="439" t="s">
        <v>131</v>
      </c>
      <c r="H2864" s="439" t="s">
        <v>424</v>
      </c>
    </row>
    <row r="2865" spans="1:8" s="422" customFormat="1" ht="11.25">
      <c r="A2865" s="448" t="s">
        <v>907</v>
      </c>
      <c r="B2865" s="449"/>
      <c r="C2865" s="449"/>
      <c r="D2865" s="463">
        <v>0.95</v>
      </c>
      <c r="E2865" s="463">
        <v>0.95</v>
      </c>
      <c r="F2865" s="463">
        <v>0.95</v>
      </c>
      <c r="G2865" s="463">
        <v>0.95</v>
      </c>
      <c r="H2865" s="463">
        <v>0.95</v>
      </c>
    </row>
    <row r="2866" spans="1:8" s="422" customFormat="1" ht="11.25">
      <c r="A2866" s="448" t="s">
        <v>908</v>
      </c>
      <c r="B2866" s="449"/>
      <c r="C2866" s="449"/>
      <c r="D2866" s="463">
        <v>0.95</v>
      </c>
      <c r="E2866" s="463">
        <v>0.95</v>
      </c>
      <c r="F2866" s="463">
        <v>0.95</v>
      </c>
      <c r="G2866" s="463">
        <v>0.95</v>
      </c>
      <c r="H2866" s="463">
        <v>0.95</v>
      </c>
    </row>
    <row r="2867" spans="1:8" s="422" customFormat="1" ht="11.25">
      <c r="A2867" s="448" t="s">
        <v>763</v>
      </c>
      <c r="B2867" s="449"/>
      <c r="C2867" s="449"/>
      <c r="D2867" s="438"/>
      <c r="E2867" s="438"/>
      <c r="F2867" s="438"/>
      <c r="G2867" s="438"/>
      <c r="H2867" s="438"/>
    </row>
    <row r="2868" spans="1:8" s="422" customFormat="1" ht="11.25"/>
    <row r="2869" spans="1:8" s="422" customFormat="1" ht="11.25">
      <c r="A2869" s="421" t="s">
        <v>423</v>
      </c>
      <c r="B2869" s="421"/>
      <c r="C2869" s="421"/>
    </row>
    <row r="2870" spans="1:8" s="422" customFormat="1" ht="11.25">
      <c r="A2870" s="450"/>
      <c r="B2870" s="439" t="s">
        <v>132</v>
      </c>
      <c r="C2870" s="439" t="s">
        <v>473</v>
      </c>
      <c r="D2870" s="439" t="s">
        <v>474</v>
      </c>
      <c r="E2870" s="439" t="s">
        <v>375</v>
      </c>
      <c r="F2870" s="439" t="s">
        <v>9</v>
      </c>
      <c r="G2870" s="439" t="s">
        <v>131</v>
      </c>
      <c r="H2870" s="439" t="s">
        <v>424</v>
      </c>
    </row>
    <row r="2871" spans="1:8" s="422" customFormat="1" ht="11.25">
      <c r="A2871" s="451" t="s">
        <v>398</v>
      </c>
      <c r="B2871" s="438">
        <v>0</v>
      </c>
      <c r="C2871" s="438">
        <v>0</v>
      </c>
      <c r="D2871" s="438">
        <v>0</v>
      </c>
      <c r="E2871" s="438">
        <v>0</v>
      </c>
      <c r="F2871" s="438">
        <v>0</v>
      </c>
      <c r="G2871" s="438">
        <v>0</v>
      </c>
      <c r="H2871" s="438">
        <v>0</v>
      </c>
    </row>
    <row r="2872" spans="1:8" s="422" customFormat="1" ht="11.25">
      <c r="A2872" s="451" t="s">
        <v>399</v>
      </c>
      <c r="B2872" s="438">
        <v>0</v>
      </c>
      <c r="C2872" s="438">
        <v>0</v>
      </c>
      <c r="D2872" s="438">
        <v>0</v>
      </c>
      <c r="E2872" s="438">
        <v>0</v>
      </c>
      <c r="F2872" s="438">
        <v>0</v>
      </c>
      <c r="G2872" s="438">
        <v>0</v>
      </c>
      <c r="H2872" s="438">
        <v>0</v>
      </c>
    </row>
    <row r="2873" spans="1:8" s="422" customFormat="1" ht="11.25">
      <c r="A2873" s="451" t="s">
        <v>400</v>
      </c>
      <c r="B2873" s="438">
        <v>0</v>
      </c>
      <c r="C2873" s="438">
        <v>0</v>
      </c>
      <c r="D2873" s="438">
        <v>0</v>
      </c>
      <c r="E2873" s="438">
        <v>0</v>
      </c>
      <c r="F2873" s="438">
        <v>0</v>
      </c>
      <c r="G2873" s="438">
        <v>0</v>
      </c>
      <c r="H2873" s="438">
        <v>0</v>
      </c>
    </row>
    <row r="2874" spans="1:8" s="422" customFormat="1" ht="11.25">
      <c r="A2874" s="451" t="s">
        <v>401</v>
      </c>
      <c r="B2874" s="438">
        <v>0</v>
      </c>
      <c r="C2874" s="438">
        <v>0</v>
      </c>
      <c r="D2874" s="438">
        <v>0</v>
      </c>
      <c r="E2874" s="438">
        <v>0</v>
      </c>
      <c r="F2874" s="438">
        <v>0</v>
      </c>
      <c r="G2874" s="438">
        <v>0</v>
      </c>
      <c r="H2874" s="438">
        <v>0</v>
      </c>
    </row>
    <row r="2875" spans="1:8" s="422" customFormat="1" ht="11.25"/>
    <row r="2876" spans="1:8" s="422" customFormat="1" ht="11.25">
      <c r="A2876" s="421" t="s">
        <v>597</v>
      </c>
      <c r="B2876" s="421"/>
      <c r="C2876" s="421"/>
    </row>
    <row r="2877" spans="1:8" s="429" customFormat="1" ht="11.25">
      <c r="A2877" s="428"/>
      <c r="B2877" s="428"/>
      <c r="C2877" s="428"/>
    </row>
    <row r="2878" spans="1:8" s="429" customFormat="1" ht="11.25">
      <c r="A2878" s="428"/>
      <c r="B2878" s="428"/>
      <c r="C2878" s="428"/>
    </row>
    <row r="2879" spans="1:8" s="429" customFormat="1" ht="11.25">
      <c r="A2879" s="428"/>
      <c r="B2879" s="428"/>
      <c r="C2879" s="428"/>
    </row>
    <row r="2880" spans="1:8" s="422" customFormat="1" ht="11.25"/>
    <row r="2881" spans="1:8" s="422" customFormat="1" ht="11.25">
      <c r="A2881" s="421" t="s">
        <v>598</v>
      </c>
      <c r="B2881" s="421"/>
      <c r="C2881" s="421"/>
    </row>
    <row r="2882" spans="1:8" s="422" customFormat="1" ht="11.25">
      <c r="A2882" s="452" t="s">
        <v>599</v>
      </c>
      <c r="B2882" s="447"/>
      <c r="C2882" s="447"/>
      <c r="D2882" s="447"/>
      <c r="E2882" s="439" t="s">
        <v>375</v>
      </c>
      <c r="F2882" s="439" t="s">
        <v>9</v>
      </c>
      <c r="G2882" s="439" t="s">
        <v>131</v>
      </c>
      <c r="H2882" s="439" t="s">
        <v>424</v>
      </c>
    </row>
    <row r="2883" spans="1:8" s="422" customFormat="1" ht="11.25">
      <c r="A2883" s="448"/>
      <c r="B2883" s="449"/>
      <c r="C2883" s="449"/>
      <c r="D2883" s="449"/>
      <c r="E2883" s="438">
        <v>0</v>
      </c>
      <c r="F2883" s="438">
        <v>0</v>
      </c>
      <c r="G2883" s="438">
        <v>0</v>
      </c>
      <c r="H2883" s="438">
        <v>0</v>
      </c>
    </row>
    <row r="2884" spans="1:8" s="422" customFormat="1" ht="11.25">
      <c r="A2884" s="448"/>
      <c r="B2884" s="449"/>
      <c r="C2884" s="449"/>
      <c r="D2884" s="449"/>
      <c r="E2884" s="438">
        <v>0</v>
      </c>
      <c r="F2884" s="438">
        <v>0</v>
      </c>
      <c r="G2884" s="438">
        <v>0</v>
      </c>
      <c r="H2884" s="438">
        <v>0</v>
      </c>
    </row>
    <row r="2885" spans="1:8" s="422" customFormat="1" ht="11.25">
      <c r="A2885" s="448"/>
      <c r="B2885" s="449"/>
      <c r="C2885" s="449"/>
      <c r="D2885" s="449"/>
      <c r="E2885" s="438">
        <v>0</v>
      </c>
      <c r="F2885" s="438">
        <v>0</v>
      </c>
      <c r="G2885" s="438">
        <v>0</v>
      </c>
      <c r="H2885" s="438">
        <v>0</v>
      </c>
    </row>
    <row r="2886" spans="1:8" s="421" customFormat="1" ht="11.25">
      <c r="A2886" s="421" t="s">
        <v>391</v>
      </c>
      <c r="D2886" s="421" t="s">
        <v>472</v>
      </c>
    </row>
    <row r="2887" spans="1:8" s="422" customFormat="1" ht="11.25"/>
    <row r="2888" spans="1:8" s="421" customFormat="1" ht="11.25" customHeight="1">
      <c r="A2888" s="423" t="s">
        <v>392</v>
      </c>
      <c r="D2888" s="421" t="s">
        <v>145</v>
      </c>
    </row>
    <row r="2889" spans="1:8" s="421" customFormat="1" ht="7.5" customHeight="1">
      <c r="A2889" s="423"/>
    </row>
    <row r="2890" spans="1:8" s="421" customFormat="1" ht="11.25">
      <c r="A2890" s="424" t="s">
        <v>393</v>
      </c>
      <c r="D2890" s="583" t="s">
        <v>383</v>
      </c>
      <c r="E2890" s="583"/>
      <c r="F2890" s="583"/>
      <c r="G2890" s="583"/>
      <c r="H2890" s="583"/>
    </row>
    <row r="2891" spans="1:8" s="421" customFormat="1" ht="7.5" customHeight="1"/>
    <row r="2892" spans="1:8" s="422" customFormat="1" ht="11.25">
      <c r="A2892" s="421" t="s">
        <v>170</v>
      </c>
      <c r="B2892" s="421"/>
      <c r="C2892" s="421"/>
      <c r="D2892" s="422" t="s">
        <v>241</v>
      </c>
      <c r="E2892" s="422" t="s">
        <v>383</v>
      </c>
    </row>
    <row r="2893" spans="1:8" s="422" customFormat="1" ht="7.5" customHeight="1"/>
    <row r="2894" spans="1:8" s="427" customFormat="1" ht="11.25">
      <c r="A2894" s="425" t="s">
        <v>587</v>
      </c>
      <c r="B2894" s="425"/>
      <c r="C2894" s="425"/>
      <c r="D2894" s="426" t="s">
        <v>909</v>
      </c>
      <c r="E2894" s="584" t="s">
        <v>910</v>
      </c>
      <c r="F2894" s="584"/>
      <c r="G2894" s="584"/>
      <c r="H2894" s="584"/>
    </row>
    <row r="2895" spans="1:8" s="427" customFormat="1" ht="11.25">
      <c r="A2895" s="425"/>
      <c r="B2895" s="425"/>
      <c r="C2895" s="425"/>
      <c r="D2895" s="426"/>
      <c r="E2895" s="584"/>
      <c r="F2895" s="584"/>
      <c r="G2895" s="584"/>
      <c r="H2895" s="584"/>
    </row>
    <row r="2896" spans="1:8" s="427" customFormat="1" ht="11.25"/>
    <row r="2897" spans="1:8" s="422" customFormat="1" ht="11.25"/>
    <row r="2898" spans="1:8" s="422" customFormat="1" ht="11.25">
      <c r="A2898" s="421" t="s">
        <v>589</v>
      </c>
      <c r="B2898" s="421"/>
      <c r="C2898" s="421"/>
    </row>
    <row r="2899" spans="1:8" s="429" customFormat="1" ht="11.25">
      <c r="A2899" s="428"/>
      <c r="B2899" s="428"/>
      <c r="C2899" s="428"/>
    </row>
    <row r="2900" spans="1:8" s="429" customFormat="1" ht="11.25">
      <c r="A2900" s="428"/>
      <c r="B2900" s="428"/>
      <c r="C2900" s="428"/>
    </row>
    <row r="2901" spans="1:8" s="429" customFormat="1" ht="11.25">
      <c r="A2901" s="428"/>
      <c r="B2901" s="428"/>
      <c r="C2901" s="428"/>
    </row>
    <row r="2902" spans="1:8" s="429" customFormat="1" ht="11.25">
      <c r="A2902" s="428"/>
      <c r="B2902" s="428"/>
      <c r="C2902" s="428"/>
    </row>
    <row r="2903" spans="1:8" s="429" customFormat="1" ht="11.25">
      <c r="A2903" s="428"/>
      <c r="B2903" s="428"/>
      <c r="C2903" s="428"/>
    </row>
    <row r="2904" spans="1:8" s="429" customFormat="1" ht="11.25">
      <c r="A2904" s="428"/>
      <c r="B2904" s="428"/>
      <c r="C2904" s="428"/>
    </row>
    <row r="2905" spans="1:8" s="422" customFormat="1" ht="9" customHeight="1">
      <c r="A2905" s="430"/>
      <c r="B2905" s="430"/>
      <c r="C2905" s="430"/>
      <c r="D2905" s="430"/>
      <c r="E2905" s="430"/>
      <c r="F2905" s="430"/>
      <c r="G2905" s="430"/>
      <c r="H2905" s="430"/>
    </row>
    <row r="2906" spans="1:8" s="422" customFormat="1" ht="22.5" customHeight="1">
      <c r="A2906" s="585" t="s">
        <v>590</v>
      </c>
      <c r="B2906" s="585"/>
      <c r="C2906" s="585"/>
      <c r="D2906" s="586"/>
      <c r="E2906" s="586"/>
      <c r="F2906" s="586"/>
      <c r="G2906" s="586"/>
      <c r="H2906" s="586"/>
    </row>
    <row r="2907" spans="1:8" s="429" customFormat="1" ht="11.25">
      <c r="A2907" s="431"/>
      <c r="B2907" s="431"/>
      <c r="C2907" s="431"/>
      <c r="D2907" s="432"/>
      <c r="E2907" s="432"/>
      <c r="F2907" s="432"/>
      <c r="G2907" s="432"/>
      <c r="H2907" s="432"/>
    </row>
    <row r="2908" spans="1:8" s="429" customFormat="1" ht="11.25">
      <c r="A2908" s="431"/>
      <c r="B2908" s="431"/>
      <c r="C2908" s="431"/>
      <c r="D2908" s="432"/>
      <c r="E2908" s="432"/>
      <c r="F2908" s="432"/>
      <c r="G2908" s="432"/>
      <c r="H2908" s="432"/>
    </row>
    <row r="2909" spans="1:8" s="429" customFormat="1" ht="11.25">
      <c r="A2909" s="431"/>
      <c r="B2909" s="431"/>
      <c r="C2909" s="431"/>
      <c r="D2909" s="432"/>
      <c r="E2909" s="432"/>
      <c r="F2909" s="432"/>
      <c r="G2909" s="432"/>
      <c r="H2909" s="432"/>
    </row>
    <row r="2910" spans="1:8" s="429" customFormat="1" ht="11.25">
      <c r="A2910" s="431"/>
      <c r="B2910" s="431"/>
      <c r="C2910" s="431"/>
      <c r="D2910" s="432"/>
      <c r="E2910" s="432"/>
      <c r="F2910" s="432"/>
      <c r="G2910" s="432"/>
      <c r="H2910" s="432"/>
    </row>
    <row r="2911" spans="1:8" s="422" customFormat="1" ht="9" customHeight="1"/>
    <row r="2912" spans="1:8" s="422" customFormat="1" ht="11.25">
      <c r="A2912" s="421" t="s">
        <v>591</v>
      </c>
      <c r="B2912" s="421"/>
      <c r="C2912" s="421"/>
    </row>
    <row r="2913" spans="1:8" s="429" customFormat="1" ht="11.25">
      <c r="A2913" s="428"/>
      <c r="B2913" s="428"/>
      <c r="C2913" s="428"/>
    </row>
    <row r="2914" spans="1:8" s="429" customFormat="1" ht="11.25">
      <c r="A2914" s="428"/>
      <c r="B2914" s="428"/>
      <c r="C2914" s="428"/>
    </row>
    <row r="2915" spans="1:8" s="429" customFormat="1" ht="11.25">
      <c r="A2915" s="428"/>
      <c r="B2915" s="428"/>
      <c r="C2915" s="428"/>
    </row>
    <row r="2916" spans="1:8" s="429" customFormat="1" ht="11.25">
      <c r="A2916" s="428"/>
      <c r="B2916" s="428"/>
      <c r="C2916" s="428"/>
    </row>
    <row r="2917" spans="1:8" s="429" customFormat="1" ht="11.25">
      <c r="A2917" s="428"/>
      <c r="B2917" s="428"/>
      <c r="C2917" s="428"/>
    </row>
    <row r="2918" spans="1:8" s="422" customFormat="1" ht="11.25"/>
    <row r="2919" spans="1:8" s="422" customFormat="1" ht="11.25">
      <c r="A2919" s="433" t="s">
        <v>592</v>
      </c>
      <c r="B2919" s="434"/>
      <c r="C2919" s="434"/>
      <c r="D2919" s="434"/>
      <c r="E2919" s="434"/>
      <c r="F2919" s="434"/>
      <c r="G2919" s="434"/>
      <c r="H2919" s="434"/>
    </row>
    <row r="2920" spans="1:8" s="429" customFormat="1" ht="11.25">
      <c r="A2920" s="435"/>
      <c r="B2920" s="436"/>
      <c r="C2920" s="436"/>
      <c r="D2920" s="436"/>
      <c r="E2920" s="436"/>
      <c r="F2920" s="436"/>
      <c r="G2920" s="436"/>
      <c r="H2920" s="436"/>
    </row>
    <row r="2921" spans="1:8" s="429" customFormat="1" ht="11.25">
      <c r="A2921" s="435"/>
      <c r="B2921" s="436"/>
      <c r="C2921" s="436"/>
      <c r="D2921" s="436"/>
      <c r="E2921" s="436"/>
      <c r="F2921" s="436"/>
      <c r="G2921" s="436"/>
      <c r="H2921" s="436"/>
    </row>
    <row r="2922" spans="1:8" s="422" customFormat="1" ht="11.25">
      <c r="A2922" s="437"/>
      <c r="B2922" s="437"/>
      <c r="C2922" s="437"/>
      <c r="D2922" s="437"/>
      <c r="E2922" s="437"/>
      <c r="F2922" s="437"/>
      <c r="G2922" s="437"/>
      <c r="H2922" s="437"/>
    </row>
    <row r="2923" spans="1:8" s="422" customFormat="1" ht="11.25">
      <c r="A2923" s="421" t="s">
        <v>593</v>
      </c>
      <c r="B2923" s="421"/>
      <c r="C2923" s="421"/>
    </row>
    <row r="2924" spans="1:8" s="422" customFormat="1" ht="11.25">
      <c r="A2924" s="438"/>
      <c r="B2924" s="439" t="s">
        <v>132</v>
      </c>
      <c r="C2924" s="439" t="s">
        <v>473</v>
      </c>
      <c r="D2924" s="439" t="s">
        <v>474</v>
      </c>
      <c r="E2924" s="439" t="s">
        <v>375</v>
      </c>
      <c r="F2924" s="439" t="s">
        <v>9</v>
      </c>
      <c r="G2924" s="439" t="s">
        <v>131</v>
      </c>
      <c r="H2924" s="439" t="s">
        <v>424</v>
      </c>
    </row>
    <row r="2925" spans="1:8" s="422" customFormat="1" ht="11.25">
      <c r="A2925" s="439" t="s">
        <v>394</v>
      </c>
      <c r="B2925" s="438">
        <v>0</v>
      </c>
      <c r="C2925" s="438">
        <v>0</v>
      </c>
      <c r="D2925" s="438">
        <v>0</v>
      </c>
      <c r="E2925" s="438">
        <v>0</v>
      </c>
      <c r="F2925" s="438">
        <v>0</v>
      </c>
      <c r="G2925" s="438">
        <v>0</v>
      </c>
      <c r="H2925" s="438">
        <v>0</v>
      </c>
    </row>
    <row r="2926" spans="1:8" s="422" customFormat="1" ht="11.25">
      <c r="A2926" s="439" t="s">
        <v>395</v>
      </c>
      <c r="B2926" s="438">
        <v>-65000000</v>
      </c>
      <c r="C2926" s="438">
        <v>-67000000</v>
      </c>
      <c r="D2926" s="438">
        <v>-43000000</v>
      </c>
      <c r="E2926" s="438">
        <v>-22500000</v>
      </c>
      <c r="F2926" s="438">
        <v>-22500000</v>
      </c>
      <c r="G2926" s="438">
        <v>-22500000</v>
      </c>
      <c r="H2926" s="438">
        <v>-22500000</v>
      </c>
    </row>
    <row r="2927" spans="1:8" s="422" customFormat="1" ht="11.25">
      <c r="A2927" s="439" t="s">
        <v>396</v>
      </c>
      <c r="B2927" s="438">
        <v>-65000000</v>
      </c>
      <c r="C2927" s="438">
        <v>-67000000</v>
      </c>
      <c r="D2927" s="438">
        <v>-43000000</v>
      </c>
      <c r="E2927" s="438">
        <v>-22500000</v>
      </c>
      <c r="F2927" s="438">
        <v>-22500000</v>
      </c>
      <c r="G2927" s="438">
        <v>-22500000</v>
      </c>
      <c r="H2927" s="438">
        <v>-22500000</v>
      </c>
    </row>
    <row r="2928" spans="1:8" s="442" customFormat="1" ht="11.25">
      <c r="A2928" s="440" t="s">
        <v>397</v>
      </c>
      <c r="B2928" s="441" t="s">
        <v>1413</v>
      </c>
      <c r="C2928" s="441" t="s">
        <v>1413</v>
      </c>
      <c r="D2928" s="441" t="s">
        <v>1413</v>
      </c>
      <c r="E2928" s="441" t="s">
        <v>1413</v>
      </c>
      <c r="F2928" s="441" t="s">
        <v>1413</v>
      </c>
      <c r="G2928" s="441" t="s">
        <v>1413</v>
      </c>
      <c r="H2928" s="441" t="s">
        <v>1413</v>
      </c>
    </row>
    <row r="2929" spans="1:8" s="422" customFormat="1" ht="11.25"/>
    <row r="2930" spans="1:8" s="422" customFormat="1" ht="11.25">
      <c r="A2930" s="443" t="s">
        <v>594</v>
      </c>
      <c r="B2930" s="443"/>
      <c r="C2930" s="444"/>
    </row>
    <row r="2931" spans="1:8" s="422" customFormat="1" ht="11.25">
      <c r="A2931" s="445" t="s">
        <v>595</v>
      </c>
      <c r="B2931" s="446"/>
      <c r="C2931" s="447"/>
      <c r="D2931" s="439" t="s">
        <v>474</v>
      </c>
      <c r="E2931" s="439" t="s">
        <v>375</v>
      </c>
      <c r="F2931" s="439" t="s">
        <v>9</v>
      </c>
      <c r="G2931" s="439" t="s">
        <v>131</v>
      </c>
      <c r="H2931" s="439" t="s">
        <v>424</v>
      </c>
    </row>
    <row r="2932" spans="1:8" s="422" customFormat="1" ht="11.25">
      <c r="A2932" s="448" t="s">
        <v>910</v>
      </c>
      <c r="B2932" s="449"/>
      <c r="C2932" s="449"/>
      <c r="D2932" s="438">
        <v>43000000</v>
      </c>
      <c r="E2932" s="438">
        <v>22500000</v>
      </c>
      <c r="F2932" s="438">
        <v>22500000</v>
      </c>
      <c r="G2932" s="438">
        <v>22500000</v>
      </c>
      <c r="H2932" s="438">
        <v>22500000</v>
      </c>
    </row>
    <row r="2933" spans="1:8" s="422" customFormat="1" ht="11.25">
      <c r="A2933" s="448"/>
      <c r="B2933" s="449"/>
      <c r="C2933" s="449"/>
      <c r="D2933" s="438"/>
      <c r="E2933" s="438"/>
      <c r="F2933" s="438"/>
      <c r="G2933" s="438"/>
      <c r="H2933" s="438"/>
    </row>
    <row r="2934" spans="1:8" s="422" customFormat="1" ht="11.25">
      <c r="A2934" s="448"/>
      <c r="B2934" s="449"/>
      <c r="C2934" s="449"/>
      <c r="D2934" s="438"/>
      <c r="E2934" s="438"/>
      <c r="F2934" s="438"/>
      <c r="G2934" s="438"/>
      <c r="H2934" s="438"/>
    </row>
    <row r="2935" spans="1:8" s="422" customFormat="1" ht="11.25"/>
    <row r="2936" spans="1:8" s="422" customFormat="1" ht="11.25">
      <c r="A2936" s="421" t="s">
        <v>423</v>
      </c>
      <c r="B2936" s="421"/>
      <c r="C2936" s="421"/>
    </row>
    <row r="2937" spans="1:8" s="422" customFormat="1" ht="11.25">
      <c r="A2937" s="450"/>
      <c r="B2937" s="439" t="s">
        <v>132</v>
      </c>
      <c r="C2937" s="439" t="s">
        <v>473</v>
      </c>
      <c r="D2937" s="439" t="s">
        <v>474</v>
      </c>
      <c r="E2937" s="439" t="s">
        <v>375</v>
      </c>
      <c r="F2937" s="439" t="s">
        <v>9</v>
      </c>
      <c r="G2937" s="439" t="s">
        <v>131</v>
      </c>
      <c r="H2937" s="439" t="s">
        <v>424</v>
      </c>
    </row>
    <row r="2938" spans="1:8" s="422" customFormat="1" ht="11.25">
      <c r="A2938" s="451" t="s">
        <v>398</v>
      </c>
      <c r="B2938" s="438">
        <v>0</v>
      </c>
      <c r="C2938" s="438">
        <v>0</v>
      </c>
      <c r="D2938" s="438">
        <v>0</v>
      </c>
      <c r="E2938" s="438">
        <v>0</v>
      </c>
      <c r="F2938" s="438">
        <v>0</v>
      </c>
      <c r="G2938" s="438">
        <v>0</v>
      </c>
      <c r="H2938" s="438">
        <v>0</v>
      </c>
    </row>
    <row r="2939" spans="1:8" s="422" customFormat="1" ht="11.25">
      <c r="A2939" s="451" t="s">
        <v>399</v>
      </c>
      <c r="B2939" s="438">
        <v>0</v>
      </c>
      <c r="C2939" s="438">
        <v>0</v>
      </c>
      <c r="D2939" s="438">
        <v>0</v>
      </c>
      <c r="E2939" s="438">
        <v>0</v>
      </c>
      <c r="F2939" s="438">
        <v>0</v>
      </c>
      <c r="G2939" s="438">
        <v>0</v>
      </c>
      <c r="H2939" s="438">
        <v>0</v>
      </c>
    </row>
    <row r="2940" spans="1:8" s="422" customFormat="1" ht="11.25">
      <c r="A2940" s="451" t="s">
        <v>400</v>
      </c>
      <c r="B2940" s="438">
        <v>0</v>
      </c>
      <c r="C2940" s="438">
        <v>0</v>
      </c>
      <c r="D2940" s="438">
        <v>0</v>
      </c>
      <c r="E2940" s="438">
        <v>0</v>
      </c>
      <c r="F2940" s="438">
        <v>0</v>
      </c>
      <c r="G2940" s="438">
        <v>0</v>
      </c>
      <c r="H2940" s="438">
        <v>0</v>
      </c>
    </row>
    <row r="2941" spans="1:8" s="422" customFormat="1" ht="11.25">
      <c r="A2941" s="451" t="s">
        <v>401</v>
      </c>
      <c r="B2941" s="438">
        <v>0</v>
      </c>
      <c r="C2941" s="438">
        <v>0</v>
      </c>
      <c r="D2941" s="438">
        <v>0</v>
      </c>
      <c r="E2941" s="438">
        <v>0</v>
      </c>
      <c r="F2941" s="438">
        <v>0</v>
      </c>
      <c r="G2941" s="438">
        <v>0</v>
      </c>
      <c r="H2941" s="438">
        <v>0</v>
      </c>
    </row>
    <row r="2942" spans="1:8" s="422" customFormat="1" ht="11.25"/>
    <row r="2943" spans="1:8" s="422" customFormat="1" ht="11.25">
      <c r="A2943" s="421" t="s">
        <v>597</v>
      </c>
      <c r="B2943" s="421"/>
      <c r="C2943" s="421"/>
    </row>
    <row r="2944" spans="1:8" s="429" customFormat="1" ht="11.25">
      <c r="A2944" s="428"/>
      <c r="B2944" s="428"/>
      <c r="C2944" s="428"/>
    </row>
    <row r="2945" spans="1:8" s="429" customFormat="1" ht="11.25">
      <c r="A2945" s="428"/>
      <c r="B2945" s="428"/>
      <c r="C2945" s="428"/>
    </row>
    <row r="2946" spans="1:8" s="429" customFormat="1" ht="11.25">
      <c r="A2946" s="428"/>
      <c r="B2946" s="428"/>
      <c r="C2946" s="428"/>
    </row>
    <row r="2947" spans="1:8" s="422" customFormat="1" ht="11.25"/>
    <row r="2948" spans="1:8" s="422" customFormat="1" ht="11.25">
      <c r="A2948" s="421" t="s">
        <v>598</v>
      </c>
      <c r="B2948" s="421"/>
      <c r="C2948" s="421"/>
    </row>
    <row r="2949" spans="1:8" s="422" customFormat="1" ht="11.25">
      <c r="A2949" s="452" t="s">
        <v>599</v>
      </c>
      <c r="B2949" s="447"/>
      <c r="C2949" s="447"/>
      <c r="D2949" s="447"/>
      <c r="E2949" s="439" t="s">
        <v>375</v>
      </c>
      <c r="F2949" s="439" t="s">
        <v>9</v>
      </c>
      <c r="G2949" s="439" t="s">
        <v>131</v>
      </c>
      <c r="H2949" s="439" t="s">
        <v>424</v>
      </c>
    </row>
    <row r="2950" spans="1:8" s="422" customFormat="1" ht="11.25">
      <c r="A2950" s="448"/>
      <c r="B2950" s="449"/>
      <c r="C2950" s="449"/>
      <c r="D2950" s="449"/>
      <c r="E2950" s="438">
        <v>0</v>
      </c>
      <c r="F2950" s="438">
        <v>0</v>
      </c>
      <c r="G2950" s="438">
        <v>0</v>
      </c>
      <c r="H2950" s="438">
        <v>0</v>
      </c>
    </row>
    <row r="2951" spans="1:8" s="422" customFormat="1" ht="11.25">
      <c r="A2951" s="448"/>
      <c r="B2951" s="449"/>
      <c r="C2951" s="449"/>
      <c r="D2951" s="449"/>
      <c r="E2951" s="438">
        <v>0</v>
      </c>
      <c r="F2951" s="438">
        <v>0</v>
      </c>
      <c r="G2951" s="438">
        <v>0</v>
      </c>
      <c r="H2951" s="438">
        <v>0</v>
      </c>
    </row>
    <row r="2952" spans="1:8" s="422" customFormat="1" ht="11.25">
      <c r="A2952" s="448"/>
      <c r="B2952" s="449"/>
      <c r="C2952" s="449"/>
      <c r="D2952" s="449"/>
      <c r="E2952" s="438">
        <v>0</v>
      </c>
      <c r="F2952" s="438">
        <v>0</v>
      </c>
      <c r="G2952" s="438">
        <v>0</v>
      </c>
      <c r="H2952" s="438">
        <v>0</v>
      </c>
    </row>
    <row r="2953" spans="1:8" s="421" customFormat="1" ht="11.25">
      <c r="A2953" s="421" t="s">
        <v>391</v>
      </c>
      <c r="D2953" s="421" t="s">
        <v>472</v>
      </c>
    </row>
    <row r="2954" spans="1:8" s="422" customFormat="1" ht="11.25"/>
    <row r="2955" spans="1:8" s="421" customFormat="1" ht="11.25" customHeight="1">
      <c r="A2955" s="423" t="s">
        <v>392</v>
      </c>
      <c r="D2955" s="421" t="s">
        <v>150</v>
      </c>
    </row>
    <row r="2956" spans="1:8" s="421" customFormat="1" ht="13.5" customHeight="1">
      <c r="A2956" s="423"/>
    </row>
    <row r="2957" spans="1:8" s="421" customFormat="1" ht="11.25">
      <c r="A2957" s="424" t="s">
        <v>393</v>
      </c>
      <c r="D2957" s="583" t="s">
        <v>911</v>
      </c>
      <c r="E2957" s="583"/>
      <c r="F2957" s="583"/>
      <c r="G2957" s="583"/>
      <c r="H2957" s="583"/>
    </row>
    <row r="2958" spans="1:8" s="421" customFormat="1" ht="13.5" customHeight="1"/>
    <row r="2959" spans="1:8" s="422" customFormat="1" ht="11.25">
      <c r="A2959" s="421" t="s">
        <v>170</v>
      </c>
      <c r="B2959" s="421"/>
      <c r="C2959" s="421"/>
      <c r="D2959" s="422" t="s">
        <v>243</v>
      </c>
      <c r="E2959" s="422" t="s">
        <v>615</v>
      </c>
    </row>
    <row r="2960" spans="1:8" s="422" customFormat="1" ht="7.5" customHeight="1"/>
    <row r="2961" spans="1:8" s="427" customFormat="1" ht="11.25">
      <c r="A2961" s="425" t="s">
        <v>587</v>
      </c>
      <c r="B2961" s="425"/>
      <c r="C2961" s="425"/>
      <c r="D2961" s="426" t="s">
        <v>912</v>
      </c>
      <c r="E2961" s="584" t="s">
        <v>655</v>
      </c>
      <c r="F2961" s="584"/>
      <c r="G2961" s="584"/>
      <c r="H2961" s="584"/>
    </row>
    <row r="2962" spans="1:8" s="427" customFormat="1" ht="11.25">
      <c r="A2962" s="425"/>
      <c r="B2962" s="425"/>
      <c r="C2962" s="425"/>
      <c r="D2962" s="426"/>
      <c r="E2962" s="584"/>
      <c r="F2962" s="584"/>
      <c r="G2962" s="584"/>
      <c r="H2962" s="584"/>
    </row>
    <row r="2963" spans="1:8" s="427" customFormat="1" ht="11.25">
      <c r="A2963" s="425"/>
      <c r="B2963" s="425"/>
      <c r="C2963" s="425"/>
      <c r="D2963" s="426"/>
      <c r="E2963" s="584"/>
      <c r="F2963" s="584"/>
      <c r="G2963" s="584"/>
      <c r="H2963" s="584"/>
    </row>
    <row r="2964" spans="1:8" s="427" customFormat="1" ht="11.25">
      <c r="A2964" s="425"/>
      <c r="B2964" s="425"/>
      <c r="C2964" s="425"/>
      <c r="D2964" s="426"/>
      <c r="E2964" s="584"/>
      <c r="F2964" s="584"/>
      <c r="G2964" s="584"/>
      <c r="H2964" s="584"/>
    </row>
    <row r="2965" spans="1:8" s="427" customFormat="1" ht="11.25"/>
    <row r="2966" spans="1:8" s="422" customFormat="1" ht="11.25"/>
    <row r="2967" spans="1:8" s="422" customFormat="1" ht="11.25">
      <c r="A2967" s="421" t="s">
        <v>589</v>
      </c>
      <c r="B2967" s="421"/>
      <c r="C2967" s="421"/>
    </row>
    <row r="2968" spans="1:8" s="429" customFormat="1" ht="11.25">
      <c r="A2968" s="428"/>
      <c r="B2968" s="428"/>
      <c r="C2968" s="428"/>
    </row>
    <row r="2969" spans="1:8" s="429" customFormat="1" ht="11.25" hidden="1">
      <c r="A2969" s="428"/>
      <c r="B2969" s="428"/>
      <c r="C2969" s="428"/>
    </row>
    <row r="2970" spans="1:8" s="429" customFormat="1" ht="11.25" hidden="1">
      <c r="A2970" s="428"/>
      <c r="B2970" s="428"/>
      <c r="C2970" s="428"/>
    </row>
    <row r="2971" spans="1:8" s="429" customFormat="1" ht="11.25">
      <c r="A2971" s="428"/>
      <c r="B2971" s="428"/>
      <c r="C2971" s="428"/>
    </row>
    <row r="2972" spans="1:8" s="422" customFormat="1" ht="9" customHeight="1">
      <c r="A2972" s="430"/>
      <c r="B2972" s="430"/>
      <c r="C2972" s="430"/>
      <c r="D2972" s="430"/>
      <c r="E2972" s="430"/>
      <c r="F2972" s="430"/>
      <c r="G2972" s="430"/>
      <c r="H2972" s="430"/>
    </row>
    <row r="2973" spans="1:8" s="422" customFormat="1" ht="22.5" customHeight="1">
      <c r="A2973" s="585" t="s">
        <v>590</v>
      </c>
      <c r="B2973" s="585"/>
      <c r="C2973" s="585"/>
      <c r="D2973" s="586"/>
      <c r="E2973" s="586"/>
      <c r="F2973" s="586"/>
      <c r="G2973" s="586"/>
      <c r="H2973" s="586"/>
    </row>
    <row r="2974" spans="1:8" s="429" customFormat="1" ht="11.25">
      <c r="A2974" s="431"/>
      <c r="B2974" s="431"/>
      <c r="C2974" s="431"/>
      <c r="D2974" s="432"/>
      <c r="E2974" s="432"/>
      <c r="F2974" s="432"/>
      <c r="G2974" s="432"/>
      <c r="H2974" s="432"/>
    </row>
    <row r="2975" spans="1:8" s="429" customFormat="1" ht="11.25" hidden="1">
      <c r="A2975" s="431"/>
      <c r="B2975" s="431"/>
      <c r="C2975" s="431"/>
      <c r="D2975" s="432"/>
      <c r="E2975" s="432"/>
      <c r="F2975" s="432"/>
      <c r="G2975" s="432"/>
      <c r="H2975" s="432"/>
    </row>
    <row r="2976" spans="1:8" s="429" customFormat="1" ht="11.25" hidden="1">
      <c r="A2976" s="431"/>
      <c r="B2976" s="431"/>
      <c r="C2976" s="431"/>
      <c r="D2976" s="432"/>
      <c r="E2976" s="432"/>
      <c r="F2976" s="432"/>
      <c r="G2976" s="432"/>
      <c r="H2976" s="432"/>
    </row>
    <row r="2977" spans="1:8" s="429" customFormat="1" ht="11.25">
      <c r="A2977" s="431"/>
      <c r="B2977" s="431"/>
      <c r="C2977" s="431"/>
      <c r="D2977" s="432"/>
      <c r="E2977" s="432"/>
      <c r="F2977" s="432"/>
      <c r="G2977" s="432"/>
      <c r="H2977" s="432"/>
    </row>
    <row r="2978" spans="1:8" s="422" customFormat="1" ht="9" customHeight="1"/>
    <row r="2979" spans="1:8" s="422" customFormat="1" ht="11.25">
      <c r="A2979" s="421" t="s">
        <v>591</v>
      </c>
      <c r="B2979" s="421"/>
      <c r="C2979" s="421"/>
    </row>
    <row r="2980" spans="1:8" s="429" customFormat="1" ht="11.25">
      <c r="A2980" s="428"/>
      <c r="B2980" s="428"/>
      <c r="C2980" s="428"/>
    </row>
    <row r="2981" spans="1:8" s="429" customFormat="1" ht="11.25" hidden="1">
      <c r="A2981" s="428"/>
      <c r="B2981" s="428"/>
      <c r="C2981" s="428"/>
    </row>
    <row r="2982" spans="1:8" s="429" customFormat="1" ht="11.25" hidden="1">
      <c r="A2982" s="428"/>
      <c r="B2982" s="428"/>
      <c r="C2982" s="428"/>
    </row>
    <row r="2983" spans="1:8" s="429" customFormat="1" ht="11.25" hidden="1">
      <c r="A2983" s="428"/>
      <c r="B2983" s="428"/>
      <c r="C2983" s="428"/>
    </row>
    <row r="2984" spans="1:8" s="429" customFormat="1" ht="11.25" hidden="1">
      <c r="A2984" s="428"/>
      <c r="B2984" s="428"/>
      <c r="C2984" s="428"/>
    </row>
    <row r="2985" spans="1:8" s="429" customFormat="1" ht="11.25">
      <c r="A2985" s="428"/>
      <c r="B2985" s="428"/>
      <c r="C2985" s="428"/>
    </row>
    <row r="2986" spans="1:8" s="422" customFormat="1" ht="11.25" customHeight="1"/>
    <row r="2987" spans="1:8" s="422" customFormat="1" ht="9" customHeight="1"/>
    <row r="2988" spans="1:8" s="422" customFormat="1" ht="11.25">
      <c r="A2988" s="433" t="s">
        <v>592</v>
      </c>
      <c r="B2988" s="434"/>
      <c r="C2988" s="434"/>
      <c r="D2988" s="434"/>
      <c r="E2988" s="434"/>
      <c r="F2988" s="434"/>
      <c r="G2988" s="434"/>
      <c r="H2988" s="434"/>
    </row>
    <row r="2989" spans="1:8" s="429" customFormat="1" ht="11.25">
      <c r="A2989" s="435"/>
      <c r="B2989" s="436"/>
      <c r="C2989" s="436"/>
      <c r="D2989" s="436"/>
      <c r="E2989" s="436"/>
      <c r="F2989" s="436"/>
      <c r="G2989" s="436"/>
      <c r="H2989" s="436"/>
    </row>
    <row r="2990" spans="1:8" s="429" customFormat="1" ht="19.899999999999999" customHeight="1">
      <c r="A2990" s="435"/>
      <c r="B2990" s="436"/>
      <c r="C2990" s="436"/>
      <c r="D2990" s="436"/>
      <c r="E2990" s="436"/>
      <c r="F2990" s="436"/>
      <c r="G2990" s="436"/>
      <c r="H2990" s="436"/>
    </row>
    <row r="2991" spans="1:8" s="422" customFormat="1" ht="9" customHeight="1">
      <c r="A2991" s="437"/>
      <c r="B2991" s="437"/>
      <c r="C2991" s="437"/>
      <c r="D2991" s="437"/>
      <c r="E2991" s="437"/>
      <c r="F2991" s="437"/>
      <c r="G2991" s="437"/>
      <c r="H2991" s="437"/>
    </row>
    <row r="2992" spans="1:8" s="422" customFormat="1" ht="11.25">
      <c r="A2992" s="421" t="s">
        <v>593</v>
      </c>
      <c r="B2992" s="421"/>
      <c r="C2992" s="421"/>
    </row>
    <row r="2993" spans="1:8" s="422" customFormat="1" ht="11.25">
      <c r="A2993" s="438"/>
      <c r="B2993" s="439" t="s">
        <v>132</v>
      </c>
      <c r="C2993" s="439" t="s">
        <v>473</v>
      </c>
      <c r="D2993" s="439" t="s">
        <v>474</v>
      </c>
      <c r="E2993" s="439" t="s">
        <v>375</v>
      </c>
      <c r="F2993" s="439" t="s">
        <v>9</v>
      </c>
      <c r="G2993" s="439" t="s">
        <v>131</v>
      </c>
      <c r="H2993" s="439" t="s">
        <v>424</v>
      </c>
    </row>
    <row r="2994" spans="1:8" s="422" customFormat="1" ht="11.25">
      <c r="A2994" s="439" t="s">
        <v>394</v>
      </c>
      <c r="B2994" s="438">
        <v>1499297.8399999999</v>
      </c>
      <c r="C2994" s="438">
        <v>1477665.21</v>
      </c>
      <c r="D2994" s="438">
        <v>1629448</v>
      </c>
      <c r="E2994" s="438">
        <v>1597591</v>
      </c>
      <c r="F2994" s="438">
        <v>1585135</v>
      </c>
      <c r="G2994" s="438">
        <v>1611523</v>
      </c>
      <c r="H2994" s="438">
        <v>1604438</v>
      </c>
    </row>
    <row r="2995" spans="1:8" s="422" customFormat="1" ht="11.25">
      <c r="A2995" s="439" t="s">
        <v>395</v>
      </c>
      <c r="B2995" s="438">
        <v>-25951.95</v>
      </c>
      <c r="C2995" s="438">
        <v>-31266.25</v>
      </c>
      <c r="D2995" s="438">
        <v>-21000</v>
      </c>
      <c r="E2995" s="438">
        <v>-21000</v>
      </c>
      <c r="F2995" s="438">
        <v>-21000</v>
      </c>
      <c r="G2995" s="438">
        <v>-21000</v>
      </c>
      <c r="H2995" s="438">
        <v>-21000</v>
      </c>
    </row>
    <row r="2996" spans="1:8" s="422" customFormat="1" ht="11.25">
      <c r="A2996" s="439" t="s">
        <v>396</v>
      </c>
      <c r="B2996" s="438">
        <v>1473345.89</v>
      </c>
      <c r="C2996" s="438">
        <v>1446398.96</v>
      </c>
      <c r="D2996" s="438">
        <v>1608448</v>
      </c>
      <c r="E2996" s="438">
        <v>1576591</v>
      </c>
      <c r="F2996" s="438">
        <v>1564135</v>
      </c>
      <c r="G2996" s="438">
        <v>1590523</v>
      </c>
      <c r="H2996" s="438">
        <v>1583438</v>
      </c>
    </row>
    <row r="2997" spans="1:8" s="442" customFormat="1" ht="11.25">
      <c r="A2997" s="440" t="s">
        <v>397</v>
      </c>
      <c r="B2997" s="441">
        <v>1.7309402646774975E-2</v>
      </c>
      <c r="C2997" s="441">
        <v>2.1159224558044511E-2</v>
      </c>
      <c r="D2997" s="441">
        <v>1.2887800040259032E-2</v>
      </c>
      <c r="E2997" s="441">
        <v>1.3144791126139293E-2</v>
      </c>
      <c r="F2997" s="441">
        <v>1.3248082970851062E-2</v>
      </c>
      <c r="G2997" s="441">
        <v>1.3031151277394118E-2</v>
      </c>
      <c r="H2997" s="441">
        <v>1.3088695231601347E-2</v>
      </c>
    </row>
    <row r="2998" spans="1:8" s="422" customFormat="1" ht="9" customHeight="1"/>
    <row r="2999" spans="1:8" s="422" customFormat="1" ht="11.25">
      <c r="A2999" s="443" t="s">
        <v>594</v>
      </c>
      <c r="B2999" s="443"/>
      <c r="C2999" s="444"/>
    </row>
    <row r="3000" spans="1:8" s="422" customFormat="1" ht="11.25">
      <c r="A3000" s="445" t="s">
        <v>595</v>
      </c>
      <c r="B3000" s="446"/>
      <c r="C3000" s="447"/>
      <c r="D3000" s="439" t="s">
        <v>474</v>
      </c>
      <c r="E3000" s="439" t="s">
        <v>375</v>
      </c>
      <c r="F3000" s="439" t="s">
        <v>9</v>
      </c>
      <c r="G3000" s="439" t="s">
        <v>131</v>
      </c>
      <c r="H3000" s="439" t="s">
        <v>424</v>
      </c>
    </row>
    <row r="3001" spans="1:8" s="422" customFormat="1" ht="11.25">
      <c r="A3001" s="448" t="s">
        <v>913</v>
      </c>
      <c r="B3001" s="449"/>
      <c r="C3001" s="449"/>
      <c r="D3001" s="438"/>
      <c r="E3001" s="438"/>
      <c r="F3001" s="438"/>
      <c r="G3001" s="438"/>
      <c r="H3001" s="438"/>
    </row>
    <row r="3002" spans="1:8" s="422" customFormat="1" ht="11.25" hidden="1">
      <c r="A3002" s="448"/>
      <c r="B3002" s="449"/>
      <c r="C3002" s="449"/>
      <c r="D3002" s="438"/>
      <c r="E3002" s="438"/>
      <c r="F3002" s="438"/>
      <c r="G3002" s="438"/>
      <c r="H3002" s="438"/>
    </row>
    <row r="3003" spans="1:8" s="422" customFormat="1" ht="11.25" hidden="1">
      <c r="A3003" s="448"/>
      <c r="B3003" s="449"/>
      <c r="C3003" s="449"/>
      <c r="D3003" s="438"/>
      <c r="E3003" s="438"/>
      <c r="F3003" s="438"/>
      <c r="G3003" s="438"/>
      <c r="H3003" s="438"/>
    </row>
    <row r="3004" spans="1:8" s="422" customFormat="1" ht="9" customHeight="1"/>
    <row r="3005" spans="1:8" s="422" customFormat="1" ht="11.25">
      <c r="A3005" s="421" t="s">
        <v>423</v>
      </c>
      <c r="B3005" s="421"/>
      <c r="C3005" s="421"/>
    </row>
    <row r="3006" spans="1:8" s="422" customFormat="1" ht="11.25">
      <c r="A3006" s="450"/>
      <c r="B3006" s="439" t="s">
        <v>132</v>
      </c>
      <c r="C3006" s="439" t="s">
        <v>473</v>
      </c>
      <c r="D3006" s="439" t="s">
        <v>474</v>
      </c>
      <c r="E3006" s="439" t="s">
        <v>375</v>
      </c>
      <c r="F3006" s="439" t="s">
        <v>9</v>
      </c>
      <c r="G3006" s="439" t="s">
        <v>131</v>
      </c>
      <c r="H3006" s="439" t="s">
        <v>424</v>
      </c>
    </row>
    <row r="3007" spans="1:8" s="422" customFormat="1" ht="11.25">
      <c r="A3007" s="451" t="s">
        <v>398</v>
      </c>
      <c r="B3007" s="438">
        <v>0</v>
      </c>
      <c r="C3007" s="438">
        <v>0</v>
      </c>
      <c r="D3007" s="438">
        <v>0</v>
      </c>
      <c r="E3007" s="438">
        <v>0</v>
      </c>
      <c r="F3007" s="438">
        <v>0</v>
      </c>
      <c r="G3007" s="438">
        <v>0</v>
      </c>
      <c r="H3007" s="438">
        <v>0</v>
      </c>
    </row>
    <row r="3008" spans="1:8" s="422" customFormat="1" ht="11.25">
      <c r="A3008" s="451" t="s">
        <v>399</v>
      </c>
      <c r="B3008" s="438">
        <v>0</v>
      </c>
      <c r="C3008" s="438">
        <v>0</v>
      </c>
      <c r="D3008" s="438">
        <v>0</v>
      </c>
      <c r="E3008" s="438">
        <v>0</v>
      </c>
      <c r="F3008" s="438">
        <v>0</v>
      </c>
      <c r="G3008" s="438">
        <v>0</v>
      </c>
      <c r="H3008" s="438">
        <v>0</v>
      </c>
    </row>
    <row r="3009" spans="1:8" s="422" customFormat="1" ht="11.25">
      <c r="A3009" s="451" t="s">
        <v>400</v>
      </c>
      <c r="B3009" s="438">
        <v>0</v>
      </c>
      <c r="C3009" s="438">
        <v>0</v>
      </c>
      <c r="D3009" s="438">
        <v>0</v>
      </c>
      <c r="E3009" s="438">
        <v>0</v>
      </c>
      <c r="F3009" s="438">
        <v>0</v>
      </c>
      <c r="G3009" s="438">
        <v>0</v>
      </c>
      <c r="H3009" s="438">
        <v>0</v>
      </c>
    </row>
    <row r="3010" spans="1:8" s="422" customFormat="1" ht="11.25">
      <c r="A3010" s="451" t="s">
        <v>401</v>
      </c>
      <c r="B3010" s="438">
        <v>0</v>
      </c>
      <c r="C3010" s="438">
        <v>0</v>
      </c>
      <c r="D3010" s="438">
        <v>0</v>
      </c>
      <c r="E3010" s="438">
        <v>0</v>
      </c>
      <c r="F3010" s="438">
        <v>0</v>
      </c>
      <c r="G3010" s="438">
        <v>0</v>
      </c>
      <c r="H3010" s="438">
        <v>0</v>
      </c>
    </row>
    <row r="3011" spans="1:8" s="422" customFormat="1" ht="9" customHeight="1"/>
    <row r="3012" spans="1:8" s="422" customFormat="1" ht="11.25">
      <c r="A3012" s="421" t="s">
        <v>597</v>
      </c>
      <c r="B3012" s="421"/>
      <c r="C3012" s="421"/>
    </row>
    <row r="3013" spans="1:8" s="429" customFormat="1" ht="11.25">
      <c r="A3013" s="428"/>
      <c r="B3013" s="428"/>
      <c r="C3013" s="428"/>
    </row>
    <row r="3014" spans="1:8" s="429" customFormat="1" ht="11.25" hidden="1">
      <c r="A3014" s="428"/>
      <c r="B3014" s="428"/>
      <c r="C3014" s="428"/>
    </row>
    <row r="3015" spans="1:8" s="429" customFormat="1" ht="11.25">
      <c r="A3015" s="428"/>
      <c r="B3015" s="428"/>
      <c r="C3015" s="428"/>
    </row>
    <row r="3016" spans="1:8" s="422" customFormat="1" ht="9" customHeight="1"/>
    <row r="3017" spans="1:8" s="422" customFormat="1" ht="11.25">
      <c r="A3017" s="421" t="s">
        <v>598</v>
      </c>
      <c r="B3017" s="421"/>
      <c r="C3017" s="421"/>
    </row>
    <row r="3018" spans="1:8" s="422" customFormat="1" ht="11.25">
      <c r="A3018" s="452" t="s">
        <v>599</v>
      </c>
      <c r="B3018" s="447"/>
      <c r="C3018" s="447"/>
      <c r="D3018" s="447"/>
      <c r="E3018" s="439" t="s">
        <v>375</v>
      </c>
      <c r="F3018" s="439" t="s">
        <v>9</v>
      </c>
      <c r="G3018" s="439" t="s">
        <v>131</v>
      </c>
      <c r="H3018" s="439" t="s">
        <v>424</v>
      </c>
    </row>
    <row r="3019" spans="1:8" s="422" customFormat="1" ht="11.25">
      <c r="A3019" s="448"/>
      <c r="B3019" s="449"/>
      <c r="C3019" s="449"/>
      <c r="D3019" s="449"/>
      <c r="E3019" s="438">
        <v>0</v>
      </c>
      <c r="F3019" s="438">
        <v>0</v>
      </c>
      <c r="G3019" s="438">
        <v>0</v>
      </c>
      <c r="H3019" s="438">
        <v>0</v>
      </c>
    </row>
    <row r="3020" spans="1:8" s="422" customFormat="1" ht="11.25">
      <c r="A3020" s="448"/>
      <c r="B3020" s="449"/>
      <c r="C3020" s="449"/>
      <c r="D3020" s="449"/>
      <c r="E3020" s="438">
        <v>0</v>
      </c>
      <c r="F3020" s="438">
        <v>0</v>
      </c>
      <c r="G3020" s="438">
        <v>0</v>
      </c>
      <c r="H3020" s="438">
        <v>0</v>
      </c>
    </row>
    <row r="3021" spans="1:8" s="422" customFormat="1" ht="11.25">
      <c r="A3021" s="448"/>
      <c r="B3021" s="449"/>
      <c r="C3021" s="449"/>
      <c r="D3021" s="449"/>
      <c r="E3021" s="438">
        <v>0</v>
      </c>
      <c r="F3021" s="438">
        <v>0</v>
      </c>
      <c r="G3021" s="438">
        <v>0</v>
      </c>
      <c r="H3021" s="438">
        <v>0</v>
      </c>
    </row>
    <row r="3022" spans="1:8" s="422" customFormat="1" ht="11.25">
      <c r="A3022" s="448"/>
      <c r="B3022" s="449"/>
      <c r="C3022" s="449"/>
      <c r="D3022" s="449"/>
      <c r="E3022" s="438">
        <v>0</v>
      </c>
      <c r="F3022" s="438">
        <v>0</v>
      </c>
      <c r="G3022" s="438">
        <v>0</v>
      </c>
      <c r="H3022" s="438">
        <v>0</v>
      </c>
    </row>
    <row r="3023" spans="1:8" s="421" customFormat="1" ht="11.25">
      <c r="A3023" s="421" t="s">
        <v>391</v>
      </c>
      <c r="D3023" s="421" t="s">
        <v>472</v>
      </c>
    </row>
    <row r="3024" spans="1:8" s="422" customFormat="1" ht="11.25"/>
    <row r="3025" spans="1:8" s="421" customFormat="1" ht="11.25" customHeight="1">
      <c r="A3025" s="423" t="s">
        <v>392</v>
      </c>
      <c r="D3025" s="421" t="s">
        <v>150</v>
      </c>
    </row>
    <row r="3026" spans="1:8" s="421" customFormat="1" ht="11.25">
      <c r="A3026" s="423"/>
    </row>
    <row r="3027" spans="1:8" s="421" customFormat="1" ht="11.25">
      <c r="A3027" s="424" t="s">
        <v>393</v>
      </c>
      <c r="D3027" s="583" t="s">
        <v>911</v>
      </c>
      <c r="E3027" s="583"/>
      <c r="F3027" s="583"/>
      <c r="G3027" s="583"/>
      <c r="H3027" s="583"/>
    </row>
    <row r="3028" spans="1:8" s="421" customFormat="1" ht="11.25"/>
    <row r="3029" spans="1:8" s="422" customFormat="1" ht="11.25">
      <c r="A3029" s="421" t="s">
        <v>170</v>
      </c>
      <c r="B3029" s="421"/>
      <c r="C3029" s="421"/>
      <c r="D3029" s="422" t="s">
        <v>244</v>
      </c>
      <c r="E3029" s="422" t="s">
        <v>384</v>
      </c>
    </row>
    <row r="3030" spans="1:8" s="422" customFormat="1" ht="7.5" customHeight="1"/>
    <row r="3031" spans="1:8" s="427" customFormat="1" ht="11.25">
      <c r="A3031" s="425" t="s">
        <v>587</v>
      </c>
      <c r="B3031" s="425"/>
      <c r="C3031" s="425"/>
      <c r="D3031" s="426" t="s">
        <v>914</v>
      </c>
      <c r="E3031" s="584" t="s">
        <v>915</v>
      </c>
      <c r="F3031" s="584"/>
      <c r="G3031" s="584"/>
      <c r="H3031" s="584"/>
    </row>
    <row r="3032" spans="1:8" s="427" customFormat="1" ht="11.25">
      <c r="A3032" s="425"/>
      <c r="B3032" s="425"/>
      <c r="C3032" s="425"/>
      <c r="D3032" s="426" t="s">
        <v>916</v>
      </c>
      <c r="E3032" s="584" t="s">
        <v>917</v>
      </c>
      <c r="F3032" s="584"/>
      <c r="G3032" s="584"/>
      <c r="H3032" s="584"/>
    </row>
    <row r="3033" spans="1:8" s="427" customFormat="1" ht="11.25">
      <c r="A3033" s="425"/>
      <c r="B3033" s="425"/>
      <c r="C3033" s="425"/>
      <c r="D3033" s="426" t="s">
        <v>918</v>
      </c>
      <c r="E3033" s="584" t="s">
        <v>919</v>
      </c>
      <c r="F3033" s="584"/>
      <c r="G3033" s="584"/>
      <c r="H3033" s="584"/>
    </row>
    <row r="3034" spans="1:8" s="427" customFormat="1" ht="11.25">
      <c r="A3034" s="425"/>
      <c r="B3034" s="425"/>
      <c r="C3034" s="425"/>
      <c r="D3034" s="426" t="s">
        <v>920</v>
      </c>
      <c r="E3034" s="584" t="s">
        <v>921</v>
      </c>
      <c r="F3034" s="584"/>
      <c r="G3034" s="584"/>
      <c r="H3034" s="584"/>
    </row>
    <row r="3035" spans="1:8" s="427" customFormat="1" ht="11.25">
      <c r="A3035" s="425"/>
      <c r="B3035" s="425"/>
      <c r="C3035" s="425"/>
      <c r="D3035" s="426"/>
      <c r="E3035" s="584"/>
      <c r="F3035" s="584"/>
      <c r="G3035" s="584"/>
      <c r="H3035" s="584"/>
    </row>
    <row r="3036" spans="1:8" s="427" customFormat="1" ht="11.25"/>
    <row r="3037" spans="1:8" s="422" customFormat="1" ht="11.25"/>
    <row r="3038" spans="1:8" s="422" customFormat="1" ht="11.25">
      <c r="A3038" s="421" t="s">
        <v>589</v>
      </c>
      <c r="B3038" s="421"/>
      <c r="C3038" s="421"/>
    </row>
    <row r="3039" spans="1:8" s="429" customFormat="1" ht="11.25">
      <c r="A3039" s="428"/>
      <c r="B3039" s="428"/>
      <c r="C3039" s="428"/>
    </row>
    <row r="3040" spans="1:8" s="429" customFormat="1" ht="11.25" customHeight="1">
      <c r="A3040" s="428"/>
      <c r="B3040" s="428"/>
      <c r="C3040" s="428"/>
    </row>
    <row r="3041" spans="1:8" s="429" customFormat="1" ht="11.25" hidden="1">
      <c r="A3041" s="428"/>
      <c r="B3041" s="428"/>
      <c r="C3041" s="428"/>
    </row>
    <row r="3042" spans="1:8" s="429" customFormat="1" ht="11.25" hidden="1">
      <c r="A3042" s="428"/>
      <c r="B3042" s="428"/>
      <c r="C3042" s="428"/>
    </row>
    <row r="3043" spans="1:8" s="429" customFormat="1" ht="11.25" hidden="1">
      <c r="A3043" s="428"/>
      <c r="B3043" s="428"/>
      <c r="C3043" s="428"/>
    </row>
    <row r="3044" spans="1:8" s="429" customFormat="1" ht="11.25" hidden="1">
      <c r="A3044" s="428"/>
      <c r="B3044" s="428"/>
      <c r="C3044" s="428"/>
    </row>
    <row r="3045" spans="1:8" s="422" customFormat="1" ht="9" customHeight="1">
      <c r="A3045" s="430"/>
      <c r="B3045" s="430"/>
      <c r="C3045" s="430"/>
      <c r="D3045" s="430"/>
      <c r="E3045" s="430"/>
      <c r="F3045" s="430"/>
      <c r="G3045" s="430"/>
      <c r="H3045" s="430"/>
    </row>
    <row r="3046" spans="1:8" s="422" customFormat="1" ht="24" customHeight="1">
      <c r="A3046" s="585" t="s">
        <v>590</v>
      </c>
      <c r="B3046" s="585"/>
      <c r="C3046" s="585"/>
      <c r="D3046" s="586"/>
      <c r="E3046" s="586"/>
      <c r="F3046" s="586"/>
      <c r="G3046" s="586"/>
      <c r="H3046" s="586"/>
    </row>
    <row r="3047" spans="1:8" s="429" customFormat="1" ht="11.25">
      <c r="A3047" s="431"/>
      <c r="B3047" s="431"/>
      <c r="C3047" s="431"/>
      <c r="D3047" s="432"/>
      <c r="E3047" s="432"/>
      <c r="F3047" s="432"/>
      <c r="G3047" s="432"/>
      <c r="H3047" s="432"/>
    </row>
    <row r="3048" spans="1:8" s="429" customFormat="1" ht="11.25">
      <c r="A3048" s="431"/>
      <c r="B3048" s="431"/>
      <c r="C3048" s="431"/>
      <c r="D3048" s="432"/>
      <c r="E3048" s="432"/>
      <c r="F3048" s="432"/>
      <c r="G3048" s="432"/>
      <c r="H3048" s="432"/>
    </row>
    <row r="3049" spans="1:8" s="422" customFormat="1" ht="9" customHeight="1"/>
    <row r="3050" spans="1:8" s="422" customFormat="1" ht="9" customHeight="1"/>
    <row r="3051" spans="1:8" s="422" customFormat="1" ht="9" customHeight="1"/>
    <row r="3052" spans="1:8" s="422" customFormat="1" ht="9.9499999999999993" customHeight="1">
      <c r="A3052" s="421" t="s">
        <v>591</v>
      </c>
      <c r="B3052" s="421"/>
      <c r="C3052" s="421"/>
    </row>
    <row r="3053" spans="1:8" s="429" customFormat="1" ht="9" customHeight="1">
      <c r="A3053" s="428"/>
      <c r="B3053" s="428"/>
      <c r="C3053" s="428"/>
    </row>
    <row r="3054" spans="1:8" s="429" customFormat="1" ht="11.25">
      <c r="A3054" s="428" t="s">
        <v>591</v>
      </c>
      <c r="B3054" s="428"/>
      <c r="C3054" s="428"/>
    </row>
    <row r="3055" spans="1:8" s="429" customFormat="1" ht="11.25">
      <c r="A3055" s="428"/>
      <c r="B3055" s="428"/>
      <c r="C3055" s="428"/>
    </row>
    <row r="3056" spans="1:8" s="429" customFormat="1" ht="11.25">
      <c r="A3056" s="428"/>
      <c r="B3056" s="428"/>
      <c r="C3056" s="428"/>
    </row>
    <row r="3057" spans="1:8" s="429" customFormat="1" ht="11.25">
      <c r="A3057" s="428"/>
      <c r="B3057" s="428"/>
      <c r="C3057" s="428"/>
    </row>
    <row r="3058" spans="1:8" s="422" customFormat="1" ht="9" customHeight="1"/>
    <row r="3059" spans="1:8" s="422" customFormat="1" ht="9" customHeight="1"/>
    <row r="3060" spans="1:8" s="422" customFormat="1" ht="9" customHeight="1"/>
    <row r="3061" spans="1:8" s="422" customFormat="1" ht="9" customHeight="1"/>
    <row r="3062" spans="1:8" s="422" customFormat="1" ht="9" customHeight="1"/>
    <row r="3063" spans="1:8" s="422" customFormat="1" ht="8.1" customHeight="1"/>
    <row r="3064" spans="1:8" s="422" customFormat="1" ht="9" customHeight="1"/>
    <row r="3065" spans="1:8" s="422" customFormat="1" ht="9" hidden="1" customHeight="1"/>
    <row r="3066" spans="1:8" s="422" customFormat="1" ht="9" hidden="1" customHeight="1"/>
    <row r="3067" spans="1:8" s="422" customFormat="1" ht="9" hidden="1" customHeight="1"/>
    <row r="3068" spans="1:8" s="422" customFormat="1" ht="9" customHeight="1"/>
    <row r="3069" spans="1:8" s="422" customFormat="1" ht="14.25" customHeight="1">
      <c r="A3069" s="433" t="s">
        <v>592</v>
      </c>
      <c r="B3069" s="434"/>
      <c r="C3069" s="434"/>
      <c r="D3069" s="434"/>
      <c r="E3069" s="434"/>
      <c r="F3069" s="434"/>
      <c r="G3069" s="434"/>
      <c r="H3069" s="434"/>
    </row>
    <row r="3070" spans="1:8" s="429" customFormat="1" ht="11.25">
      <c r="A3070" s="435"/>
      <c r="B3070" s="436"/>
      <c r="C3070" s="436"/>
      <c r="D3070" s="436"/>
      <c r="E3070" s="436"/>
      <c r="F3070" s="436"/>
      <c r="G3070" s="436"/>
      <c r="H3070" s="436"/>
    </row>
    <row r="3071" spans="1:8" s="429" customFormat="1" ht="11.25">
      <c r="A3071" s="435"/>
      <c r="B3071" s="436"/>
      <c r="C3071" s="436"/>
      <c r="D3071" s="436"/>
      <c r="E3071" s="436"/>
      <c r="F3071" s="436"/>
      <c r="G3071" s="436"/>
      <c r="H3071" s="436"/>
    </row>
    <row r="3072" spans="1:8" s="429" customFormat="1" ht="5.0999999999999996" customHeight="1">
      <c r="A3072" s="435"/>
      <c r="B3072" s="436"/>
      <c r="C3072" s="436"/>
      <c r="D3072" s="436"/>
      <c r="E3072" s="436"/>
      <c r="F3072" s="436"/>
      <c r="G3072" s="436"/>
      <c r="H3072" s="436"/>
    </row>
    <row r="3073" spans="1:8" s="429" customFormat="1" ht="11.25" hidden="1">
      <c r="A3073" s="435"/>
      <c r="B3073" s="436"/>
      <c r="C3073" s="436"/>
      <c r="D3073" s="436"/>
      <c r="E3073" s="436"/>
      <c r="F3073" s="436"/>
      <c r="G3073" s="436"/>
      <c r="H3073" s="436"/>
    </row>
    <row r="3074" spans="1:8" s="422" customFormat="1" ht="9" customHeight="1">
      <c r="A3074" s="437"/>
      <c r="B3074" s="437"/>
      <c r="C3074" s="437"/>
      <c r="D3074" s="437"/>
      <c r="E3074" s="437"/>
      <c r="F3074" s="437"/>
      <c r="G3074" s="437"/>
      <c r="H3074" s="437"/>
    </row>
    <row r="3075" spans="1:8" s="422" customFormat="1" ht="11.25">
      <c r="A3075" s="421" t="s">
        <v>593</v>
      </c>
      <c r="B3075" s="421"/>
      <c r="C3075" s="421"/>
    </row>
    <row r="3076" spans="1:8" s="422" customFormat="1" ht="11.25">
      <c r="A3076" s="438"/>
      <c r="B3076" s="439" t="s">
        <v>132</v>
      </c>
      <c r="C3076" s="439" t="s">
        <v>473</v>
      </c>
      <c r="D3076" s="439" t="s">
        <v>474</v>
      </c>
      <c r="E3076" s="439" t="s">
        <v>375</v>
      </c>
      <c r="F3076" s="439" t="s">
        <v>9</v>
      </c>
      <c r="G3076" s="439" t="s">
        <v>131</v>
      </c>
      <c r="H3076" s="439" t="s">
        <v>424</v>
      </c>
    </row>
    <row r="3077" spans="1:8" s="422" customFormat="1" ht="11.25">
      <c r="A3077" s="439" t="s">
        <v>394</v>
      </c>
      <c r="B3077" s="438">
        <v>291506.59999999998</v>
      </c>
      <c r="C3077" s="438">
        <v>272901.2</v>
      </c>
      <c r="D3077" s="438">
        <v>525245</v>
      </c>
      <c r="E3077" s="438">
        <v>475143.9</v>
      </c>
      <c r="F3077" s="438">
        <v>257662.28</v>
      </c>
      <c r="G3077" s="438">
        <v>260290.47200000001</v>
      </c>
      <c r="H3077" s="438">
        <v>261229.11199999999</v>
      </c>
    </row>
    <row r="3078" spans="1:8" s="422" customFormat="1" ht="11.25">
      <c r="A3078" s="439" t="s">
        <v>395</v>
      </c>
      <c r="B3078" s="438">
        <v>-45668.05</v>
      </c>
      <c r="C3078" s="438">
        <v>-11199.8</v>
      </c>
      <c r="D3078" s="438">
        <v>-270538</v>
      </c>
      <c r="E3078" s="438">
        <v>-174000</v>
      </c>
      <c r="F3078" s="438">
        <v>-6000</v>
      </c>
      <c r="G3078" s="438">
        <v>-6000</v>
      </c>
      <c r="H3078" s="438">
        <v>-6000</v>
      </c>
    </row>
    <row r="3079" spans="1:8" s="422" customFormat="1" ht="11.25">
      <c r="A3079" s="439" t="s">
        <v>396</v>
      </c>
      <c r="B3079" s="438">
        <v>245838.55</v>
      </c>
      <c r="C3079" s="438">
        <v>261701.40000000002</v>
      </c>
      <c r="D3079" s="438">
        <v>254707</v>
      </c>
      <c r="E3079" s="438">
        <v>301143.90000000002</v>
      </c>
      <c r="F3079" s="438">
        <v>251662.28</v>
      </c>
      <c r="G3079" s="438">
        <v>254290.47200000001</v>
      </c>
      <c r="H3079" s="438">
        <v>255229.11199999999</v>
      </c>
    </row>
    <row r="3080" spans="1:8" s="442" customFormat="1" ht="11.25">
      <c r="A3080" s="440" t="s">
        <v>397</v>
      </c>
      <c r="B3080" s="441">
        <v>0.15666214761518266</v>
      </c>
      <c r="C3080" s="441">
        <v>4.1039760909809112E-2</v>
      </c>
      <c r="D3080" s="441">
        <v>0.515070110139078</v>
      </c>
      <c r="E3080" s="441">
        <v>0.36620484867847403</v>
      </c>
      <c r="F3080" s="441">
        <v>2.3286295533828234E-2</v>
      </c>
      <c r="G3080" s="441">
        <v>2.3051170309453355E-2</v>
      </c>
      <c r="H3080" s="441">
        <v>2.29683435895154E-2</v>
      </c>
    </row>
    <row r="3081" spans="1:8" s="422" customFormat="1" ht="9" customHeight="1"/>
    <row r="3082" spans="1:8" s="422" customFormat="1" ht="11.25">
      <c r="A3082" s="443" t="s">
        <v>594</v>
      </c>
      <c r="B3082" s="443"/>
      <c r="C3082" s="444"/>
    </row>
    <row r="3083" spans="1:8" s="422" customFormat="1" ht="11.25">
      <c r="A3083" s="445" t="s">
        <v>595</v>
      </c>
      <c r="B3083" s="446"/>
      <c r="C3083" s="447"/>
      <c r="D3083" s="439" t="s">
        <v>474</v>
      </c>
      <c r="E3083" s="439" t="s">
        <v>375</v>
      </c>
      <c r="F3083" s="439" t="s">
        <v>9</v>
      </c>
      <c r="G3083" s="439" t="s">
        <v>131</v>
      </c>
      <c r="H3083" s="439" t="s">
        <v>424</v>
      </c>
    </row>
    <row r="3084" spans="1:8" s="422" customFormat="1" ht="11.25">
      <c r="A3084" s="448" t="s">
        <v>922</v>
      </c>
      <c r="B3084" s="449"/>
      <c r="C3084" s="449"/>
      <c r="D3084" s="458" t="s">
        <v>923</v>
      </c>
      <c r="E3084" s="458" t="s">
        <v>923</v>
      </c>
      <c r="F3084" s="458" t="s">
        <v>923</v>
      </c>
      <c r="G3084" s="458" t="s">
        <v>923</v>
      </c>
      <c r="H3084" s="458" t="s">
        <v>923</v>
      </c>
    </row>
    <row r="3085" spans="1:8" s="427" customFormat="1" ht="11.25">
      <c r="A3085" s="467" t="s">
        <v>924</v>
      </c>
      <c r="B3085" s="468"/>
      <c r="C3085" s="468"/>
      <c r="D3085" s="469" t="s">
        <v>925</v>
      </c>
      <c r="E3085" s="469" t="s">
        <v>925</v>
      </c>
      <c r="F3085" s="469" t="s">
        <v>925</v>
      </c>
      <c r="G3085" s="469" t="s">
        <v>925</v>
      </c>
      <c r="H3085" s="469" t="s">
        <v>925</v>
      </c>
    </row>
    <row r="3086" spans="1:8" s="427" customFormat="1" ht="11.25">
      <c r="A3086" s="470" t="s">
        <v>926</v>
      </c>
      <c r="B3086" s="471"/>
      <c r="C3086" s="471"/>
      <c r="D3086" s="472"/>
      <c r="E3086" s="472"/>
      <c r="F3086" s="472"/>
      <c r="G3086" s="472"/>
      <c r="H3086" s="472"/>
    </row>
    <row r="3087" spans="1:8" s="422" customFormat="1" ht="11.25">
      <c r="A3087" s="448" t="s">
        <v>927</v>
      </c>
      <c r="B3087" s="449"/>
      <c r="C3087" s="449"/>
      <c r="D3087" s="458" t="s">
        <v>928</v>
      </c>
      <c r="E3087" s="458" t="s">
        <v>928</v>
      </c>
      <c r="F3087" s="458" t="s">
        <v>928</v>
      </c>
      <c r="G3087" s="458" t="s">
        <v>928</v>
      </c>
      <c r="H3087" s="458" t="s">
        <v>928</v>
      </c>
    </row>
    <row r="3088" spans="1:8" s="422" customFormat="1" ht="8.25" customHeight="1"/>
    <row r="3089" spans="1:8" s="422" customFormat="1" ht="11.25">
      <c r="A3089" s="421" t="s">
        <v>423</v>
      </c>
      <c r="B3089" s="421"/>
      <c r="C3089" s="421"/>
    </row>
    <row r="3090" spans="1:8" s="422" customFormat="1" ht="11.25">
      <c r="A3090" s="450"/>
      <c r="B3090" s="439" t="s">
        <v>132</v>
      </c>
      <c r="C3090" s="439" t="s">
        <v>473</v>
      </c>
      <c r="D3090" s="439" t="s">
        <v>474</v>
      </c>
      <c r="E3090" s="439" t="s">
        <v>375</v>
      </c>
      <c r="F3090" s="439" t="s">
        <v>9</v>
      </c>
      <c r="G3090" s="439" t="s">
        <v>131</v>
      </c>
      <c r="H3090" s="439" t="s">
        <v>424</v>
      </c>
    </row>
    <row r="3091" spans="1:8" s="422" customFormat="1" ht="11.25">
      <c r="A3091" s="451" t="s">
        <v>398</v>
      </c>
      <c r="B3091" s="438">
        <v>0</v>
      </c>
      <c r="C3091" s="438">
        <v>0</v>
      </c>
      <c r="D3091" s="438">
        <v>0</v>
      </c>
      <c r="E3091" s="438">
        <v>0</v>
      </c>
      <c r="F3091" s="438">
        <v>0</v>
      </c>
      <c r="G3091" s="438">
        <v>0</v>
      </c>
      <c r="H3091" s="438">
        <v>0</v>
      </c>
    </row>
    <row r="3092" spans="1:8" s="422" customFormat="1" ht="11.25">
      <c r="A3092" s="451" t="s">
        <v>399</v>
      </c>
      <c r="B3092" s="438">
        <v>0</v>
      </c>
      <c r="C3092" s="438">
        <v>0</v>
      </c>
      <c r="D3092" s="438">
        <v>0</v>
      </c>
      <c r="E3092" s="438">
        <v>0</v>
      </c>
      <c r="F3092" s="438">
        <v>0</v>
      </c>
      <c r="G3092" s="438">
        <v>0</v>
      </c>
      <c r="H3092" s="438">
        <v>0</v>
      </c>
    </row>
    <row r="3093" spans="1:8" s="422" customFormat="1" ht="11.25">
      <c r="A3093" s="451" t="s">
        <v>400</v>
      </c>
      <c r="B3093" s="438">
        <v>0</v>
      </c>
      <c r="C3093" s="438">
        <v>0</v>
      </c>
      <c r="D3093" s="438">
        <v>0</v>
      </c>
      <c r="E3093" s="438">
        <v>0</v>
      </c>
      <c r="F3093" s="438">
        <v>0</v>
      </c>
      <c r="G3093" s="438">
        <v>0</v>
      </c>
      <c r="H3093" s="438">
        <v>0</v>
      </c>
    </row>
    <row r="3094" spans="1:8" s="422" customFormat="1" ht="11.25">
      <c r="A3094" s="451" t="s">
        <v>401</v>
      </c>
      <c r="B3094" s="438">
        <v>0</v>
      </c>
      <c r="C3094" s="438">
        <v>0</v>
      </c>
      <c r="D3094" s="438">
        <v>0</v>
      </c>
      <c r="E3094" s="438">
        <v>0</v>
      </c>
      <c r="F3094" s="438">
        <v>0</v>
      </c>
      <c r="G3094" s="438">
        <v>0</v>
      </c>
      <c r="H3094" s="438">
        <v>0</v>
      </c>
    </row>
    <row r="3095" spans="1:8" s="422" customFormat="1" ht="7.5" customHeight="1"/>
    <row r="3096" spans="1:8" s="422" customFormat="1" ht="11.25">
      <c r="A3096" s="421" t="s">
        <v>597</v>
      </c>
      <c r="B3096" s="421"/>
      <c r="C3096" s="421"/>
    </row>
    <row r="3097" spans="1:8" s="429" customFormat="1" ht="11.25">
      <c r="A3097" s="428"/>
      <c r="B3097" s="428"/>
      <c r="C3097" s="428"/>
    </row>
    <row r="3098" spans="1:8" s="429" customFormat="1" ht="11.25" customHeight="1">
      <c r="A3098" s="428"/>
      <c r="B3098" s="428"/>
      <c r="C3098" s="428"/>
    </row>
    <row r="3099" spans="1:8" s="429" customFormat="1" ht="3.75" hidden="1" customHeight="1">
      <c r="A3099" s="428"/>
      <c r="B3099" s="428"/>
      <c r="C3099" s="428"/>
    </row>
    <row r="3100" spans="1:8" s="422" customFormat="1" ht="9" customHeight="1"/>
    <row r="3101" spans="1:8" s="422" customFormat="1" ht="11.25">
      <c r="A3101" s="421" t="s">
        <v>598</v>
      </c>
      <c r="B3101" s="421"/>
      <c r="C3101" s="421"/>
    </row>
    <row r="3102" spans="1:8" s="422" customFormat="1" ht="11.25">
      <c r="A3102" s="452" t="s">
        <v>599</v>
      </c>
      <c r="B3102" s="447"/>
      <c r="C3102" s="447"/>
      <c r="D3102" s="447"/>
      <c r="E3102" s="439" t="s">
        <v>375</v>
      </c>
      <c r="F3102" s="439" t="s">
        <v>9</v>
      </c>
      <c r="G3102" s="439" t="s">
        <v>131</v>
      </c>
      <c r="H3102" s="439" t="s">
        <v>424</v>
      </c>
    </row>
    <row r="3103" spans="1:8" s="422" customFormat="1" ht="11.25">
      <c r="A3103" s="448"/>
      <c r="B3103" s="449"/>
      <c r="C3103" s="449"/>
      <c r="D3103" s="449"/>
      <c r="E3103" s="438">
        <v>0</v>
      </c>
      <c r="F3103" s="438">
        <v>0</v>
      </c>
      <c r="G3103" s="438">
        <v>0</v>
      </c>
      <c r="H3103" s="438">
        <v>0</v>
      </c>
    </row>
    <row r="3104" spans="1:8" s="422" customFormat="1" ht="11.25">
      <c r="A3104" s="448"/>
      <c r="B3104" s="449"/>
      <c r="C3104" s="449"/>
      <c r="D3104" s="449"/>
      <c r="E3104" s="438">
        <v>0</v>
      </c>
      <c r="F3104" s="438">
        <v>0</v>
      </c>
      <c r="G3104" s="438">
        <v>0</v>
      </c>
      <c r="H3104" s="438">
        <v>0</v>
      </c>
    </row>
    <row r="3105" spans="1:8" s="422" customFormat="1" ht="11.25">
      <c r="A3105" s="448"/>
      <c r="B3105" s="449"/>
      <c r="C3105" s="449"/>
      <c r="D3105" s="449"/>
      <c r="E3105" s="438">
        <v>0</v>
      </c>
      <c r="F3105" s="438">
        <v>0</v>
      </c>
      <c r="G3105" s="438">
        <v>0</v>
      </c>
      <c r="H3105" s="438">
        <v>0</v>
      </c>
    </row>
    <row r="3106" spans="1:8" s="421" customFormat="1" ht="11.25">
      <c r="A3106" s="421" t="s">
        <v>391</v>
      </c>
      <c r="D3106" s="421" t="s">
        <v>472</v>
      </c>
    </row>
    <row r="3107" spans="1:8" s="422" customFormat="1" ht="11.25"/>
    <row r="3108" spans="1:8" s="421" customFormat="1" ht="11.25" customHeight="1">
      <c r="A3108" s="423" t="s">
        <v>392</v>
      </c>
      <c r="D3108" s="421" t="s">
        <v>150</v>
      </c>
    </row>
    <row r="3109" spans="1:8" s="421" customFormat="1" ht="7.5" customHeight="1">
      <c r="A3109" s="423"/>
    </row>
    <row r="3110" spans="1:8" s="421" customFormat="1" ht="11.25">
      <c r="A3110" s="424" t="s">
        <v>393</v>
      </c>
      <c r="D3110" s="583" t="s">
        <v>911</v>
      </c>
      <c r="E3110" s="583"/>
      <c r="F3110" s="583"/>
      <c r="G3110" s="583"/>
      <c r="H3110" s="583"/>
    </row>
    <row r="3111" spans="1:8" s="421" customFormat="1" ht="7.5" customHeight="1"/>
    <row r="3112" spans="1:8" s="422" customFormat="1" ht="11.25">
      <c r="A3112" s="421" t="s">
        <v>170</v>
      </c>
      <c r="B3112" s="421"/>
      <c r="C3112" s="421"/>
      <c r="D3112" s="422" t="s">
        <v>245</v>
      </c>
      <c r="E3112" s="422" t="s">
        <v>658</v>
      </c>
    </row>
    <row r="3113" spans="1:8" s="422" customFormat="1" ht="7.5" customHeight="1"/>
    <row r="3114" spans="1:8" s="427" customFormat="1" ht="11.25">
      <c r="A3114" s="425" t="s">
        <v>587</v>
      </c>
      <c r="B3114" s="425"/>
      <c r="C3114" s="425"/>
      <c r="D3114" s="426" t="s">
        <v>929</v>
      </c>
      <c r="E3114" s="584" t="s">
        <v>660</v>
      </c>
      <c r="F3114" s="584"/>
      <c r="G3114" s="584"/>
      <c r="H3114" s="584"/>
    </row>
    <row r="3115" spans="1:8" s="427" customFormat="1" ht="11.25">
      <c r="A3115" s="425"/>
      <c r="B3115" s="425"/>
      <c r="C3115" s="425"/>
      <c r="D3115" s="426" t="s">
        <v>930</v>
      </c>
      <c r="E3115" s="584" t="s">
        <v>931</v>
      </c>
      <c r="F3115" s="584"/>
      <c r="G3115" s="584"/>
      <c r="H3115" s="584"/>
    </row>
    <row r="3116" spans="1:8" s="427" customFormat="1" ht="11.25">
      <c r="A3116" s="425"/>
      <c r="B3116" s="425"/>
      <c r="C3116" s="425"/>
      <c r="D3116" s="426" t="s">
        <v>932</v>
      </c>
      <c r="E3116" s="584" t="s">
        <v>662</v>
      </c>
      <c r="F3116" s="584"/>
      <c r="G3116" s="584"/>
      <c r="H3116" s="584"/>
    </row>
    <row r="3117" spans="1:8" s="427" customFormat="1" ht="11.25">
      <c r="A3117" s="425"/>
      <c r="B3117" s="425"/>
      <c r="C3117" s="425"/>
      <c r="D3117" s="426" t="s">
        <v>933</v>
      </c>
      <c r="E3117" s="584" t="s">
        <v>664</v>
      </c>
      <c r="F3117" s="584"/>
      <c r="G3117" s="584"/>
      <c r="H3117" s="584"/>
    </row>
    <row r="3118" spans="1:8" s="427" customFormat="1" ht="11.25">
      <c r="A3118" s="425"/>
      <c r="B3118" s="425"/>
      <c r="C3118" s="425"/>
      <c r="D3118" s="426" t="s">
        <v>934</v>
      </c>
      <c r="E3118" s="584" t="s">
        <v>666</v>
      </c>
      <c r="F3118" s="584"/>
      <c r="G3118" s="584"/>
      <c r="H3118" s="584"/>
    </row>
    <row r="3119" spans="1:8" s="427" customFormat="1" ht="11.25">
      <c r="A3119" s="425"/>
      <c r="B3119" s="425"/>
      <c r="C3119" s="425"/>
      <c r="D3119" s="426"/>
      <c r="E3119" s="584"/>
      <c r="F3119" s="584"/>
      <c r="G3119" s="584"/>
      <c r="H3119" s="584"/>
    </row>
    <row r="3120" spans="1:8" s="427" customFormat="1" ht="11.25">
      <c r="A3120" s="425"/>
      <c r="B3120" s="425"/>
      <c r="C3120" s="425"/>
      <c r="D3120" s="426"/>
      <c r="E3120" s="584"/>
      <c r="F3120" s="584"/>
      <c r="G3120" s="584"/>
      <c r="H3120" s="584"/>
    </row>
    <row r="3121" spans="1:8" s="427" customFormat="1" ht="11.25"/>
    <row r="3122" spans="1:8" s="422" customFormat="1" ht="11.25"/>
    <row r="3123" spans="1:8" s="422" customFormat="1" ht="11.25">
      <c r="A3123" s="421" t="s">
        <v>589</v>
      </c>
      <c r="B3123" s="421"/>
      <c r="C3123" s="421"/>
    </row>
    <row r="3124" spans="1:8" s="429" customFormat="1" ht="11.25">
      <c r="A3124" s="428"/>
      <c r="B3124" s="428"/>
      <c r="C3124" s="428"/>
    </row>
    <row r="3125" spans="1:8" s="429" customFormat="1" ht="11.25">
      <c r="A3125" s="428"/>
      <c r="B3125" s="428"/>
      <c r="C3125" s="428"/>
    </row>
    <row r="3126" spans="1:8" s="429" customFormat="1" ht="11.25" hidden="1">
      <c r="A3126" s="428"/>
      <c r="B3126" s="428"/>
      <c r="C3126" s="428"/>
    </row>
    <row r="3127" spans="1:8" s="422" customFormat="1" ht="9" customHeight="1">
      <c r="A3127" s="430"/>
      <c r="B3127" s="430"/>
      <c r="C3127" s="430"/>
      <c r="D3127" s="430"/>
      <c r="E3127" s="430"/>
      <c r="F3127" s="430"/>
      <c r="G3127" s="430"/>
      <c r="H3127" s="430"/>
    </row>
    <row r="3128" spans="1:8" s="422" customFormat="1" ht="22.5" customHeight="1">
      <c r="A3128" s="585" t="s">
        <v>590</v>
      </c>
      <c r="B3128" s="585"/>
      <c r="C3128" s="585"/>
      <c r="D3128" s="586"/>
      <c r="E3128" s="586"/>
      <c r="F3128" s="586"/>
      <c r="G3128" s="586"/>
      <c r="H3128" s="586"/>
    </row>
    <row r="3129" spans="1:8" s="429" customFormat="1" ht="11.25">
      <c r="A3129" s="431"/>
      <c r="B3129" s="431"/>
      <c r="C3129" s="431"/>
      <c r="D3129" s="432"/>
      <c r="E3129" s="432"/>
      <c r="F3129" s="432"/>
      <c r="G3129" s="432"/>
      <c r="H3129" s="432"/>
    </row>
    <row r="3130" spans="1:8" s="429" customFormat="1" ht="22.15" customHeight="1">
      <c r="A3130" s="431"/>
      <c r="B3130" s="431"/>
      <c r="C3130" s="431"/>
      <c r="D3130" s="432"/>
      <c r="E3130" s="432"/>
      <c r="F3130" s="432"/>
      <c r="G3130" s="432"/>
      <c r="H3130" s="432"/>
    </row>
    <row r="3131" spans="1:8" s="429" customFormat="1" ht="9" customHeight="1">
      <c r="A3131" s="431"/>
      <c r="B3131" s="431"/>
      <c r="C3131" s="431"/>
      <c r="D3131" s="432"/>
      <c r="E3131" s="432"/>
      <c r="F3131" s="432"/>
      <c r="G3131" s="432"/>
      <c r="H3131" s="432"/>
    </row>
    <row r="3132" spans="1:8" s="429" customFormat="1" ht="11.25" hidden="1">
      <c r="A3132" s="431"/>
      <c r="B3132" s="431"/>
      <c r="C3132" s="431"/>
      <c r="D3132" s="432"/>
      <c r="E3132" s="432"/>
      <c r="F3132" s="432"/>
      <c r="G3132" s="432"/>
      <c r="H3132" s="432"/>
    </row>
    <row r="3133" spans="1:8" s="429" customFormat="1" ht="11.25" hidden="1">
      <c r="A3133" s="431"/>
      <c r="B3133" s="431"/>
      <c r="C3133" s="431"/>
      <c r="D3133" s="432"/>
      <c r="E3133" s="432"/>
      <c r="F3133" s="432"/>
      <c r="G3133" s="432"/>
      <c r="H3133" s="432"/>
    </row>
    <row r="3134" spans="1:8" s="422" customFormat="1" ht="9" hidden="1" customHeight="1"/>
    <row r="3135" spans="1:8" s="422" customFormat="1" ht="11.25">
      <c r="A3135" s="421" t="s">
        <v>591</v>
      </c>
      <c r="B3135" s="421"/>
      <c r="C3135" s="421"/>
    </row>
    <row r="3136" spans="1:8" s="429" customFormat="1" ht="11.25">
      <c r="A3136" s="428"/>
      <c r="B3136" s="428"/>
      <c r="C3136" s="428"/>
    </row>
    <row r="3137" spans="1:3" s="429" customFormat="1" ht="11.25">
      <c r="A3137" s="428"/>
      <c r="B3137" s="428"/>
      <c r="C3137" s="428"/>
    </row>
    <row r="3138" spans="1:3" s="429" customFormat="1" ht="11.25">
      <c r="A3138" s="428"/>
      <c r="B3138" s="428"/>
      <c r="C3138" s="428"/>
    </row>
    <row r="3139" spans="1:3" s="429" customFormat="1" ht="11.25">
      <c r="A3139" s="428"/>
      <c r="B3139" s="428"/>
      <c r="C3139" s="428"/>
    </row>
    <row r="3140" spans="1:3" s="429" customFormat="1" ht="11.25">
      <c r="A3140" s="428"/>
      <c r="B3140" s="428"/>
      <c r="C3140" s="428"/>
    </row>
    <row r="3141" spans="1:3" s="429" customFormat="1" ht="11.25">
      <c r="A3141" s="428"/>
      <c r="B3141" s="428"/>
      <c r="C3141" s="428"/>
    </row>
    <row r="3142" spans="1:3" s="429" customFormat="1" ht="11.25">
      <c r="A3142" s="428"/>
      <c r="B3142" s="428"/>
      <c r="C3142" s="428"/>
    </row>
    <row r="3143" spans="1:3" s="422" customFormat="1" ht="9" customHeight="1"/>
    <row r="3144" spans="1:3" s="422" customFormat="1" ht="9" customHeight="1"/>
    <row r="3145" spans="1:3" s="422" customFormat="1" ht="9" customHeight="1"/>
    <row r="3146" spans="1:3" s="422" customFormat="1" ht="9" customHeight="1"/>
    <row r="3147" spans="1:3" s="422" customFormat="1" ht="9" customHeight="1"/>
    <row r="3148" spans="1:3" s="422" customFormat="1" ht="9" customHeight="1"/>
    <row r="3149" spans="1:3" s="422" customFormat="1" ht="9" hidden="1" customHeight="1"/>
    <row r="3150" spans="1:3" s="422" customFormat="1" ht="9" hidden="1" customHeight="1"/>
    <row r="3151" spans="1:3" s="422" customFormat="1" ht="9" hidden="1" customHeight="1"/>
    <row r="3152" spans="1:3" s="422" customFormat="1" ht="9" hidden="1" customHeight="1"/>
    <row r="3153" spans="1:8" s="422" customFormat="1" ht="9" hidden="1" customHeight="1"/>
    <row r="3154" spans="1:8" s="422" customFormat="1" ht="9" hidden="1" customHeight="1"/>
    <row r="3155" spans="1:8" s="422" customFormat="1" ht="9" hidden="1" customHeight="1"/>
    <row r="3156" spans="1:8" s="422" customFormat="1" ht="9" hidden="1" customHeight="1"/>
    <row r="3157" spans="1:8" s="422" customFormat="1" ht="9" customHeight="1"/>
    <row r="3158" spans="1:8" s="422" customFormat="1" ht="11.25">
      <c r="A3158" s="433" t="s">
        <v>592</v>
      </c>
      <c r="B3158" s="434"/>
      <c r="C3158" s="434"/>
      <c r="D3158" s="434"/>
      <c r="E3158" s="434"/>
      <c r="F3158" s="434"/>
      <c r="G3158" s="434"/>
      <c r="H3158" s="434"/>
    </row>
    <row r="3159" spans="1:8" s="429" customFormat="1" ht="11.25">
      <c r="A3159" s="435"/>
      <c r="B3159" s="436"/>
      <c r="C3159" s="436"/>
      <c r="D3159" s="436"/>
      <c r="E3159" s="436"/>
      <c r="F3159" s="436"/>
      <c r="G3159" s="436"/>
      <c r="H3159" s="436"/>
    </row>
    <row r="3160" spans="1:8" s="429" customFormat="1" ht="11.25">
      <c r="A3160" s="435"/>
      <c r="B3160" s="436"/>
      <c r="C3160" s="436"/>
      <c r="D3160" s="436"/>
      <c r="E3160" s="436"/>
      <c r="F3160" s="436"/>
      <c r="G3160" s="436"/>
      <c r="H3160" s="436"/>
    </row>
    <row r="3161" spans="1:8" s="422" customFormat="1" ht="9" customHeight="1">
      <c r="A3161" s="437"/>
      <c r="B3161" s="437"/>
      <c r="C3161" s="437"/>
      <c r="D3161" s="437"/>
      <c r="E3161" s="437"/>
      <c r="F3161" s="437"/>
      <c r="G3161" s="437"/>
      <c r="H3161" s="437"/>
    </row>
    <row r="3162" spans="1:8" s="422" customFormat="1" ht="11.25">
      <c r="A3162" s="421" t="s">
        <v>593</v>
      </c>
      <c r="B3162" s="421"/>
      <c r="C3162" s="421"/>
    </row>
    <row r="3163" spans="1:8" s="422" customFormat="1" ht="11.25">
      <c r="A3163" s="438"/>
      <c r="B3163" s="439" t="s">
        <v>132</v>
      </c>
      <c r="C3163" s="439" t="s">
        <v>473</v>
      </c>
      <c r="D3163" s="439" t="s">
        <v>474</v>
      </c>
      <c r="E3163" s="439" t="s">
        <v>375</v>
      </c>
      <c r="F3163" s="439" t="s">
        <v>9</v>
      </c>
      <c r="G3163" s="439" t="s">
        <v>131</v>
      </c>
      <c r="H3163" s="439" t="s">
        <v>424</v>
      </c>
    </row>
    <row r="3164" spans="1:8" s="422" customFormat="1" ht="11.25">
      <c r="A3164" s="439" t="s">
        <v>394</v>
      </c>
      <c r="B3164" s="438">
        <v>56436100.469999999</v>
      </c>
      <c r="C3164" s="438">
        <v>66752081.100000001</v>
      </c>
      <c r="D3164" s="438">
        <v>72306845.950000003</v>
      </c>
      <c r="E3164" s="438">
        <v>69519400.329500005</v>
      </c>
      <c r="F3164" s="438">
        <v>71749200.329500005</v>
      </c>
      <c r="G3164" s="438">
        <v>71228192.460800007</v>
      </c>
      <c r="H3164" s="438">
        <v>72548389.650550008</v>
      </c>
    </row>
    <row r="3165" spans="1:8" s="422" customFormat="1" ht="11.25">
      <c r="A3165" s="439" t="s">
        <v>395</v>
      </c>
      <c r="B3165" s="438">
        <v>-145261922.58000001</v>
      </c>
      <c r="C3165" s="438">
        <v>-123936553.73</v>
      </c>
      <c r="D3165" s="438">
        <v>-129203675.7</v>
      </c>
      <c r="E3165" s="438">
        <v>-134274316.69999999</v>
      </c>
      <c r="F3165" s="438">
        <v>-134531704.69999999</v>
      </c>
      <c r="G3165" s="438">
        <v>-134588577.69999999</v>
      </c>
      <c r="H3165" s="438">
        <v>-134646588.69999999</v>
      </c>
    </row>
    <row r="3166" spans="1:8" s="422" customFormat="1" ht="11.25">
      <c r="A3166" s="439" t="s">
        <v>396</v>
      </c>
      <c r="B3166" s="438">
        <v>-88825822.110000014</v>
      </c>
      <c r="C3166" s="438">
        <v>-57184472.630000003</v>
      </c>
      <c r="D3166" s="438">
        <v>-56896829.75</v>
      </c>
      <c r="E3166" s="438">
        <v>-64754916.370499983</v>
      </c>
      <c r="F3166" s="438">
        <v>-62782504.370499983</v>
      </c>
      <c r="G3166" s="438">
        <v>-63360385.239199981</v>
      </c>
      <c r="H3166" s="438">
        <v>-62098199.04944998</v>
      </c>
    </row>
    <row r="3167" spans="1:8" s="442" customFormat="1" ht="11.25">
      <c r="A3167" s="440" t="s">
        <v>397</v>
      </c>
      <c r="B3167" s="441">
        <v>2.5739184913602875</v>
      </c>
      <c r="C3167" s="441">
        <v>1.8566695103383077</v>
      </c>
      <c r="D3167" s="441">
        <v>1.7868802601256319</v>
      </c>
      <c r="E3167" s="441">
        <v>1.9314654048162403</v>
      </c>
      <c r="F3167" s="441">
        <v>1.8750272348984867</v>
      </c>
      <c r="G3167" s="441">
        <v>1.8895408271671357</v>
      </c>
      <c r="H3167" s="441">
        <v>1.8559555814893156</v>
      </c>
    </row>
    <row r="3168" spans="1:8" s="422" customFormat="1" ht="9" customHeight="1"/>
    <row r="3169" spans="1:8" s="422" customFormat="1" ht="11.25">
      <c r="A3169" s="443" t="s">
        <v>594</v>
      </c>
      <c r="B3169" s="443"/>
      <c r="C3169" s="444"/>
    </row>
    <row r="3170" spans="1:8" s="422" customFormat="1" ht="11.25">
      <c r="A3170" s="445" t="s">
        <v>595</v>
      </c>
      <c r="B3170" s="446"/>
      <c r="C3170" s="447"/>
      <c r="D3170" s="439" t="s">
        <v>474</v>
      </c>
      <c r="E3170" s="439" t="s">
        <v>375</v>
      </c>
      <c r="F3170" s="439" t="s">
        <v>9</v>
      </c>
      <c r="G3170" s="439" t="s">
        <v>131</v>
      </c>
      <c r="H3170" s="439" t="s">
        <v>424</v>
      </c>
    </row>
    <row r="3171" spans="1:8" s="422" customFormat="1" ht="11.25">
      <c r="A3171" s="448" t="s">
        <v>913</v>
      </c>
      <c r="B3171" s="449"/>
      <c r="C3171" s="449"/>
      <c r="D3171" s="438"/>
      <c r="E3171" s="438"/>
      <c r="F3171" s="438"/>
      <c r="G3171" s="438"/>
      <c r="H3171" s="438"/>
    </row>
    <row r="3172" spans="1:8" s="422" customFormat="1" ht="11.25" hidden="1">
      <c r="A3172" s="448"/>
      <c r="B3172" s="449"/>
      <c r="C3172" s="449"/>
      <c r="D3172" s="438"/>
      <c r="E3172" s="438"/>
      <c r="F3172" s="438"/>
      <c r="G3172" s="438"/>
      <c r="H3172" s="438"/>
    </row>
    <row r="3173" spans="1:8" s="422" customFormat="1" ht="11.25" hidden="1">
      <c r="A3173" s="448"/>
      <c r="B3173" s="449"/>
      <c r="C3173" s="449"/>
      <c r="D3173" s="438"/>
      <c r="E3173" s="438"/>
      <c r="F3173" s="438"/>
      <c r="G3173" s="438"/>
      <c r="H3173" s="438"/>
    </row>
    <row r="3174" spans="1:8" s="422" customFormat="1" ht="9" customHeight="1"/>
    <row r="3175" spans="1:8" s="422" customFormat="1" ht="11.25">
      <c r="A3175" s="421" t="s">
        <v>423</v>
      </c>
      <c r="B3175" s="421"/>
      <c r="C3175" s="421"/>
    </row>
    <row r="3176" spans="1:8" s="422" customFormat="1" ht="11.25">
      <c r="A3176" s="450"/>
      <c r="B3176" s="439" t="s">
        <v>132</v>
      </c>
      <c r="C3176" s="439" t="s">
        <v>473</v>
      </c>
      <c r="D3176" s="439" t="s">
        <v>474</v>
      </c>
      <c r="E3176" s="439" t="s">
        <v>375</v>
      </c>
      <c r="F3176" s="439" t="s">
        <v>9</v>
      </c>
      <c r="G3176" s="439" t="s">
        <v>131</v>
      </c>
      <c r="H3176" s="439" t="s">
        <v>424</v>
      </c>
    </row>
    <row r="3177" spans="1:8" s="422" customFormat="1" ht="11.25">
      <c r="A3177" s="451" t="s">
        <v>398</v>
      </c>
      <c r="B3177" s="438">
        <v>0</v>
      </c>
      <c r="C3177" s="438">
        <v>0</v>
      </c>
      <c r="D3177" s="438">
        <v>0</v>
      </c>
      <c r="E3177" s="438">
        <v>0</v>
      </c>
      <c r="F3177" s="438">
        <v>0</v>
      </c>
      <c r="G3177" s="438">
        <v>0</v>
      </c>
      <c r="H3177" s="438">
        <v>0</v>
      </c>
    </row>
    <row r="3178" spans="1:8" s="422" customFormat="1" ht="11.25">
      <c r="A3178" s="451" t="s">
        <v>399</v>
      </c>
      <c r="B3178" s="438">
        <v>0</v>
      </c>
      <c r="C3178" s="438">
        <v>0</v>
      </c>
      <c r="D3178" s="438">
        <v>0</v>
      </c>
      <c r="E3178" s="438">
        <v>0</v>
      </c>
      <c r="F3178" s="438">
        <v>0</v>
      </c>
      <c r="G3178" s="438">
        <v>0</v>
      </c>
      <c r="H3178" s="438">
        <v>0</v>
      </c>
    </row>
    <row r="3179" spans="1:8" s="422" customFormat="1" ht="11.25">
      <c r="A3179" s="451" t="s">
        <v>400</v>
      </c>
      <c r="B3179" s="438">
        <v>0</v>
      </c>
      <c r="C3179" s="438">
        <v>0</v>
      </c>
      <c r="D3179" s="438">
        <v>0</v>
      </c>
      <c r="E3179" s="438">
        <v>0</v>
      </c>
      <c r="F3179" s="438">
        <v>0</v>
      </c>
      <c r="G3179" s="438">
        <v>0</v>
      </c>
      <c r="H3179" s="438">
        <v>0</v>
      </c>
    </row>
    <row r="3180" spans="1:8" s="422" customFormat="1" ht="11.25">
      <c r="A3180" s="451" t="s">
        <v>401</v>
      </c>
      <c r="B3180" s="438">
        <v>0</v>
      </c>
      <c r="C3180" s="438">
        <v>0</v>
      </c>
      <c r="D3180" s="438">
        <v>0</v>
      </c>
      <c r="E3180" s="438">
        <v>0</v>
      </c>
      <c r="F3180" s="438">
        <v>0</v>
      </c>
      <c r="G3180" s="438">
        <v>0</v>
      </c>
      <c r="H3180" s="438">
        <v>0</v>
      </c>
    </row>
    <row r="3181" spans="1:8" s="422" customFormat="1" ht="9" customHeight="1"/>
    <row r="3182" spans="1:8" s="422" customFormat="1" ht="11.25">
      <c r="A3182" s="421" t="s">
        <v>597</v>
      </c>
      <c r="B3182" s="421"/>
      <c r="C3182" s="421"/>
    </row>
    <row r="3183" spans="1:8" s="429" customFormat="1" ht="11.25">
      <c r="A3183" s="428"/>
      <c r="B3183" s="428"/>
      <c r="C3183" s="428"/>
    </row>
    <row r="3184" spans="1:8" s="429" customFormat="1" ht="11.25">
      <c r="A3184" s="428"/>
      <c r="B3184" s="428"/>
      <c r="C3184" s="428"/>
    </row>
    <row r="3185" spans="1:8" s="429" customFormat="1" ht="11.25" hidden="1">
      <c r="A3185" s="428"/>
      <c r="B3185" s="428"/>
      <c r="C3185" s="428"/>
    </row>
    <row r="3186" spans="1:8" s="422" customFormat="1" ht="9" customHeight="1"/>
    <row r="3187" spans="1:8" s="422" customFormat="1" ht="11.25">
      <c r="A3187" s="421" t="s">
        <v>598</v>
      </c>
      <c r="B3187" s="421"/>
      <c r="C3187" s="421"/>
    </row>
    <row r="3188" spans="1:8" s="422" customFormat="1" ht="11.25">
      <c r="A3188" s="452" t="s">
        <v>599</v>
      </c>
      <c r="B3188" s="447"/>
      <c r="C3188" s="447"/>
      <c r="D3188" s="447"/>
      <c r="E3188" s="439" t="s">
        <v>375</v>
      </c>
      <c r="F3188" s="439" t="s">
        <v>9</v>
      </c>
      <c r="G3188" s="439" t="s">
        <v>131</v>
      </c>
      <c r="H3188" s="439" t="s">
        <v>424</v>
      </c>
    </row>
    <row r="3189" spans="1:8" s="422" customFormat="1" ht="11.25">
      <c r="A3189" s="448"/>
      <c r="B3189" s="449"/>
      <c r="C3189" s="449"/>
      <c r="D3189" s="449"/>
      <c r="E3189" s="438">
        <v>0</v>
      </c>
      <c r="F3189" s="438">
        <v>0</v>
      </c>
      <c r="G3189" s="438">
        <v>0</v>
      </c>
      <c r="H3189" s="438">
        <v>0</v>
      </c>
    </row>
    <row r="3190" spans="1:8" s="421" customFormat="1" ht="11.25">
      <c r="A3190" s="421" t="s">
        <v>391</v>
      </c>
      <c r="D3190" s="421" t="s">
        <v>472</v>
      </c>
    </row>
    <row r="3191" spans="1:8" s="422" customFormat="1" ht="11.25"/>
    <row r="3192" spans="1:8" s="421" customFormat="1" ht="11.25" customHeight="1">
      <c r="A3192" s="423" t="s">
        <v>392</v>
      </c>
      <c r="D3192" s="421" t="s">
        <v>150</v>
      </c>
    </row>
    <row r="3193" spans="1:8" s="421" customFormat="1" ht="15" customHeight="1">
      <c r="A3193" s="423"/>
    </row>
    <row r="3194" spans="1:8" s="421" customFormat="1" ht="11.25">
      <c r="A3194" s="424" t="s">
        <v>393</v>
      </c>
      <c r="D3194" s="583" t="s">
        <v>911</v>
      </c>
      <c r="E3194" s="583"/>
      <c r="F3194" s="583"/>
      <c r="G3194" s="583"/>
      <c r="H3194" s="583"/>
    </row>
    <row r="3195" spans="1:8" s="421" customFormat="1" ht="12" customHeight="1"/>
    <row r="3196" spans="1:8" s="422" customFormat="1" ht="11.25">
      <c r="A3196" s="421" t="s">
        <v>170</v>
      </c>
      <c r="B3196" s="421"/>
      <c r="C3196" s="421"/>
      <c r="D3196" s="422" t="s">
        <v>246</v>
      </c>
      <c r="E3196" s="422" t="s">
        <v>385</v>
      </c>
    </row>
    <row r="3197" spans="1:8" s="422" customFormat="1" ht="7.5" customHeight="1"/>
    <row r="3198" spans="1:8" s="427" customFormat="1" ht="11.25">
      <c r="A3198" s="425" t="s">
        <v>587</v>
      </c>
      <c r="B3198" s="425"/>
      <c r="C3198" s="425"/>
      <c r="D3198" s="426" t="s">
        <v>935</v>
      </c>
      <c r="E3198" s="584" t="s">
        <v>936</v>
      </c>
      <c r="F3198" s="584"/>
      <c r="G3198" s="584"/>
      <c r="H3198" s="584"/>
    </row>
    <row r="3199" spans="1:8" s="427" customFormat="1" ht="11.25">
      <c r="A3199" s="425"/>
      <c r="B3199" s="425"/>
      <c r="C3199" s="425"/>
      <c r="D3199" s="426" t="s">
        <v>937</v>
      </c>
      <c r="E3199" s="584" t="s">
        <v>938</v>
      </c>
      <c r="F3199" s="584"/>
      <c r="G3199" s="584"/>
      <c r="H3199" s="584"/>
    </row>
    <row r="3200" spans="1:8" s="427" customFormat="1" ht="11.25">
      <c r="A3200" s="425"/>
      <c r="B3200" s="425"/>
      <c r="C3200" s="425"/>
      <c r="D3200" s="426" t="s">
        <v>939</v>
      </c>
      <c r="E3200" s="584" t="s">
        <v>940</v>
      </c>
      <c r="F3200" s="584"/>
      <c r="G3200" s="584"/>
      <c r="H3200" s="584"/>
    </row>
    <row r="3201" spans="1:8" s="427" customFormat="1" ht="11.25">
      <c r="A3201" s="425"/>
      <c r="B3201" s="425"/>
      <c r="C3201" s="425"/>
      <c r="D3201" s="426"/>
      <c r="E3201" s="584"/>
      <c r="F3201" s="584"/>
      <c r="G3201" s="584"/>
      <c r="H3201" s="584"/>
    </row>
    <row r="3202" spans="1:8" s="427" customFormat="1" ht="11.25"/>
    <row r="3203" spans="1:8" s="422" customFormat="1" ht="11.25"/>
    <row r="3204" spans="1:8" s="422" customFormat="1" ht="11.25">
      <c r="A3204" s="421" t="s">
        <v>589</v>
      </c>
      <c r="B3204" s="421"/>
      <c r="C3204" s="421"/>
    </row>
    <row r="3205" spans="1:8" s="429" customFormat="1" ht="11.25">
      <c r="A3205" s="428"/>
      <c r="B3205" s="428"/>
      <c r="C3205" s="428"/>
    </row>
    <row r="3206" spans="1:8" s="429" customFormat="1" ht="11.25">
      <c r="A3206" s="428"/>
      <c r="B3206" s="428"/>
      <c r="C3206" s="428"/>
    </row>
    <row r="3207" spans="1:8" s="429" customFormat="1" ht="12.75" customHeight="1">
      <c r="A3207" s="428"/>
      <c r="B3207" s="428"/>
      <c r="C3207" s="428"/>
    </row>
    <row r="3208" spans="1:8" s="429" customFormat="1" ht="12.75" customHeight="1">
      <c r="A3208" s="428"/>
      <c r="B3208" s="428"/>
      <c r="C3208" s="428"/>
    </row>
    <row r="3209" spans="1:8" s="422" customFormat="1" ht="50.1" hidden="1" customHeight="1">
      <c r="A3209" s="430"/>
      <c r="B3209" s="430"/>
      <c r="C3209" s="430"/>
      <c r="D3209" s="430"/>
      <c r="E3209" s="430"/>
      <c r="F3209" s="430"/>
      <c r="G3209" s="430"/>
      <c r="H3209" s="430"/>
    </row>
    <row r="3210" spans="1:8" s="422" customFormat="1" ht="9" customHeight="1">
      <c r="A3210" s="430"/>
      <c r="B3210" s="430"/>
      <c r="C3210" s="430"/>
      <c r="D3210" s="430"/>
      <c r="E3210" s="430"/>
      <c r="F3210" s="430"/>
      <c r="G3210" s="430"/>
      <c r="H3210" s="430"/>
    </row>
    <row r="3211" spans="1:8" s="422" customFormat="1" ht="24" customHeight="1">
      <c r="A3211" s="585" t="s">
        <v>590</v>
      </c>
      <c r="B3211" s="585"/>
      <c r="C3211" s="585"/>
      <c r="D3211" s="586"/>
      <c r="E3211" s="586"/>
      <c r="F3211" s="586"/>
      <c r="G3211" s="586"/>
      <c r="H3211" s="586"/>
    </row>
    <row r="3212" spans="1:8" s="429" customFormat="1" ht="11.25" customHeight="1">
      <c r="A3212" s="431"/>
      <c r="B3212" s="431"/>
      <c r="C3212" s="431"/>
      <c r="D3212" s="432"/>
      <c r="E3212" s="432"/>
      <c r="F3212" s="432"/>
      <c r="G3212" s="432"/>
      <c r="H3212" s="432"/>
    </row>
    <row r="3213" spans="1:8" s="429" customFormat="1" ht="11.25" customHeight="1">
      <c r="A3213" s="431"/>
      <c r="B3213" s="431"/>
      <c r="C3213" s="431"/>
      <c r="D3213" s="432"/>
      <c r="E3213" s="432"/>
      <c r="F3213" s="432"/>
      <c r="G3213" s="432"/>
      <c r="H3213" s="432"/>
    </row>
    <row r="3214" spans="1:8" s="429" customFormat="1" ht="11.25" customHeight="1">
      <c r="A3214" s="431"/>
      <c r="B3214" s="431"/>
      <c r="C3214" s="431"/>
      <c r="D3214" s="432"/>
      <c r="E3214" s="432"/>
      <c r="F3214" s="432"/>
      <c r="G3214" s="432"/>
      <c r="H3214" s="432"/>
    </row>
    <row r="3215" spans="1:8" s="429" customFormat="1" ht="11.25" customHeight="1">
      <c r="A3215" s="431"/>
      <c r="B3215" s="431"/>
      <c r="C3215" s="431"/>
      <c r="D3215" s="432"/>
      <c r="E3215" s="432"/>
      <c r="F3215" s="432"/>
      <c r="G3215" s="432"/>
      <c r="H3215" s="432"/>
    </row>
    <row r="3216" spans="1:8" s="429" customFormat="1" ht="11.25" customHeight="1">
      <c r="A3216" s="431"/>
      <c r="B3216" s="431"/>
      <c r="C3216" s="431"/>
      <c r="D3216" s="432"/>
      <c r="E3216" s="432"/>
      <c r="F3216" s="432"/>
      <c r="G3216" s="432"/>
      <c r="H3216" s="432"/>
    </row>
    <row r="3217" spans="1:8" s="429" customFormat="1" ht="11.25" customHeight="1">
      <c r="A3217" s="431"/>
      <c r="B3217" s="431"/>
      <c r="C3217" s="431"/>
      <c r="D3217" s="432"/>
      <c r="E3217" s="432"/>
      <c r="F3217" s="432"/>
      <c r="G3217" s="432"/>
      <c r="H3217" s="432"/>
    </row>
    <row r="3218" spans="1:8" s="429" customFormat="1" ht="11.25" customHeight="1">
      <c r="A3218" s="431"/>
      <c r="B3218" s="431"/>
      <c r="C3218" s="431"/>
      <c r="D3218" s="432"/>
      <c r="E3218" s="432"/>
      <c r="F3218" s="432"/>
      <c r="G3218" s="432"/>
      <c r="H3218" s="432"/>
    </row>
    <row r="3219" spans="1:8" s="429" customFormat="1" ht="11.25" customHeight="1">
      <c r="A3219" s="431"/>
      <c r="B3219" s="431"/>
      <c r="C3219" s="431"/>
      <c r="D3219" s="432"/>
      <c r="E3219" s="432"/>
      <c r="F3219" s="432"/>
      <c r="G3219" s="432"/>
      <c r="H3219" s="432"/>
    </row>
    <row r="3220" spans="1:8" s="429" customFormat="1" ht="11.25" customHeight="1">
      <c r="A3220" s="431"/>
      <c r="B3220" s="431"/>
      <c r="C3220" s="431"/>
      <c r="D3220" s="432"/>
      <c r="E3220" s="432"/>
      <c r="F3220" s="432"/>
      <c r="G3220" s="432"/>
      <c r="H3220" s="432"/>
    </row>
    <row r="3221" spans="1:8" s="429" customFormat="1" ht="11.25" customHeight="1">
      <c r="A3221" s="431"/>
      <c r="B3221" s="431"/>
      <c r="C3221" s="431"/>
      <c r="D3221" s="432"/>
      <c r="E3221" s="432"/>
      <c r="F3221" s="432"/>
      <c r="G3221" s="432"/>
      <c r="H3221" s="432"/>
    </row>
    <row r="3222" spans="1:8" s="429" customFormat="1" ht="11.25">
      <c r="A3222" s="431"/>
      <c r="B3222" s="431"/>
      <c r="C3222" s="431"/>
      <c r="D3222" s="432"/>
      <c r="E3222" s="432"/>
      <c r="F3222" s="432"/>
      <c r="G3222" s="432"/>
      <c r="H3222" s="432"/>
    </row>
    <row r="3223" spans="1:8" s="429" customFormat="1" ht="11.25">
      <c r="A3223" s="431"/>
      <c r="B3223" s="431"/>
      <c r="C3223" s="431"/>
      <c r="D3223" s="432"/>
      <c r="E3223" s="432"/>
      <c r="F3223" s="432"/>
      <c r="G3223" s="432"/>
      <c r="H3223" s="432"/>
    </row>
    <row r="3224" spans="1:8" s="429" customFormat="1" ht="9" customHeight="1">
      <c r="A3224" s="431"/>
      <c r="B3224" s="431"/>
      <c r="C3224" s="431"/>
      <c r="D3224" s="432"/>
      <c r="E3224" s="432"/>
      <c r="F3224" s="432"/>
      <c r="G3224" s="432"/>
      <c r="H3224" s="432"/>
    </row>
    <row r="3225" spans="1:8" s="429" customFormat="1" ht="9" customHeight="1">
      <c r="A3225" s="431"/>
      <c r="B3225" s="431"/>
      <c r="C3225" s="431"/>
      <c r="D3225" s="432"/>
      <c r="E3225" s="432"/>
      <c r="F3225" s="432"/>
      <c r="G3225" s="432"/>
      <c r="H3225" s="432"/>
    </row>
    <row r="3226" spans="1:8" s="429" customFormat="1" ht="11.25">
      <c r="A3226" s="431"/>
      <c r="B3226" s="431"/>
      <c r="C3226" s="431"/>
      <c r="D3226" s="432"/>
      <c r="E3226" s="432"/>
      <c r="F3226" s="432"/>
      <c r="G3226" s="432"/>
      <c r="H3226" s="432"/>
    </row>
    <row r="3227" spans="1:8" s="429" customFormat="1" ht="9" hidden="1" customHeight="1">
      <c r="A3227" s="431"/>
      <c r="B3227" s="431"/>
      <c r="C3227" s="431"/>
      <c r="D3227" s="432"/>
      <c r="E3227" s="432"/>
      <c r="F3227" s="432"/>
      <c r="G3227" s="432"/>
      <c r="H3227" s="432"/>
    </row>
    <row r="3228" spans="1:8" s="422" customFormat="1" ht="22.5" hidden="1" customHeight="1"/>
    <row r="3229" spans="1:8" s="422" customFormat="1" ht="11.25">
      <c r="A3229" s="421" t="s">
        <v>591</v>
      </c>
      <c r="B3229" s="421"/>
      <c r="C3229" s="421"/>
    </row>
    <row r="3230" spans="1:8" s="429" customFormat="1" ht="11.25">
      <c r="A3230" s="428"/>
      <c r="B3230" s="428"/>
      <c r="C3230" s="428"/>
    </row>
    <row r="3231" spans="1:8" s="429" customFormat="1" ht="11.25">
      <c r="A3231" s="428"/>
      <c r="B3231" s="428"/>
      <c r="C3231" s="428"/>
    </row>
    <row r="3232" spans="1:8" s="429" customFormat="1" ht="11.25">
      <c r="A3232" s="428"/>
      <c r="B3232" s="428"/>
      <c r="C3232" s="428"/>
    </row>
    <row r="3233" spans="1:3" s="429" customFormat="1" ht="11.25">
      <c r="A3233" s="428"/>
      <c r="B3233" s="428"/>
      <c r="C3233" s="428"/>
    </row>
    <row r="3234" spans="1:3" s="429" customFormat="1" ht="11.25">
      <c r="A3234" s="428"/>
      <c r="B3234" s="428"/>
      <c r="C3234" s="428"/>
    </row>
    <row r="3235" spans="1:3" s="429" customFormat="1" ht="11.25">
      <c r="A3235" s="428"/>
      <c r="B3235" s="428"/>
      <c r="C3235" s="428"/>
    </row>
    <row r="3236" spans="1:3" s="429" customFormat="1" ht="11.25">
      <c r="A3236" s="428"/>
      <c r="B3236" s="428"/>
      <c r="C3236" s="428"/>
    </row>
    <row r="3237" spans="1:3" s="429" customFormat="1" ht="11.25">
      <c r="A3237" s="428"/>
      <c r="B3237" s="428"/>
      <c r="C3237" s="428"/>
    </row>
    <row r="3238" spans="1:3" s="429" customFormat="1" ht="11.25">
      <c r="A3238" s="428"/>
      <c r="B3238" s="428"/>
      <c r="C3238" s="428"/>
    </row>
    <row r="3239" spans="1:3" s="429" customFormat="1" ht="9" customHeight="1">
      <c r="A3239" s="428"/>
      <c r="B3239" s="428"/>
      <c r="C3239" s="428"/>
    </row>
    <row r="3240" spans="1:3" s="429" customFormat="1" ht="9" hidden="1" customHeight="1">
      <c r="A3240" s="428"/>
      <c r="B3240" s="428"/>
      <c r="C3240" s="428"/>
    </row>
    <row r="3241" spans="1:3" s="429" customFormat="1" ht="9" customHeight="1">
      <c r="A3241" s="428"/>
      <c r="B3241" s="428"/>
      <c r="C3241" s="428"/>
    </row>
    <row r="3242" spans="1:3" s="429" customFormat="1" ht="5.25" customHeight="1">
      <c r="A3242" s="428"/>
      <c r="B3242" s="428"/>
      <c r="C3242" s="428"/>
    </row>
    <row r="3243" spans="1:3" s="429" customFormat="1" ht="11.25" hidden="1">
      <c r="A3243" s="428"/>
      <c r="B3243" s="428"/>
      <c r="C3243" s="428"/>
    </row>
    <row r="3244" spans="1:3" s="429" customFormat="1" ht="11.25" hidden="1">
      <c r="A3244" s="428"/>
      <c r="B3244" s="428"/>
      <c r="C3244" s="428"/>
    </row>
    <row r="3245" spans="1:3" s="429" customFormat="1" ht="11.25" hidden="1">
      <c r="A3245" s="428"/>
      <c r="B3245" s="428"/>
      <c r="C3245" s="428"/>
    </row>
    <row r="3246" spans="1:3" s="429" customFormat="1" ht="11.25">
      <c r="A3246" s="428"/>
      <c r="B3246" s="428"/>
      <c r="C3246" s="428"/>
    </row>
    <row r="3247" spans="1:3" s="429" customFormat="1" ht="11.25">
      <c r="A3247" s="428"/>
      <c r="B3247" s="428"/>
      <c r="C3247" s="428"/>
    </row>
    <row r="3248" spans="1:3" s="429" customFormat="1" ht="11.25">
      <c r="A3248" s="428"/>
      <c r="B3248" s="428"/>
      <c r="C3248" s="428"/>
    </row>
    <row r="3249" spans="1:8" s="429" customFormat="1" ht="216" hidden="1" customHeight="1">
      <c r="A3249" s="428"/>
      <c r="B3249" s="428"/>
      <c r="C3249" s="428"/>
    </row>
    <row r="3250" spans="1:8" s="422" customFormat="1" ht="12.4" customHeight="1"/>
    <row r="3251" spans="1:8" s="422" customFormat="1" ht="9" hidden="1" customHeight="1"/>
    <row r="3252" spans="1:8" s="422" customFormat="1" ht="12.75" customHeight="1">
      <c r="A3252" s="433" t="s">
        <v>592</v>
      </c>
      <c r="B3252" s="434"/>
      <c r="C3252" s="434"/>
      <c r="D3252" s="434"/>
      <c r="E3252" s="434"/>
      <c r="F3252" s="434"/>
      <c r="G3252" s="434"/>
      <c r="H3252" s="434"/>
    </row>
    <row r="3253" spans="1:8" s="422" customFormat="1" ht="12.75" customHeight="1">
      <c r="A3253" s="433"/>
      <c r="B3253" s="434"/>
      <c r="C3253" s="434"/>
      <c r="D3253" s="434"/>
      <c r="E3253" s="434"/>
      <c r="F3253" s="434"/>
      <c r="G3253" s="434"/>
      <c r="H3253" s="434"/>
    </row>
    <row r="3254" spans="1:8" s="422" customFormat="1" ht="12.75" customHeight="1">
      <c r="A3254" s="433"/>
      <c r="B3254" s="434"/>
      <c r="C3254" s="434"/>
      <c r="D3254" s="434"/>
      <c r="E3254" s="434"/>
      <c r="F3254" s="434"/>
      <c r="G3254" s="434"/>
      <c r="H3254" s="434"/>
    </row>
    <row r="3255" spans="1:8" s="429" customFormat="1" ht="61.5" hidden="1" customHeight="1">
      <c r="A3255" s="435"/>
      <c r="B3255" s="436"/>
      <c r="C3255" s="436"/>
      <c r="D3255" s="436"/>
      <c r="E3255" s="436"/>
      <c r="F3255" s="436"/>
      <c r="G3255" s="436"/>
      <c r="H3255" s="436"/>
    </row>
    <row r="3256" spans="1:8" s="429" customFormat="1" ht="11.25">
      <c r="A3256" s="435"/>
      <c r="B3256" s="436"/>
      <c r="C3256" s="436"/>
      <c r="D3256" s="436"/>
      <c r="E3256" s="436"/>
      <c r="F3256" s="436"/>
      <c r="G3256" s="436"/>
      <c r="H3256" s="436"/>
    </row>
    <row r="3257" spans="1:8" s="422" customFormat="1" ht="9" hidden="1" customHeight="1">
      <c r="A3257" s="437"/>
      <c r="B3257" s="437"/>
      <c r="C3257" s="437"/>
      <c r="D3257" s="437"/>
      <c r="E3257" s="437"/>
      <c r="F3257" s="437"/>
      <c r="G3257" s="437"/>
      <c r="H3257" s="437"/>
    </row>
    <row r="3258" spans="1:8" s="422" customFormat="1" ht="11.25">
      <c r="A3258" s="421" t="s">
        <v>593</v>
      </c>
      <c r="B3258" s="421"/>
      <c r="C3258" s="421"/>
    </row>
    <row r="3259" spans="1:8" s="422" customFormat="1" ht="11.25">
      <c r="A3259" s="438"/>
      <c r="B3259" s="439" t="s">
        <v>132</v>
      </c>
      <c r="C3259" s="439" t="s">
        <v>473</v>
      </c>
      <c r="D3259" s="439" t="s">
        <v>474</v>
      </c>
      <c r="E3259" s="439" t="s">
        <v>375</v>
      </c>
      <c r="F3259" s="439" t="s">
        <v>9</v>
      </c>
      <c r="G3259" s="439" t="s">
        <v>131</v>
      </c>
      <c r="H3259" s="439" t="s">
        <v>424</v>
      </c>
    </row>
    <row r="3260" spans="1:8" s="422" customFormat="1" ht="11.25">
      <c r="A3260" s="439" t="s">
        <v>394</v>
      </c>
      <c r="B3260" s="438">
        <v>3874821.7700000005</v>
      </c>
      <c r="C3260" s="438">
        <v>4499357.7299999995</v>
      </c>
      <c r="D3260" s="438">
        <v>6106570.4000000004</v>
      </c>
      <c r="E3260" s="438">
        <v>6203059.4000000004</v>
      </c>
      <c r="F3260" s="438">
        <v>6202823.4000000004</v>
      </c>
      <c r="G3260" s="438">
        <v>6219314.4000000004</v>
      </c>
      <c r="H3260" s="438">
        <v>6225089.4000000004</v>
      </c>
    </row>
    <row r="3261" spans="1:8" s="422" customFormat="1" ht="11.25">
      <c r="A3261" s="439" t="s">
        <v>395</v>
      </c>
      <c r="B3261" s="438">
        <v>-3360704.3</v>
      </c>
      <c r="C3261" s="438">
        <v>-3992442.62</v>
      </c>
      <c r="D3261" s="438">
        <v>-5567000</v>
      </c>
      <c r="E3261" s="438">
        <v>-5645000</v>
      </c>
      <c r="F3261" s="438">
        <v>-5645000</v>
      </c>
      <c r="G3261" s="438">
        <v>-5645000</v>
      </c>
      <c r="H3261" s="438">
        <v>-5645000</v>
      </c>
    </row>
    <row r="3262" spans="1:8" s="422" customFormat="1" ht="11.25">
      <c r="A3262" s="439" t="s">
        <v>396</v>
      </c>
      <c r="B3262" s="438">
        <v>514117.47000000067</v>
      </c>
      <c r="C3262" s="438">
        <v>506915.1099999994</v>
      </c>
      <c r="D3262" s="438">
        <v>539570.40000000037</v>
      </c>
      <c r="E3262" s="438">
        <v>558059.40000000037</v>
      </c>
      <c r="F3262" s="438">
        <v>557823.40000000037</v>
      </c>
      <c r="G3262" s="438">
        <v>574314.40000000037</v>
      </c>
      <c r="H3262" s="438">
        <v>580089.40000000037</v>
      </c>
    </row>
    <row r="3263" spans="1:8" s="442" customFormat="1" ht="11.25">
      <c r="A3263" s="440" t="s">
        <v>397</v>
      </c>
      <c r="B3263" s="441">
        <v>0.86731842120315106</v>
      </c>
      <c r="C3263" s="441">
        <v>0.88733611763739451</v>
      </c>
      <c r="D3263" s="441">
        <v>0.91164100883861088</v>
      </c>
      <c r="E3263" s="441">
        <v>0.91003481282155696</v>
      </c>
      <c r="F3263" s="441">
        <v>0.91006943708892307</v>
      </c>
      <c r="G3263" s="441">
        <v>0.90765631658692147</v>
      </c>
      <c r="H3263" s="441">
        <v>0.90681428607274295</v>
      </c>
    </row>
    <row r="3264" spans="1:8" s="422" customFormat="1" ht="9" customHeight="1"/>
    <row r="3265" spans="1:8" s="422" customFormat="1" ht="11.25">
      <c r="A3265" s="443" t="s">
        <v>594</v>
      </c>
      <c r="B3265" s="443"/>
      <c r="C3265" s="444"/>
    </row>
    <row r="3266" spans="1:8" s="422" customFormat="1" ht="11.25">
      <c r="A3266" s="445" t="s">
        <v>595</v>
      </c>
      <c r="B3266" s="446"/>
      <c r="C3266" s="447"/>
      <c r="D3266" s="439" t="s">
        <v>474</v>
      </c>
      <c r="E3266" s="439" t="s">
        <v>375</v>
      </c>
      <c r="F3266" s="439" t="s">
        <v>9</v>
      </c>
      <c r="G3266" s="439" t="s">
        <v>131</v>
      </c>
      <c r="H3266" s="439" t="s">
        <v>424</v>
      </c>
    </row>
    <row r="3267" spans="1:8" s="422" customFormat="1" ht="11.25">
      <c r="A3267" s="448" t="s">
        <v>941</v>
      </c>
      <c r="B3267" s="449"/>
      <c r="C3267" s="449"/>
      <c r="D3267" s="438">
        <v>10</v>
      </c>
      <c r="E3267" s="438">
        <v>10</v>
      </c>
      <c r="F3267" s="438">
        <v>10</v>
      </c>
      <c r="G3267" s="438">
        <v>10</v>
      </c>
      <c r="H3267" s="438">
        <v>10</v>
      </c>
    </row>
    <row r="3268" spans="1:8" s="422" customFormat="1" ht="11.25">
      <c r="A3268" s="448" t="s">
        <v>942</v>
      </c>
      <c r="B3268" s="449"/>
      <c r="C3268" s="449"/>
      <c r="D3268" s="438">
        <v>40</v>
      </c>
      <c r="E3268" s="438">
        <v>40</v>
      </c>
      <c r="F3268" s="438">
        <v>40</v>
      </c>
      <c r="G3268" s="438">
        <v>40</v>
      </c>
      <c r="H3268" s="438">
        <v>40</v>
      </c>
    </row>
    <row r="3269" spans="1:8" s="422" customFormat="1" ht="11.25">
      <c r="A3269" s="448" t="s">
        <v>943</v>
      </c>
      <c r="B3269" s="449"/>
      <c r="C3269" s="449"/>
      <c r="D3269" s="438">
        <v>2</v>
      </c>
      <c r="E3269" s="438">
        <v>2</v>
      </c>
      <c r="F3269" s="438">
        <v>2</v>
      </c>
      <c r="G3269" s="438">
        <v>2</v>
      </c>
      <c r="H3269" s="438">
        <v>2</v>
      </c>
    </row>
    <row r="3270" spans="1:8" s="422" customFormat="1" ht="11.25" hidden="1">
      <c r="A3270" s="473"/>
      <c r="B3270" s="473"/>
      <c r="C3270" s="473"/>
      <c r="D3270" s="438"/>
      <c r="E3270" s="438"/>
      <c r="F3270" s="438"/>
      <c r="G3270" s="438"/>
      <c r="H3270" s="438"/>
    </row>
    <row r="3271" spans="1:8" s="422" customFormat="1" ht="11.25" hidden="1">
      <c r="A3271" s="473"/>
      <c r="B3271" s="473"/>
      <c r="C3271" s="473"/>
      <c r="D3271" s="438"/>
      <c r="E3271" s="438"/>
      <c r="F3271" s="438"/>
      <c r="G3271" s="438"/>
      <c r="H3271" s="438"/>
    </row>
    <row r="3272" spans="1:8" s="422" customFormat="1" ht="9" customHeight="1"/>
    <row r="3273" spans="1:8" s="422" customFormat="1" ht="11.25">
      <c r="A3273" s="421" t="s">
        <v>423</v>
      </c>
      <c r="B3273" s="421"/>
      <c r="C3273" s="421"/>
    </row>
    <row r="3274" spans="1:8" s="422" customFormat="1" ht="11.25">
      <c r="A3274" s="450"/>
      <c r="B3274" s="439" t="s">
        <v>132</v>
      </c>
      <c r="C3274" s="439" t="s">
        <v>473</v>
      </c>
      <c r="D3274" s="439" t="s">
        <v>474</v>
      </c>
      <c r="E3274" s="439" t="s">
        <v>375</v>
      </c>
      <c r="F3274" s="439" t="s">
        <v>9</v>
      </c>
      <c r="G3274" s="439" t="s">
        <v>131</v>
      </c>
      <c r="H3274" s="439" t="s">
        <v>424</v>
      </c>
    </row>
    <row r="3275" spans="1:8" s="422" customFormat="1" ht="11.25">
      <c r="A3275" s="451" t="s">
        <v>398</v>
      </c>
      <c r="B3275" s="438">
        <v>0</v>
      </c>
      <c r="C3275" s="438">
        <v>0</v>
      </c>
      <c r="D3275" s="438">
        <v>0</v>
      </c>
      <c r="E3275" s="438">
        <v>0</v>
      </c>
      <c r="F3275" s="438">
        <v>0</v>
      </c>
      <c r="G3275" s="438">
        <v>0</v>
      </c>
      <c r="H3275" s="438">
        <v>0</v>
      </c>
    </row>
    <row r="3276" spans="1:8" s="422" customFormat="1" ht="11.25">
      <c r="A3276" s="451" t="s">
        <v>399</v>
      </c>
      <c r="B3276" s="438">
        <v>0</v>
      </c>
      <c r="C3276" s="438">
        <v>0</v>
      </c>
      <c r="D3276" s="438">
        <v>0</v>
      </c>
      <c r="E3276" s="438">
        <v>0</v>
      </c>
      <c r="F3276" s="438">
        <v>0</v>
      </c>
      <c r="G3276" s="438">
        <v>0</v>
      </c>
      <c r="H3276" s="438">
        <v>0</v>
      </c>
    </row>
    <row r="3277" spans="1:8" s="422" customFormat="1" ht="11.25">
      <c r="A3277" s="451" t="s">
        <v>400</v>
      </c>
      <c r="B3277" s="438">
        <v>0</v>
      </c>
      <c r="C3277" s="438">
        <v>0</v>
      </c>
      <c r="D3277" s="438">
        <v>0</v>
      </c>
      <c r="E3277" s="438">
        <v>0</v>
      </c>
      <c r="F3277" s="438">
        <v>0</v>
      </c>
      <c r="G3277" s="438">
        <v>0</v>
      </c>
      <c r="H3277" s="438">
        <v>0</v>
      </c>
    </row>
    <row r="3278" spans="1:8" s="422" customFormat="1" ht="11.25">
      <c r="A3278" s="451" t="s">
        <v>401</v>
      </c>
      <c r="B3278" s="438">
        <v>0</v>
      </c>
      <c r="C3278" s="438">
        <v>0</v>
      </c>
      <c r="D3278" s="438">
        <v>0</v>
      </c>
      <c r="E3278" s="438">
        <v>0</v>
      </c>
      <c r="F3278" s="438">
        <v>0</v>
      </c>
      <c r="G3278" s="438">
        <v>0</v>
      </c>
      <c r="H3278" s="438">
        <v>0</v>
      </c>
    </row>
    <row r="3279" spans="1:8" s="422" customFormat="1" ht="9" customHeight="1"/>
    <row r="3280" spans="1:8" s="422" customFormat="1" ht="11.25">
      <c r="A3280" s="421" t="s">
        <v>597</v>
      </c>
      <c r="B3280" s="421"/>
      <c r="C3280" s="421"/>
    </row>
    <row r="3281" spans="1:8" s="429" customFormat="1" ht="11.25">
      <c r="A3281" s="428">
        <v>0</v>
      </c>
      <c r="B3281" s="428"/>
      <c r="C3281" s="428"/>
    </row>
    <row r="3282" spans="1:8" s="429" customFormat="1" ht="9.9499999999999993" customHeight="1">
      <c r="A3282" s="428"/>
      <c r="B3282" s="428"/>
      <c r="C3282" s="428"/>
    </row>
    <row r="3283" spans="1:8" s="429" customFormat="1" ht="11.25" hidden="1">
      <c r="A3283" s="428"/>
      <c r="B3283" s="428"/>
      <c r="C3283" s="428"/>
    </row>
    <row r="3284" spans="1:8" s="422" customFormat="1" ht="9" hidden="1" customHeight="1"/>
    <row r="3285" spans="1:8" s="422" customFormat="1" ht="9" customHeight="1"/>
    <row r="3286" spans="1:8" s="422" customFormat="1" ht="11.25">
      <c r="A3286" s="421" t="s">
        <v>598</v>
      </c>
      <c r="B3286" s="421"/>
      <c r="C3286" s="421"/>
    </row>
    <row r="3287" spans="1:8" s="422" customFormat="1" ht="11.25">
      <c r="A3287" s="452" t="s">
        <v>599</v>
      </c>
      <c r="B3287" s="447"/>
      <c r="C3287" s="447"/>
      <c r="D3287" s="447"/>
      <c r="E3287" s="439" t="s">
        <v>375</v>
      </c>
      <c r="F3287" s="439" t="s">
        <v>9</v>
      </c>
      <c r="G3287" s="439" t="s">
        <v>131</v>
      </c>
      <c r="H3287" s="439" t="s">
        <v>424</v>
      </c>
    </row>
    <row r="3288" spans="1:8" s="422" customFormat="1" ht="11.25">
      <c r="A3288" s="448" t="s">
        <v>580</v>
      </c>
      <c r="B3288" s="449"/>
      <c r="C3288" s="449"/>
      <c r="D3288" s="449"/>
      <c r="E3288" s="438">
        <v>25250</v>
      </c>
      <c r="F3288" s="438">
        <v>25250</v>
      </c>
      <c r="G3288" s="438">
        <v>25600</v>
      </c>
      <c r="H3288" s="438">
        <v>25725</v>
      </c>
    </row>
    <row r="3289" spans="1:8" s="421" customFormat="1" ht="11.25">
      <c r="A3289" s="421" t="s">
        <v>391</v>
      </c>
      <c r="D3289" s="421" t="s">
        <v>472</v>
      </c>
    </row>
    <row r="3290" spans="1:8" s="422" customFormat="1" ht="11.25"/>
    <row r="3291" spans="1:8" s="421" customFormat="1" ht="11.25" customHeight="1">
      <c r="A3291" s="423" t="s">
        <v>392</v>
      </c>
      <c r="D3291" s="421" t="s">
        <v>150</v>
      </c>
    </row>
    <row r="3292" spans="1:8" s="421" customFormat="1" ht="7.5" customHeight="1">
      <c r="A3292" s="423"/>
    </row>
    <row r="3293" spans="1:8" s="421" customFormat="1" ht="11.25">
      <c r="A3293" s="424" t="s">
        <v>393</v>
      </c>
      <c r="D3293" s="583" t="s">
        <v>32</v>
      </c>
      <c r="E3293" s="583"/>
      <c r="F3293" s="583"/>
      <c r="G3293" s="583"/>
      <c r="H3293" s="583"/>
    </row>
    <row r="3294" spans="1:8" s="421" customFormat="1" ht="7.5" customHeight="1"/>
    <row r="3295" spans="1:8" s="422" customFormat="1" ht="11.25">
      <c r="A3295" s="421" t="s">
        <v>170</v>
      </c>
      <c r="B3295" s="421"/>
      <c r="C3295" s="421"/>
      <c r="D3295" s="422" t="s">
        <v>370</v>
      </c>
      <c r="E3295" s="422" t="s">
        <v>247</v>
      </c>
    </row>
    <row r="3296" spans="1:8" s="422" customFormat="1" ht="7.5" customHeight="1"/>
    <row r="3297" spans="1:8" s="427" customFormat="1" ht="11.25">
      <c r="A3297" s="425" t="s">
        <v>587</v>
      </c>
      <c r="B3297" s="425"/>
      <c r="C3297" s="425"/>
      <c r="D3297" s="426" t="s">
        <v>944</v>
      </c>
      <c r="E3297" s="584" t="s">
        <v>945</v>
      </c>
      <c r="F3297" s="584"/>
      <c r="G3297" s="584"/>
      <c r="H3297" s="584"/>
    </row>
    <row r="3298" spans="1:8" s="427" customFormat="1" ht="11.25">
      <c r="A3298" s="425"/>
      <c r="B3298" s="425"/>
      <c r="C3298" s="425"/>
      <c r="D3298" s="426"/>
      <c r="E3298" s="584"/>
      <c r="F3298" s="584"/>
      <c r="G3298" s="584"/>
      <c r="H3298" s="584"/>
    </row>
    <row r="3299" spans="1:8" s="427" customFormat="1" ht="11.25"/>
    <row r="3300" spans="1:8" s="422" customFormat="1" ht="11.25"/>
    <row r="3301" spans="1:8" s="422" customFormat="1" ht="11.25">
      <c r="A3301" s="421" t="s">
        <v>589</v>
      </c>
      <c r="B3301" s="421"/>
      <c r="C3301" s="421"/>
    </row>
    <row r="3302" spans="1:8" s="429" customFormat="1" ht="11.25" customHeight="1">
      <c r="A3302" s="428"/>
      <c r="B3302" s="428"/>
      <c r="C3302" s="428"/>
    </row>
    <row r="3303" spans="1:8" s="429" customFormat="1" ht="11.25">
      <c r="A3303" s="428"/>
      <c r="B3303" s="428"/>
      <c r="C3303" s="428"/>
    </row>
    <row r="3304" spans="1:8" s="429" customFormat="1" ht="11.25">
      <c r="A3304" s="428"/>
      <c r="B3304" s="428"/>
      <c r="C3304" s="428"/>
    </row>
    <row r="3305" spans="1:8" s="422" customFormat="1" ht="11.25" customHeight="1">
      <c r="A3305" s="430"/>
      <c r="B3305" s="430"/>
      <c r="C3305" s="430"/>
      <c r="D3305" s="430"/>
      <c r="E3305" s="430"/>
      <c r="F3305" s="430"/>
      <c r="G3305" s="430"/>
      <c r="H3305" s="430"/>
    </row>
    <row r="3306" spans="1:8" s="422" customFormat="1" ht="22.5" customHeight="1">
      <c r="A3306" s="585" t="s">
        <v>590</v>
      </c>
      <c r="B3306" s="585"/>
      <c r="C3306" s="585"/>
      <c r="D3306" s="586"/>
      <c r="E3306" s="586"/>
      <c r="F3306" s="586"/>
      <c r="G3306" s="586"/>
      <c r="H3306" s="586"/>
    </row>
    <row r="3307" spans="1:8" s="429" customFormat="1" ht="11.25">
      <c r="A3307" s="431"/>
      <c r="B3307" s="431"/>
      <c r="C3307" s="431"/>
      <c r="D3307" s="432"/>
      <c r="E3307" s="432"/>
      <c r="F3307" s="432"/>
      <c r="G3307" s="432"/>
      <c r="H3307" s="432"/>
    </row>
    <row r="3308" spans="1:8" s="429" customFormat="1" ht="11.25">
      <c r="A3308" s="431"/>
      <c r="B3308" s="431"/>
      <c r="C3308" s="431"/>
      <c r="D3308" s="432"/>
      <c r="E3308" s="432"/>
      <c r="F3308" s="432"/>
      <c r="G3308" s="432"/>
      <c r="H3308" s="432"/>
    </row>
    <row r="3309" spans="1:8" s="429" customFormat="1" ht="11.25">
      <c r="A3309" s="431"/>
      <c r="B3309" s="431"/>
      <c r="C3309" s="431"/>
      <c r="D3309" s="432"/>
      <c r="E3309" s="432"/>
      <c r="F3309" s="432"/>
      <c r="G3309" s="432"/>
      <c r="H3309" s="432"/>
    </row>
    <row r="3310" spans="1:8" s="429" customFormat="1" ht="11.25">
      <c r="A3310" s="431"/>
      <c r="B3310" s="431"/>
      <c r="C3310" s="431"/>
      <c r="D3310" s="432"/>
      <c r="E3310" s="432"/>
      <c r="F3310" s="432"/>
      <c r="G3310" s="432"/>
      <c r="H3310" s="432"/>
    </row>
    <row r="3311" spans="1:8" s="429" customFormat="1" ht="11.25">
      <c r="A3311" s="431"/>
      <c r="B3311" s="431"/>
      <c r="C3311" s="431"/>
      <c r="D3311" s="432"/>
      <c r="E3311" s="432"/>
      <c r="F3311" s="432"/>
      <c r="G3311" s="432"/>
      <c r="H3311" s="432"/>
    </row>
    <row r="3312" spans="1:8" s="429" customFormat="1" ht="11.25">
      <c r="A3312" s="431"/>
      <c r="B3312" s="431"/>
      <c r="C3312" s="431"/>
      <c r="D3312" s="432"/>
      <c r="E3312" s="432"/>
      <c r="F3312" s="432"/>
      <c r="G3312" s="432"/>
      <c r="H3312" s="432"/>
    </row>
    <row r="3313" spans="1:8" s="429" customFormat="1" ht="11.25">
      <c r="A3313" s="431"/>
      <c r="B3313" s="431"/>
      <c r="C3313" s="431"/>
      <c r="D3313" s="432"/>
      <c r="E3313" s="432"/>
      <c r="F3313" s="432"/>
      <c r="G3313" s="432"/>
      <c r="H3313" s="432"/>
    </row>
    <row r="3314" spans="1:8" s="429" customFormat="1" ht="11.25" customHeight="1">
      <c r="A3314" s="431"/>
      <c r="B3314" s="431"/>
      <c r="C3314" s="431"/>
      <c r="D3314" s="432"/>
      <c r="E3314" s="432"/>
      <c r="F3314" s="432"/>
      <c r="G3314" s="432"/>
      <c r="H3314" s="432"/>
    </row>
    <row r="3315" spans="1:8" s="429" customFormat="1" ht="6.75" hidden="1" customHeight="1">
      <c r="A3315" s="431"/>
      <c r="B3315" s="431"/>
      <c r="C3315" s="431"/>
      <c r="D3315" s="432"/>
      <c r="E3315" s="432"/>
      <c r="F3315" s="432"/>
      <c r="G3315" s="432"/>
      <c r="H3315" s="432"/>
    </row>
    <row r="3316" spans="1:8" s="429" customFormat="1" ht="6.75" hidden="1" customHeight="1">
      <c r="A3316" s="431"/>
      <c r="B3316" s="431"/>
      <c r="C3316" s="431"/>
      <c r="D3316" s="432"/>
      <c r="E3316" s="432"/>
      <c r="F3316" s="432"/>
      <c r="G3316" s="432"/>
      <c r="H3316" s="432"/>
    </row>
    <row r="3317" spans="1:8" s="422" customFormat="1" ht="6.75" hidden="1" customHeight="1"/>
    <row r="3318" spans="1:8" s="422" customFormat="1" ht="6.75" hidden="1" customHeight="1"/>
    <row r="3319" spans="1:8" s="422" customFormat="1" ht="6.6" hidden="1" customHeight="1"/>
    <row r="3320" spans="1:8" s="422" customFormat="1" ht="11.25" hidden="1" customHeight="1"/>
    <row r="3321" spans="1:8" s="422" customFormat="1" ht="9" hidden="1" customHeight="1"/>
    <row r="3322" spans="1:8" s="422" customFormat="1" ht="9" hidden="1" customHeight="1"/>
    <row r="3323" spans="1:8" s="422" customFormat="1" ht="11.25" customHeight="1">
      <c r="A3323" s="421" t="s">
        <v>591</v>
      </c>
      <c r="B3323" s="421"/>
      <c r="C3323" s="421"/>
    </row>
    <row r="3324" spans="1:8" s="429" customFormat="1" ht="11.25">
      <c r="A3324" s="428"/>
      <c r="B3324" s="428"/>
      <c r="C3324" s="428"/>
    </row>
    <row r="3325" spans="1:8" s="429" customFormat="1" ht="11.25">
      <c r="A3325" s="428"/>
      <c r="B3325" s="428"/>
      <c r="C3325" s="428"/>
    </row>
    <row r="3326" spans="1:8" s="429" customFormat="1" ht="19.149999999999999" customHeight="1">
      <c r="A3326" s="428"/>
      <c r="B3326" s="428"/>
      <c r="C3326" s="428"/>
    </row>
    <row r="3327" spans="1:8" s="422" customFormat="1" ht="11.25" customHeight="1"/>
    <row r="3328" spans="1:8" s="422" customFormat="1" ht="9" hidden="1" customHeight="1"/>
    <row r="3329" spans="1:8" s="422" customFormat="1" ht="11.25" customHeight="1">
      <c r="A3329" s="433" t="s">
        <v>592</v>
      </c>
      <c r="B3329" s="434"/>
      <c r="C3329" s="434"/>
      <c r="D3329" s="434"/>
      <c r="E3329" s="434"/>
      <c r="F3329" s="434"/>
      <c r="G3329" s="434"/>
      <c r="H3329" s="434"/>
    </row>
    <row r="3330" spans="1:8" s="429" customFormat="1" ht="11.25">
      <c r="A3330" s="435"/>
      <c r="B3330" s="436"/>
      <c r="C3330" s="436"/>
      <c r="D3330" s="436"/>
      <c r="E3330" s="436"/>
      <c r="F3330" s="436"/>
      <c r="G3330" s="436"/>
      <c r="H3330" s="436"/>
    </row>
    <row r="3331" spans="1:8" s="429" customFormat="1" ht="9" customHeight="1">
      <c r="A3331" s="435"/>
      <c r="B3331" s="436"/>
      <c r="C3331" s="436"/>
      <c r="D3331" s="436"/>
      <c r="E3331" s="436"/>
      <c r="F3331" s="436"/>
      <c r="G3331" s="436"/>
      <c r="H3331" s="436"/>
    </row>
    <row r="3332" spans="1:8" s="429" customFormat="1" ht="11.25" customHeight="1">
      <c r="A3332" s="435"/>
      <c r="B3332" s="436"/>
      <c r="C3332" s="436"/>
      <c r="D3332" s="436"/>
      <c r="E3332" s="436"/>
      <c r="F3332" s="436"/>
      <c r="G3332" s="436"/>
      <c r="H3332" s="436"/>
    </row>
    <row r="3333" spans="1:8" s="422" customFormat="1" ht="11.25" hidden="1">
      <c r="A3333" s="437"/>
      <c r="B3333" s="437"/>
      <c r="C3333" s="437"/>
      <c r="D3333" s="437"/>
      <c r="E3333" s="437"/>
      <c r="F3333" s="437"/>
      <c r="G3333" s="437"/>
      <c r="H3333" s="437"/>
    </row>
    <row r="3334" spans="1:8" s="422" customFormat="1" ht="11.25">
      <c r="A3334" s="421" t="s">
        <v>593</v>
      </c>
      <c r="B3334" s="421"/>
      <c r="C3334" s="421"/>
    </row>
    <row r="3335" spans="1:8" s="422" customFormat="1" ht="11.25">
      <c r="A3335" s="438"/>
      <c r="B3335" s="439" t="s">
        <v>132</v>
      </c>
      <c r="C3335" s="439" t="s">
        <v>473</v>
      </c>
      <c r="D3335" s="439" t="s">
        <v>474</v>
      </c>
      <c r="E3335" s="439" t="s">
        <v>375</v>
      </c>
      <c r="F3335" s="439" t="s">
        <v>9</v>
      </c>
      <c r="G3335" s="439" t="s">
        <v>131</v>
      </c>
      <c r="H3335" s="439" t="s">
        <v>424</v>
      </c>
    </row>
    <row r="3336" spans="1:8" s="422" customFormat="1" ht="11.25">
      <c r="A3336" s="439" t="s">
        <v>394</v>
      </c>
      <c r="B3336" s="438">
        <v>7522387.0999999996</v>
      </c>
      <c r="C3336" s="438">
        <v>3135234.52</v>
      </c>
      <c r="D3336" s="438">
        <v>3291210.8200000003</v>
      </c>
      <c r="E3336" s="438">
        <v>3290346.0608000001</v>
      </c>
      <c r="F3336" s="438">
        <v>3303106.0608000001</v>
      </c>
      <c r="G3336" s="438">
        <v>3311427.9859199999</v>
      </c>
      <c r="H3336" s="438">
        <v>3309905.8163200002</v>
      </c>
    </row>
    <row r="3337" spans="1:8" s="422" customFormat="1" ht="11.25">
      <c r="A3337" s="439" t="s">
        <v>395</v>
      </c>
      <c r="B3337" s="438">
        <v>-351876.59</v>
      </c>
      <c r="C3337" s="438">
        <v>-263619.28999999998</v>
      </c>
      <c r="D3337" s="438">
        <v>-299772</v>
      </c>
      <c r="E3337" s="438">
        <v>-299772</v>
      </c>
      <c r="F3337" s="438">
        <v>-299772</v>
      </c>
      <c r="G3337" s="438">
        <v>-299772</v>
      </c>
      <c r="H3337" s="438">
        <v>-299772</v>
      </c>
    </row>
    <row r="3338" spans="1:8" s="422" customFormat="1" ht="11.25">
      <c r="A3338" s="439" t="s">
        <v>396</v>
      </c>
      <c r="B3338" s="438">
        <v>7170510.5099999998</v>
      </c>
      <c r="C3338" s="438">
        <v>2871615.23</v>
      </c>
      <c r="D3338" s="438">
        <v>2991438.8200000003</v>
      </c>
      <c r="E3338" s="438">
        <v>2990574.0608000001</v>
      </c>
      <c r="F3338" s="438">
        <v>3003334.0608000001</v>
      </c>
      <c r="G3338" s="438">
        <v>3011655.9859199999</v>
      </c>
      <c r="H3338" s="438">
        <v>3010133.8163200002</v>
      </c>
    </row>
    <row r="3339" spans="1:8" s="442" customFormat="1" ht="11.25">
      <c r="A3339" s="440" t="s">
        <v>397</v>
      </c>
      <c r="B3339" s="441">
        <v>4.6777251067018348E-2</v>
      </c>
      <c r="C3339" s="441">
        <v>8.4082797735972867E-2</v>
      </c>
      <c r="D3339" s="441">
        <v>9.1082588261544417E-2</v>
      </c>
      <c r="E3339" s="441">
        <v>9.1106526322983411E-2</v>
      </c>
      <c r="F3339" s="441">
        <v>9.0754579018088311E-2</v>
      </c>
      <c r="G3339" s="441">
        <v>9.0526504358425783E-2</v>
      </c>
      <c r="H3339" s="441">
        <v>9.0568135963847676E-2</v>
      </c>
    </row>
    <row r="3340" spans="1:8" s="422" customFormat="1" ht="11.25" customHeight="1"/>
    <row r="3341" spans="1:8" s="422" customFormat="1" ht="11.25">
      <c r="A3341" s="443" t="s">
        <v>594</v>
      </c>
      <c r="B3341" s="443"/>
      <c r="C3341" s="444"/>
    </row>
    <row r="3342" spans="1:8" s="422" customFormat="1" ht="11.25">
      <c r="A3342" s="445" t="s">
        <v>595</v>
      </c>
      <c r="B3342" s="446"/>
      <c r="C3342" s="447"/>
      <c r="D3342" s="439" t="s">
        <v>474</v>
      </c>
      <c r="E3342" s="439" t="s">
        <v>375</v>
      </c>
      <c r="F3342" s="439" t="s">
        <v>9</v>
      </c>
      <c r="G3342" s="439" t="s">
        <v>131</v>
      </c>
      <c r="H3342" s="439" t="s">
        <v>424</v>
      </c>
    </row>
    <row r="3343" spans="1:8" s="422" customFormat="1" ht="11.25">
      <c r="A3343" s="448" t="s">
        <v>946</v>
      </c>
      <c r="B3343" s="449"/>
      <c r="C3343" s="449"/>
      <c r="D3343" s="457">
        <v>0.8</v>
      </c>
      <c r="E3343" s="457">
        <v>0.8</v>
      </c>
      <c r="F3343" s="474" t="s">
        <v>947</v>
      </c>
      <c r="G3343" s="474"/>
      <c r="H3343" s="474"/>
    </row>
    <row r="3344" spans="1:8" s="422" customFormat="1" ht="11.25">
      <c r="A3344" s="475"/>
      <c r="B3344" s="449"/>
      <c r="C3344" s="449"/>
      <c r="D3344" s="438"/>
      <c r="E3344" s="476"/>
      <c r="F3344" s="477" t="s">
        <v>948</v>
      </c>
      <c r="G3344" s="477"/>
      <c r="H3344" s="477"/>
    </row>
    <row r="3345" spans="1:8" s="427" customFormat="1" ht="11.25" customHeight="1">
      <c r="A3345" s="467"/>
      <c r="B3345" s="468"/>
      <c r="C3345" s="468"/>
      <c r="D3345" s="478"/>
      <c r="E3345" s="478"/>
      <c r="F3345" s="478" t="s">
        <v>949</v>
      </c>
      <c r="G3345" s="479"/>
      <c r="H3345" s="480"/>
    </row>
    <row r="3346" spans="1:8" s="427" customFormat="1" ht="11.25" customHeight="1">
      <c r="A3346" s="481"/>
      <c r="B3346" s="471"/>
      <c r="C3346" s="471"/>
      <c r="D3346" s="482"/>
      <c r="E3346" s="482"/>
      <c r="F3346" s="483" t="s">
        <v>950</v>
      </c>
      <c r="G3346" s="483"/>
      <c r="H3346" s="484"/>
    </row>
    <row r="3347" spans="1:8" s="422" customFormat="1" ht="11.25" customHeight="1"/>
    <row r="3348" spans="1:8" s="422" customFormat="1" ht="11.25">
      <c r="A3348" s="421" t="s">
        <v>423</v>
      </c>
      <c r="B3348" s="421"/>
      <c r="C3348" s="421"/>
    </row>
    <row r="3349" spans="1:8" s="422" customFormat="1" ht="11.25">
      <c r="A3349" s="450"/>
      <c r="B3349" s="439" t="s">
        <v>132</v>
      </c>
      <c r="C3349" s="439" t="s">
        <v>473</v>
      </c>
      <c r="D3349" s="439" t="s">
        <v>474</v>
      </c>
      <c r="E3349" s="439" t="s">
        <v>375</v>
      </c>
      <c r="F3349" s="439" t="s">
        <v>9</v>
      </c>
      <c r="G3349" s="439" t="s">
        <v>131</v>
      </c>
      <c r="H3349" s="439" t="s">
        <v>424</v>
      </c>
    </row>
    <row r="3350" spans="1:8" s="422" customFormat="1" ht="11.25">
      <c r="A3350" s="451" t="s">
        <v>398</v>
      </c>
      <c r="B3350" s="438">
        <v>0</v>
      </c>
      <c r="C3350" s="438">
        <v>291777.95</v>
      </c>
      <c r="D3350" s="438">
        <v>0</v>
      </c>
      <c r="E3350" s="438">
        <v>0</v>
      </c>
      <c r="F3350" s="438">
        <v>0</v>
      </c>
      <c r="G3350" s="438">
        <v>0</v>
      </c>
      <c r="H3350" s="438">
        <v>0</v>
      </c>
    </row>
    <row r="3351" spans="1:8" s="422" customFormat="1" ht="11.25">
      <c r="A3351" s="451" t="s">
        <v>399</v>
      </c>
      <c r="B3351" s="438">
        <v>0</v>
      </c>
      <c r="C3351" s="438">
        <v>0</v>
      </c>
      <c r="D3351" s="438">
        <v>0</v>
      </c>
      <c r="E3351" s="438">
        <v>0</v>
      </c>
      <c r="F3351" s="438">
        <v>0</v>
      </c>
      <c r="G3351" s="438">
        <v>0</v>
      </c>
      <c r="H3351" s="438">
        <v>0</v>
      </c>
    </row>
    <row r="3352" spans="1:8" s="422" customFormat="1" ht="11.25">
      <c r="A3352" s="451" t="s">
        <v>400</v>
      </c>
      <c r="B3352" s="438">
        <v>0</v>
      </c>
      <c r="C3352" s="438">
        <v>0</v>
      </c>
      <c r="D3352" s="438">
        <v>0</v>
      </c>
      <c r="E3352" s="438">
        <v>0</v>
      </c>
      <c r="F3352" s="438">
        <v>0</v>
      </c>
      <c r="G3352" s="438">
        <v>0</v>
      </c>
      <c r="H3352" s="438">
        <v>0</v>
      </c>
    </row>
    <row r="3353" spans="1:8" s="422" customFormat="1" ht="11.25">
      <c r="A3353" s="451" t="s">
        <v>401</v>
      </c>
      <c r="B3353" s="438">
        <v>0</v>
      </c>
      <c r="C3353" s="438">
        <v>291777.95</v>
      </c>
      <c r="D3353" s="438">
        <v>0</v>
      </c>
      <c r="E3353" s="438">
        <v>0</v>
      </c>
      <c r="F3353" s="438">
        <v>0</v>
      </c>
      <c r="G3353" s="438">
        <v>0</v>
      </c>
      <c r="H3353" s="438">
        <v>0</v>
      </c>
    </row>
    <row r="3354" spans="1:8" s="422" customFormat="1" ht="6" customHeight="1"/>
    <row r="3355" spans="1:8" s="422" customFormat="1" ht="11.25">
      <c r="A3355" s="421" t="s">
        <v>597</v>
      </c>
      <c r="B3355" s="421"/>
      <c r="C3355" s="421"/>
    </row>
    <row r="3356" spans="1:8" s="429" customFormat="1" ht="11.25" customHeight="1">
      <c r="A3356" s="428"/>
      <c r="B3356" s="428"/>
      <c r="C3356" s="428"/>
    </row>
    <row r="3357" spans="1:8" s="429" customFormat="1" ht="6.75" hidden="1" customHeight="1">
      <c r="A3357" s="428"/>
      <c r="B3357" s="428"/>
      <c r="C3357" s="428"/>
    </row>
    <row r="3358" spans="1:8" s="429" customFormat="1" ht="11.25" hidden="1">
      <c r="A3358" s="428"/>
      <c r="B3358" s="428"/>
      <c r="C3358" s="428"/>
    </row>
    <row r="3359" spans="1:8" s="422" customFormat="1" ht="6" hidden="1" customHeight="1"/>
    <row r="3360" spans="1:8" s="422" customFormat="1" ht="11.25">
      <c r="A3360" s="421" t="s">
        <v>598</v>
      </c>
      <c r="B3360" s="421"/>
      <c r="C3360" s="421"/>
    </row>
    <row r="3361" spans="1:8" s="422" customFormat="1" ht="11.25">
      <c r="A3361" s="452" t="s">
        <v>599</v>
      </c>
      <c r="B3361" s="447"/>
      <c r="C3361" s="447"/>
      <c r="D3361" s="447"/>
      <c r="E3361" s="439" t="s">
        <v>375</v>
      </c>
      <c r="F3361" s="439" t="s">
        <v>9</v>
      </c>
      <c r="G3361" s="439" t="s">
        <v>131</v>
      </c>
      <c r="H3361" s="439" t="s">
        <v>424</v>
      </c>
    </row>
    <row r="3362" spans="1:8" s="422" customFormat="1" ht="11.25">
      <c r="A3362" s="448"/>
      <c r="B3362" s="449"/>
      <c r="C3362" s="449"/>
      <c r="D3362" s="449"/>
      <c r="E3362" s="438">
        <v>0</v>
      </c>
      <c r="F3362" s="438">
        <v>0</v>
      </c>
      <c r="G3362" s="438">
        <v>0</v>
      </c>
      <c r="H3362" s="438">
        <v>0</v>
      </c>
    </row>
    <row r="3363" spans="1:8" s="421" customFormat="1" ht="11.25">
      <c r="A3363" s="421" t="s">
        <v>391</v>
      </c>
      <c r="D3363" s="421" t="s">
        <v>472</v>
      </c>
    </row>
    <row r="3364" spans="1:8" s="422" customFormat="1" ht="11.25"/>
    <row r="3365" spans="1:8" s="421" customFormat="1" ht="11.25" customHeight="1">
      <c r="A3365" s="423" t="s">
        <v>392</v>
      </c>
      <c r="D3365" s="421" t="s">
        <v>150</v>
      </c>
    </row>
    <row r="3366" spans="1:8" s="421" customFormat="1" ht="7.5" customHeight="1">
      <c r="A3366" s="423"/>
    </row>
    <row r="3367" spans="1:8" s="421" customFormat="1" ht="11.25">
      <c r="A3367" s="424" t="s">
        <v>393</v>
      </c>
      <c r="D3367" s="583" t="s">
        <v>32</v>
      </c>
      <c r="E3367" s="583"/>
      <c r="F3367" s="583"/>
      <c r="G3367" s="583"/>
      <c r="H3367" s="583"/>
    </row>
    <row r="3368" spans="1:8" s="421" customFormat="1" ht="7.5" customHeight="1"/>
    <row r="3369" spans="1:8" s="422" customFormat="1" ht="22.5" customHeight="1">
      <c r="A3369" s="425" t="s">
        <v>170</v>
      </c>
      <c r="B3369" s="421"/>
      <c r="C3369" s="421"/>
      <c r="D3369" s="427" t="s">
        <v>248</v>
      </c>
      <c r="E3369" s="595" t="s">
        <v>951</v>
      </c>
      <c r="F3369" s="595"/>
      <c r="G3369" s="595"/>
      <c r="H3369" s="595"/>
    </row>
    <row r="3370" spans="1:8" s="421" customFormat="1" ht="7.5" customHeight="1"/>
    <row r="3371" spans="1:8" s="422" customFormat="1" ht="11.25" customHeight="1">
      <c r="A3371" s="425" t="s">
        <v>587</v>
      </c>
      <c r="D3371" s="427" t="s">
        <v>952</v>
      </c>
      <c r="E3371" s="595" t="s">
        <v>953</v>
      </c>
      <c r="F3371" s="596"/>
      <c r="G3371" s="596"/>
      <c r="H3371" s="596"/>
    </row>
    <row r="3372" spans="1:8" s="427" customFormat="1" ht="11.25">
      <c r="B3372" s="425"/>
      <c r="C3372" s="425"/>
      <c r="D3372" s="426" t="s">
        <v>954</v>
      </c>
      <c r="E3372" s="584" t="s">
        <v>955</v>
      </c>
      <c r="F3372" s="584"/>
      <c r="G3372" s="584"/>
      <c r="H3372" s="584"/>
    </row>
    <row r="3373" spans="1:8" s="427" customFormat="1" ht="11.25">
      <c r="A3373" s="425"/>
      <c r="B3373" s="425"/>
      <c r="C3373" s="425"/>
      <c r="D3373" s="426" t="s">
        <v>956</v>
      </c>
      <c r="E3373" s="584" t="s">
        <v>957</v>
      </c>
      <c r="F3373" s="584"/>
      <c r="G3373" s="584"/>
      <c r="H3373" s="584"/>
    </row>
    <row r="3374" spans="1:8" s="427" customFormat="1" ht="9.75" customHeight="1">
      <c r="A3374" s="425"/>
      <c r="B3374" s="425"/>
      <c r="C3374" s="425"/>
      <c r="D3374" s="426"/>
      <c r="E3374" s="584"/>
      <c r="F3374" s="584"/>
      <c r="G3374" s="584"/>
      <c r="H3374" s="584"/>
    </row>
    <row r="3375" spans="1:8" s="427" customFormat="1" ht="7.5" hidden="1" customHeight="1">
      <c r="A3375" s="425"/>
      <c r="B3375" s="425"/>
      <c r="C3375" s="425"/>
      <c r="D3375" s="426"/>
      <c r="E3375" s="584"/>
      <c r="F3375" s="584"/>
      <c r="G3375" s="584"/>
      <c r="H3375" s="584"/>
    </row>
    <row r="3376" spans="1:8" s="427" customFormat="1" ht="11.25" hidden="1"/>
    <row r="3377" spans="1:8" s="422" customFormat="1" ht="11.25" hidden="1"/>
    <row r="3378" spans="1:8" s="422" customFormat="1" ht="11.25">
      <c r="A3378" s="421" t="s">
        <v>589</v>
      </c>
      <c r="B3378" s="421"/>
      <c r="C3378" s="421"/>
    </row>
    <row r="3379" spans="1:8" s="429" customFormat="1" ht="14.45" customHeight="1">
      <c r="A3379" s="428"/>
      <c r="B3379" s="428"/>
      <c r="C3379" s="428"/>
    </row>
    <row r="3380" spans="1:8" s="429" customFormat="1" ht="1.1499999999999999" customHeight="1">
      <c r="A3380" s="428"/>
      <c r="B3380" s="428"/>
      <c r="C3380" s="428"/>
    </row>
    <row r="3381" spans="1:8" s="422" customFormat="1" ht="11.25" customHeight="1">
      <c r="A3381" s="430"/>
      <c r="B3381" s="430"/>
      <c r="C3381" s="430"/>
      <c r="D3381" s="430"/>
      <c r="E3381" s="430"/>
      <c r="F3381" s="430"/>
      <c r="G3381" s="430"/>
      <c r="H3381" s="430"/>
    </row>
    <row r="3382" spans="1:8" s="422" customFormat="1" ht="22.5" customHeight="1">
      <c r="A3382" s="585" t="s">
        <v>590</v>
      </c>
      <c r="B3382" s="585"/>
      <c r="C3382" s="585"/>
      <c r="D3382" s="586"/>
      <c r="E3382" s="586"/>
      <c r="F3382" s="586"/>
      <c r="G3382" s="586"/>
      <c r="H3382" s="586"/>
    </row>
    <row r="3383" spans="1:8" s="429" customFormat="1" ht="11.25">
      <c r="A3383" s="431"/>
      <c r="B3383" s="431"/>
      <c r="C3383" s="431"/>
      <c r="D3383" s="432"/>
      <c r="E3383" s="432"/>
      <c r="F3383" s="432"/>
      <c r="G3383" s="432"/>
      <c r="H3383" s="432"/>
    </row>
    <row r="3384" spans="1:8" s="429" customFormat="1" ht="11.25">
      <c r="A3384" s="431"/>
      <c r="B3384" s="431"/>
      <c r="C3384" s="431"/>
      <c r="D3384" s="432"/>
      <c r="E3384" s="432"/>
      <c r="F3384" s="432"/>
      <c r="G3384" s="432"/>
      <c r="H3384" s="432"/>
    </row>
    <row r="3385" spans="1:8" s="429" customFormat="1" ht="11.25">
      <c r="A3385" s="431"/>
      <c r="B3385" s="431"/>
      <c r="C3385" s="431"/>
      <c r="D3385" s="432"/>
      <c r="E3385" s="432"/>
      <c r="F3385" s="432"/>
      <c r="G3385" s="432"/>
      <c r="H3385" s="432"/>
    </row>
    <row r="3386" spans="1:8" s="429" customFormat="1" ht="11.25">
      <c r="A3386" s="431"/>
      <c r="B3386" s="431"/>
      <c r="C3386" s="431"/>
      <c r="D3386" s="432"/>
      <c r="E3386" s="432"/>
      <c r="F3386" s="432"/>
      <c r="G3386" s="432"/>
      <c r="H3386" s="432"/>
    </row>
    <row r="3387" spans="1:8" s="429" customFormat="1" ht="11.25">
      <c r="A3387" s="431"/>
      <c r="B3387" s="431"/>
      <c r="C3387" s="431"/>
      <c r="D3387" s="432"/>
      <c r="E3387" s="432"/>
      <c r="F3387" s="432"/>
      <c r="G3387" s="432"/>
      <c r="H3387" s="432"/>
    </row>
    <row r="3388" spans="1:8" s="429" customFormat="1" ht="11.25">
      <c r="A3388" s="431"/>
      <c r="B3388" s="431"/>
      <c r="C3388" s="431"/>
      <c r="D3388" s="432"/>
      <c r="E3388" s="432"/>
      <c r="F3388" s="432"/>
      <c r="G3388" s="432"/>
      <c r="H3388" s="432"/>
    </row>
    <row r="3389" spans="1:8" s="429" customFormat="1" ht="11.25">
      <c r="A3389" s="431"/>
      <c r="B3389" s="431"/>
      <c r="C3389" s="431"/>
      <c r="D3389" s="432"/>
      <c r="E3389" s="432"/>
      <c r="F3389" s="432"/>
      <c r="G3389" s="432"/>
      <c r="H3389" s="432"/>
    </row>
    <row r="3390" spans="1:8" s="429" customFormat="1" ht="11.25">
      <c r="A3390" s="431"/>
      <c r="B3390" s="431"/>
      <c r="C3390" s="431"/>
      <c r="D3390" s="432"/>
      <c r="E3390" s="432"/>
      <c r="F3390" s="432"/>
      <c r="G3390" s="432"/>
      <c r="H3390" s="432"/>
    </row>
    <row r="3391" spans="1:8" s="429" customFormat="1" ht="11.25">
      <c r="A3391" s="431"/>
      <c r="B3391" s="431"/>
      <c r="C3391" s="431"/>
      <c r="D3391" s="432"/>
      <c r="E3391" s="432"/>
      <c r="F3391" s="432"/>
      <c r="G3391" s="432"/>
      <c r="H3391" s="432"/>
    </row>
    <row r="3392" spans="1:8" s="429" customFormat="1" ht="11.25">
      <c r="A3392" s="431"/>
      <c r="B3392" s="431"/>
      <c r="C3392" s="431"/>
      <c r="D3392" s="432"/>
      <c r="E3392" s="432"/>
      <c r="F3392" s="432"/>
      <c r="G3392" s="432"/>
      <c r="H3392" s="432"/>
    </row>
    <row r="3393" spans="1:8" s="429" customFormat="1" ht="11.25" hidden="1">
      <c r="A3393" s="431"/>
      <c r="B3393" s="431"/>
      <c r="C3393" s="431"/>
      <c r="D3393" s="432"/>
      <c r="E3393" s="432"/>
      <c r="F3393" s="432"/>
      <c r="G3393" s="432"/>
      <c r="H3393" s="432"/>
    </row>
    <row r="3394" spans="1:8" s="429" customFormat="1" ht="40.15" customHeight="1">
      <c r="A3394" s="431"/>
      <c r="B3394" s="431"/>
      <c r="C3394" s="431"/>
      <c r="D3394" s="432"/>
      <c r="E3394" s="432"/>
      <c r="F3394" s="432"/>
      <c r="G3394" s="432"/>
      <c r="H3394" s="432"/>
    </row>
    <row r="3395" spans="1:8" s="429" customFormat="1" ht="69.75" hidden="1" customHeight="1">
      <c r="A3395" s="431"/>
      <c r="B3395" s="431"/>
      <c r="C3395" s="431"/>
      <c r="D3395" s="432"/>
      <c r="E3395" s="432"/>
      <c r="F3395" s="432"/>
      <c r="G3395" s="432"/>
      <c r="H3395" s="432"/>
    </row>
    <row r="3396" spans="1:8" s="429" customFormat="1" ht="69.75" hidden="1" customHeight="1">
      <c r="A3396" s="431"/>
      <c r="B3396" s="431"/>
      <c r="C3396" s="431"/>
      <c r="D3396" s="432"/>
      <c r="E3396" s="432"/>
      <c r="F3396" s="432"/>
      <c r="G3396" s="432"/>
      <c r="H3396" s="432"/>
    </row>
    <row r="3397" spans="1:8" s="422" customFormat="1" ht="1.9" hidden="1" customHeight="1"/>
    <row r="3398" spans="1:8" s="422" customFormat="1" ht="11.25" customHeight="1"/>
    <row r="3399" spans="1:8" s="422" customFormat="1" ht="11.25">
      <c r="A3399" s="421" t="s">
        <v>591</v>
      </c>
      <c r="B3399" s="421"/>
      <c r="C3399" s="421"/>
    </row>
    <row r="3400" spans="1:8" s="429" customFormat="1" ht="11.25">
      <c r="A3400" s="428"/>
      <c r="B3400" s="428"/>
      <c r="C3400" s="428"/>
    </row>
    <row r="3401" spans="1:8" s="429" customFormat="1" ht="11.25">
      <c r="A3401" s="428"/>
      <c r="B3401" s="428"/>
      <c r="C3401" s="428"/>
    </row>
    <row r="3402" spans="1:8" s="429" customFormat="1" ht="11.25">
      <c r="A3402" s="428"/>
      <c r="B3402" s="428"/>
      <c r="C3402" s="428"/>
    </row>
    <row r="3403" spans="1:8" s="429" customFormat="1" ht="95.25" customHeight="1">
      <c r="A3403" s="428"/>
      <c r="B3403" s="428"/>
      <c r="C3403" s="428"/>
    </row>
    <row r="3404" spans="1:8" s="429" customFormat="1" ht="11.25">
      <c r="A3404" s="428"/>
      <c r="B3404" s="428"/>
      <c r="C3404" s="428"/>
    </row>
    <row r="3405" spans="1:8" s="429" customFormat="1" ht="52.15" customHeight="1">
      <c r="A3405" s="428"/>
      <c r="B3405" s="428"/>
      <c r="C3405" s="428"/>
    </row>
    <row r="3406" spans="1:8" s="422" customFormat="1" ht="42.75" hidden="1" customHeight="1"/>
    <row r="3407" spans="1:8" s="422" customFormat="1" ht="11.25" customHeight="1"/>
    <row r="3408" spans="1:8" s="422" customFormat="1" ht="11.25" customHeight="1">
      <c r="A3408" s="433" t="s">
        <v>592</v>
      </c>
      <c r="B3408" s="434"/>
      <c r="C3408" s="434"/>
      <c r="D3408" s="434"/>
      <c r="E3408" s="434"/>
      <c r="F3408" s="434"/>
      <c r="G3408" s="434"/>
      <c r="H3408" s="434"/>
    </row>
    <row r="3409" spans="1:8" s="429" customFormat="1" ht="11.25" customHeight="1">
      <c r="A3409" s="435"/>
      <c r="B3409" s="436"/>
      <c r="C3409" s="436"/>
      <c r="D3409" s="436"/>
      <c r="E3409" s="436"/>
      <c r="F3409" s="436"/>
      <c r="G3409" s="436"/>
      <c r="H3409" s="436"/>
    </row>
    <row r="3410" spans="1:8" s="429" customFormat="1" ht="11.25" customHeight="1">
      <c r="A3410" s="435"/>
      <c r="B3410" s="436"/>
      <c r="C3410" s="436"/>
      <c r="D3410" s="436"/>
      <c r="E3410" s="436"/>
      <c r="F3410" s="436"/>
      <c r="G3410" s="436"/>
      <c r="H3410" s="436"/>
    </row>
    <row r="3411" spans="1:8" s="422" customFormat="1" ht="11.25" customHeight="1">
      <c r="A3411" s="437"/>
      <c r="B3411" s="437"/>
      <c r="C3411" s="437"/>
      <c r="D3411" s="437"/>
      <c r="E3411" s="437"/>
      <c r="F3411" s="437"/>
      <c r="G3411" s="437"/>
      <c r="H3411" s="437"/>
    </row>
    <row r="3412" spans="1:8" s="422" customFormat="1" ht="11.25" customHeight="1">
      <c r="A3412" s="421" t="s">
        <v>593</v>
      </c>
      <c r="B3412" s="421"/>
      <c r="C3412" s="421"/>
    </row>
    <row r="3413" spans="1:8" s="422" customFormat="1" ht="20.25" customHeight="1">
      <c r="A3413" s="438"/>
      <c r="B3413" s="439" t="s">
        <v>132</v>
      </c>
      <c r="C3413" s="439" t="s">
        <v>473</v>
      </c>
      <c r="D3413" s="439" t="s">
        <v>474</v>
      </c>
      <c r="E3413" s="439" t="s">
        <v>375</v>
      </c>
      <c r="F3413" s="439" t="s">
        <v>9</v>
      </c>
      <c r="G3413" s="439" t="s">
        <v>131</v>
      </c>
      <c r="H3413" s="439" t="s">
        <v>424</v>
      </c>
    </row>
    <row r="3414" spans="1:8" s="422" customFormat="1" ht="11.25">
      <c r="A3414" s="439" t="s">
        <v>394</v>
      </c>
      <c r="B3414" s="438">
        <v>6821743.8499999996</v>
      </c>
      <c r="C3414" s="438">
        <v>6898488.8399999999</v>
      </c>
      <c r="D3414" s="438">
        <v>6787344.4699999997</v>
      </c>
      <c r="E3414" s="438">
        <v>6879380.5800000001</v>
      </c>
      <c r="F3414" s="438">
        <v>6927520.5800000001</v>
      </c>
      <c r="G3414" s="438">
        <v>6965037.1339999996</v>
      </c>
      <c r="H3414" s="438">
        <v>6961480.1889999993</v>
      </c>
    </row>
    <row r="3415" spans="1:8" s="422" customFormat="1" ht="11.25">
      <c r="A3415" s="439" t="s">
        <v>395</v>
      </c>
      <c r="B3415" s="438">
        <v>-6893662.9500000002</v>
      </c>
      <c r="C3415" s="438">
        <v>-6945862.0199999996</v>
      </c>
      <c r="D3415" s="438">
        <v>-7390545.7399999993</v>
      </c>
      <c r="E3415" s="438">
        <v>-7235545.5999999996</v>
      </c>
      <c r="F3415" s="438">
        <v>-7235545.5999999996</v>
      </c>
      <c r="G3415" s="438">
        <v>-7235545.5999999996</v>
      </c>
      <c r="H3415" s="438">
        <v>-7235545.5999999996</v>
      </c>
    </row>
    <row r="3416" spans="1:8" s="422" customFormat="1" ht="11.25">
      <c r="A3416" s="439" t="s">
        <v>396</v>
      </c>
      <c r="B3416" s="438">
        <v>-71919.100000000559</v>
      </c>
      <c r="C3416" s="438">
        <v>-47373.179999999702</v>
      </c>
      <c r="D3416" s="438">
        <v>-603201.26999999955</v>
      </c>
      <c r="E3416" s="438">
        <v>-356165.01999999955</v>
      </c>
      <c r="F3416" s="438">
        <v>-308025.01999999955</v>
      </c>
      <c r="G3416" s="438">
        <v>-270508.46600000001</v>
      </c>
      <c r="H3416" s="438">
        <v>-274065.41100000031</v>
      </c>
    </row>
    <row r="3417" spans="1:8" s="442" customFormat="1" ht="11.25">
      <c r="A3417" s="440" t="s">
        <v>397</v>
      </c>
      <c r="B3417" s="441">
        <v>1.0105426268680553</v>
      </c>
      <c r="C3417" s="441">
        <v>1.0068671822334934</v>
      </c>
      <c r="D3417" s="441">
        <v>1.0888714684610665</v>
      </c>
      <c r="E3417" s="441">
        <v>1.0517728327220994</v>
      </c>
      <c r="F3417" s="441">
        <v>1.0444639631803156</v>
      </c>
      <c r="G3417" s="441">
        <v>1.0388380507950929</v>
      </c>
      <c r="H3417" s="441">
        <v>1.0393688416197833</v>
      </c>
    </row>
    <row r="3418" spans="1:8" s="442" customFormat="1" ht="1.1499999999999999" customHeight="1">
      <c r="A3418" s="485"/>
      <c r="B3418" s="486"/>
      <c r="C3418" s="486"/>
      <c r="D3418" s="486"/>
      <c r="E3418" s="486"/>
      <c r="F3418" s="486"/>
      <c r="G3418" s="486"/>
      <c r="H3418" s="486"/>
    </row>
    <row r="3419" spans="1:8" s="487" customFormat="1" ht="0.6" customHeight="1"/>
    <row r="3420" spans="1:8" s="422" customFormat="1" ht="11.25">
      <c r="A3420" s="443" t="s">
        <v>594</v>
      </c>
      <c r="B3420" s="443"/>
      <c r="C3420" s="444"/>
    </row>
    <row r="3421" spans="1:8" s="422" customFormat="1" ht="11.25">
      <c r="A3421" s="445" t="s">
        <v>595</v>
      </c>
      <c r="B3421" s="446"/>
      <c r="C3421" s="447"/>
      <c r="D3421" s="439" t="s">
        <v>474</v>
      </c>
      <c r="E3421" s="439" t="s">
        <v>375</v>
      </c>
      <c r="F3421" s="439" t="s">
        <v>9</v>
      </c>
      <c r="G3421" s="439" t="s">
        <v>131</v>
      </c>
      <c r="H3421" s="439" t="s">
        <v>424</v>
      </c>
    </row>
    <row r="3422" spans="1:8" s="422" customFormat="1" ht="11.25">
      <c r="A3422" s="448" t="s">
        <v>958</v>
      </c>
      <c r="B3422" s="449"/>
      <c r="C3422" s="449"/>
      <c r="D3422" s="488">
        <v>0.5</v>
      </c>
      <c r="E3422" s="488">
        <v>0.5</v>
      </c>
      <c r="F3422" s="488">
        <v>0.5</v>
      </c>
      <c r="G3422" s="488">
        <v>0.5</v>
      </c>
      <c r="H3422" s="488">
        <v>0.5</v>
      </c>
    </row>
    <row r="3423" spans="1:8" s="427" customFormat="1" ht="11.25" customHeight="1">
      <c r="A3423" s="467" t="s">
        <v>959</v>
      </c>
      <c r="B3423" s="468"/>
      <c r="C3423" s="468"/>
      <c r="D3423" s="469" t="s">
        <v>960</v>
      </c>
      <c r="E3423" s="469" t="s">
        <v>960</v>
      </c>
      <c r="F3423" s="469" t="s">
        <v>960</v>
      </c>
      <c r="G3423" s="469" t="s">
        <v>960</v>
      </c>
      <c r="H3423" s="469" t="s">
        <v>960</v>
      </c>
    </row>
    <row r="3424" spans="1:8" s="427" customFormat="1" ht="11.25" customHeight="1">
      <c r="A3424" s="470" t="s">
        <v>961</v>
      </c>
      <c r="B3424" s="471"/>
      <c r="C3424" s="471"/>
      <c r="D3424" s="472"/>
      <c r="E3424" s="472"/>
      <c r="F3424" s="472"/>
      <c r="G3424" s="472"/>
      <c r="H3424" s="472"/>
    </row>
    <row r="3425" spans="1:8" s="422" customFormat="1" ht="11.25">
      <c r="A3425" s="467" t="s">
        <v>962</v>
      </c>
      <c r="B3425" s="468"/>
      <c r="C3425" s="468"/>
      <c r="D3425" s="489" t="s">
        <v>963</v>
      </c>
      <c r="E3425" s="489" t="s">
        <v>963</v>
      </c>
      <c r="F3425" s="489" t="s">
        <v>963</v>
      </c>
      <c r="G3425" s="489" t="s">
        <v>963</v>
      </c>
      <c r="H3425" s="489" t="s">
        <v>963</v>
      </c>
    </row>
    <row r="3426" spans="1:8" s="422" customFormat="1" ht="11.25">
      <c r="A3426" s="470" t="s">
        <v>964</v>
      </c>
      <c r="B3426" s="471"/>
      <c r="C3426" s="471"/>
      <c r="D3426" s="490"/>
      <c r="E3426" s="490"/>
      <c r="F3426" s="490"/>
      <c r="G3426" s="490"/>
      <c r="H3426" s="490"/>
    </row>
    <row r="3427" spans="1:8" s="422" customFormat="1" ht="6" customHeight="1"/>
    <row r="3428" spans="1:8" s="422" customFormat="1" ht="11.25">
      <c r="A3428" s="421" t="s">
        <v>423</v>
      </c>
      <c r="B3428" s="421"/>
      <c r="C3428" s="421"/>
    </row>
    <row r="3429" spans="1:8" s="422" customFormat="1" ht="11.25">
      <c r="A3429" s="450"/>
      <c r="B3429" s="439" t="s">
        <v>132</v>
      </c>
      <c r="C3429" s="439" t="s">
        <v>473</v>
      </c>
      <c r="D3429" s="439" t="s">
        <v>474</v>
      </c>
      <c r="E3429" s="439" t="s">
        <v>375</v>
      </c>
      <c r="F3429" s="439" t="s">
        <v>9</v>
      </c>
      <c r="G3429" s="439" t="s">
        <v>131</v>
      </c>
      <c r="H3429" s="439" t="s">
        <v>424</v>
      </c>
    </row>
    <row r="3430" spans="1:8" s="422" customFormat="1" ht="11.25">
      <c r="A3430" s="451" t="s">
        <v>398</v>
      </c>
      <c r="B3430" s="438">
        <v>0</v>
      </c>
      <c r="C3430" s="438">
        <v>0</v>
      </c>
      <c r="D3430" s="438">
        <v>0</v>
      </c>
      <c r="E3430" s="438">
        <v>0</v>
      </c>
      <c r="F3430" s="438">
        <v>0</v>
      </c>
      <c r="G3430" s="438">
        <v>0</v>
      </c>
      <c r="H3430" s="438">
        <v>0</v>
      </c>
    </row>
    <row r="3431" spans="1:8" s="422" customFormat="1" ht="11.25">
      <c r="A3431" s="451" t="s">
        <v>399</v>
      </c>
      <c r="B3431" s="438">
        <v>0</v>
      </c>
      <c r="C3431" s="438">
        <v>0</v>
      </c>
      <c r="D3431" s="438">
        <v>0</v>
      </c>
      <c r="E3431" s="438">
        <v>0</v>
      </c>
      <c r="F3431" s="438">
        <v>0</v>
      </c>
      <c r="G3431" s="438">
        <v>0</v>
      </c>
      <c r="H3431" s="438">
        <v>0</v>
      </c>
    </row>
    <row r="3432" spans="1:8" s="422" customFormat="1" ht="11.25">
      <c r="A3432" s="451" t="s">
        <v>400</v>
      </c>
      <c r="B3432" s="438">
        <v>0</v>
      </c>
      <c r="C3432" s="438">
        <v>0</v>
      </c>
      <c r="D3432" s="438">
        <v>0</v>
      </c>
      <c r="E3432" s="438">
        <v>0</v>
      </c>
      <c r="F3432" s="438">
        <v>0</v>
      </c>
      <c r="G3432" s="438">
        <v>0</v>
      </c>
      <c r="H3432" s="438">
        <v>0</v>
      </c>
    </row>
    <row r="3433" spans="1:8" s="422" customFormat="1" ht="11.25">
      <c r="A3433" s="451" t="s">
        <v>401</v>
      </c>
      <c r="B3433" s="438">
        <v>0</v>
      </c>
      <c r="C3433" s="438">
        <v>0</v>
      </c>
      <c r="D3433" s="438">
        <v>0</v>
      </c>
      <c r="E3433" s="438">
        <v>0</v>
      </c>
      <c r="F3433" s="438">
        <v>0</v>
      </c>
      <c r="G3433" s="438">
        <v>0</v>
      </c>
      <c r="H3433" s="438">
        <v>0</v>
      </c>
    </row>
    <row r="3434" spans="1:8" s="422" customFormat="1" ht="11.25" customHeight="1"/>
    <row r="3435" spans="1:8" s="422" customFormat="1" ht="11.25">
      <c r="A3435" s="421" t="s">
        <v>597</v>
      </c>
      <c r="B3435" s="421"/>
      <c r="C3435" s="421"/>
    </row>
    <row r="3436" spans="1:8" s="429" customFormat="1" ht="11.25">
      <c r="A3436" s="428"/>
      <c r="B3436" s="428"/>
      <c r="C3436" s="428"/>
    </row>
    <row r="3437" spans="1:8" s="429" customFormat="1" ht="3.75" customHeight="1">
      <c r="A3437" s="428"/>
      <c r="B3437" s="428"/>
      <c r="C3437" s="428"/>
    </row>
    <row r="3438" spans="1:8" s="422" customFormat="1" ht="11.25" customHeight="1"/>
    <row r="3439" spans="1:8" s="422" customFormat="1" ht="11.25">
      <c r="A3439" s="421" t="s">
        <v>598</v>
      </c>
      <c r="B3439" s="421"/>
      <c r="C3439" s="421"/>
    </row>
    <row r="3440" spans="1:8" s="422" customFormat="1" ht="11.25">
      <c r="A3440" s="452" t="s">
        <v>599</v>
      </c>
      <c r="B3440" s="447"/>
      <c r="C3440" s="447"/>
      <c r="D3440" s="447"/>
      <c r="E3440" s="439" t="s">
        <v>375</v>
      </c>
      <c r="F3440" s="439" t="s">
        <v>9</v>
      </c>
      <c r="G3440" s="439" t="s">
        <v>131</v>
      </c>
      <c r="H3440" s="439" t="s">
        <v>424</v>
      </c>
    </row>
    <row r="3441" spans="1:8" s="422" customFormat="1" ht="11.25">
      <c r="A3441" s="448"/>
      <c r="B3441" s="449"/>
      <c r="C3441" s="449"/>
      <c r="D3441" s="449"/>
      <c r="E3441" s="438">
        <v>0</v>
      </c>
      <c r="F3441" s="438">
        <v>0</v>
      </c>
      <c r="G3441" s="438">
        <v>0</v>
      </c>
      <c r="H3441" s="438">
        <v>0</v>
      </c>
    </row>
    <row r="3442" spans="1:8" s="422" customFormat="1" ht="11.25">
      <c r="A3442" s="448"/>
      <c r="B3442" s="449"/>
      <c r="C3442" s="449"/>
      <c r="D3442" s="449"/>
      <c r="E3442" s="438">
        <v>0</v>
      </c>
      <c r="F3442" s="438">
        <v>0</v>
      </c>
      <c r="G3442" s="438">
        <v>0</v>
      </c>
      <c r="H3442" s="438">
        <v>0</v>
      </c>
    </row>
    <row r="3443" spans="1:8" s="422" customFormat="1" ht="11.25">
      <c r="A3443" s="448"/>
      <c r="B3443" s="449"/>
      <c r="C3443" s="449"/>
      <c r="D3443" s="449"/>
      <c r="E3443" s="438">
        <v>0</v>
      </c>
      <c r="F3443" s="438">
        <v>0</v>
      </c>
      <c r="G3443" s="438">
        <v>0</v>
      </c>
      <c r="H3443" s="438">
        <v>0</v>
      </c>
    </row>
    <row r="3444" spans="1:8" s="421" customFormat="1" ht="11.25">
      <c r="A3444" s="421" t="s">
        <v>391</v>
      </c>
      <c r="D3444" s="421" t="s">
        <v>472</v>
      </c>
    </row>
    <row r="3445" spans="1:8" s="422" customFormat="1" ht="11.25"/>
    <row r="3446" spans="1:8" s="421" customFormat="1" ht="11.25" customHeight="1">
      <c r="A3446" s="423" t="s">
        <v>392</v>
      </c>
      <c r="D3446" s="421" t="s">
        <v>150</v>
      </c>
    </row>
    <row r="3447" spans="1:8" s="421" customFormat="1" ht="11.25" customHeight="1">
      <c r="A3447" s="423"/>
    </row>
    <row r="3448" spans="1:8" s="421" customFormat="1" ht="11.25">
      <c r="A3448" s="424" t="s">
        <v>393</v>
      </c>
      <c r="D3448" s="583" t="s">
        <v>32</v>
      </c>
      <c r="E3448" s="583"/>
      <c r="F3448" s="583"/>
      <c r="G3448" s="583"/>
      <c r="H3448" s="583"/>
    </row>
    <row r="3449" spans="1:8" s="421" customFormat="1" ht="11.25" customHeight="1"/>
    <row r="3450" spans="1:8" s="422" customFormat="1" ht="15" customHeight="1">
      <c r="A3450" s="421" t="s">
        <v>170</v>
      </c>
      <c r="B3450" s="421"/>
      <c r="C3450" s="421"/>
      <c r="D3450" s="422" t="s">
        <v>250</v>
      </c>
      <c r="E3450" s="422" t="s">
        <v>251</v>
      </c>
    </row>
    <row r="3451" spans="1:8" s="422" customFormat="1" ht="7.5" customHeight="1"/>
    <row r="3452" spans="1:8" s="427" customFormat="1" ht="11.25">
      <c r="A3452" s="425" t="s">
        <v>587</v>
      </c>
      <c r="B3452" s="425"/>
      <c r="C3452" s="425"/>
      <c r="D3452" s="426" t="s">
        <v>965</v>
      </c>
      <c r="E3452" s="584" t="s">
        <v>966</v>
      </c>
      <c r="F3452" s="584"/>
      <c r="G3452" s="584"/>
      <c r="H3452" s="584"/>
    </row>
    <row r="3453" spans="1:8" s="427" customFormat="1" ht="11.25">
      <c r="A3453" s="425"/>
      <c r="B3453" s="425"/>
      <c r="C3453" s="425"/>
      <c r="D3453" s="426"/>
      <c r="E3453" s="584"/>
      <c r="F3453" s="584"/>
      <c r="G3453" s="584"/>
      <c r="H3453" s="584"/>
    </row>
    <row r="3454" spans="1:8" s="427" customFormat="1" ht="15" customHeight="1"/>
    <row r="3455" spans="1:8" s="422" customFormat="1" ht="11.25" hidden="1"/>
    <row r="3456" spans="1:8" s="422" customFormat="1" ht="11.25">
      <c r="A3456" s="421" t="s">
        <v>589</v>
      </c>
      <c r="B3456" s="421"/>
      <c r="C3456" s="421"/>
    </row>
    <row r="3457" spans="1:8" s="429" customFormat="1" ht="11.25" customHeight="1">
      <c r="A3457" s="428"/>
      <c r="B3457" s="428"/>
      <c r="C3457" s="428"/>
    </row>
    <row r="3458" spans="1:8" s="429" customFormat="1" ht="11.25" customHeight="1">
      <c r="A3458" s="428"/>
      <c r="B3458" s="428"/>
      <c r="C3458" s="428"/>
    </row>
    <row r="3459" spans="1:8" s="429" customFormat="1" ht="11.25" customHeight="1">
      <c r="A3459" s="428"/>
      <c r="B3459" s="428"/>
      <c r="C3459" s="428"/>
    </row>
    <row r="3460" spans="1:8" s="422" customFormat="1" ht="11.25" customHeight="1">
      <c r="A3460" s="430"/>
      <c r="B3460" s="430"/>
      <c r="C3460" s="430"/>
      <c r="D3460" s="430"/>
      <c r="E3460" s="430"/>
      <c r="F3460" s="430"/>
      <c r="G3460" s="430"/>
      <c r="H3460" s="430"/>
    </row>
    <row r="3461" spans="1:8" s="422" customFormat="1" ht="22.5" customHeight="1">
      <c r="A3461" s="585" t="s">
        <v>590</v>
      </c>
      <c r="B3461" s="585"/>
      <c r="C3461" s="585"/>
      <c r="D3461" s="586"/>
      <c r="E3461" s="586"/>
      <c r="F3461" s="586"/>
      <c r="G3461" s="586"/>
      <c r="H3461" s="586"/>
    </row>
    <row r="3462" spans="1:8" s="429" customFormat="1" ht="8.25" customHeight="1">
      <c r="A3462" s="431"/>
      <c r="B3462" s="431"/>
      <c r="C3462" s="431"/>
      <c r="D3462" s="432"/>
      <c r="E3462" s="432"/>
      <c r="F3462" s="432"/>
      <c r="G3462" s="432"/>
      <c r="H3462" s="432"/>
    </row>
    <row r="3463" spans="1:8" s="429" customFormat="1" ht="11.25">
      <c r="A3463" s="431"/>
      <c r="B3463" s="431"/>
      <c r="C3463" s="431"/>
      <c r="D3463" s="432"/>
      <c r="E3463" s="432"/>
      <c r="F3463" s="432"/>
      <c r="G3463" s="432"/>
      <c r="H3463" s="432"/>
    </row>
    <row r="3464" spans="1:8" s="429" customFormat="1" ht="11.25">
      <c r="A3464" s="431"/>
      <c r="B3464" s="431"/>
      <c r="C3464" s="431"/>
      <c r="D3464" s="432"/>
      <c r="E3464" s="432"/>
      <c r="F3464" s="432"/>
      <c r="G3464" s="432"/>
      <c r="H3464" s="432"/>
    </row>
    <row r="3465" spans="1:8" s="429" customFormat="1" ht="11.25">
      <c r="A3465" s="431"/>
      <c r="B3465" s="431"/>
      <c r="C3465" s="431"/>
      <c r="D3465" s="432"/>
      <c r="E3465" s="432"/>
      <c r="F3465" s="432"/>
      <c r="G3465" s="432"/>
      <c r="H3465" s="432"/>
    </row>
    <row r="3466" spans="1:8" s="429" customFormat="1" ht="11.25">
      <c r="A3466" s="431"/>
      <c r="B3466" s="431"/>
      <c r="C3466" s="431"/>
      <c r="D3466" s="432"/>
      <c r="E3466" s="432"/>
      <c r="F3466" s="432"/>
      <c r="G3466" s="432"/>
      <c r="H3466" s="432"/>
    </row>
    <row r="3467" spans="1:8" s="429" customFormat="1" ht="11.25">
      <c r="A3467" s="431"/>
      <c r="B3467" s="431"/>
      <c r="C3467" s="431"/>
      <c r="D3467" s="432"/>
      <c r="E3467" s="432"/>
      <c r="F3467" s="432"/>
      <c r="G3467" s="432"/>
      <c r="H3467" s="432"/>
    </row>
    <row r="3468" spans="1:8" s="429" customFormat="1" ht="11.25">
      <c r="A3468" s="431"/>
      <c r="B3468" s="431"/>
      <c r="C3468" s="431"/>
      <c r="D3468" s="432"/>
      <c r="E3468" s="432"/>
      <c r="F3468" s="432"/>
      <c r="G3468" s="432"/>
      <c r="H3468" s="432"/>
    </row>
    <row r="3469" spans="1:8" s="429" customFormat="1" ht="11.25">
      <c r="A3469" s="431"/>
      <c r="B3469" s="431"/>
      <c r="C3469" s="431"/>
      <c r="D3469" s="432"/>
      <c r="E3469" s="432"/>
      <c r="F3469" s="432"/>
      <c r="G3469" s="432"/>
      <c r="H3469" s="432"/>
    </row>
    <row r="3470" spans="1:8" s="429" customFormat="1" ht="11.25">
      <c r="A3470" s="431"/>
      <c r="B3470" s="431"/>
      <c r="C3470" s="431"/>
      <c r="D3470" s="432"/>
      <c r="E3470" s="432"/>
      <c r="F3470" s="432"/>
      <c r="G3470" s="432"/>
      <c r="H3470" s="432"/>
    </row>
    <row r="3471" spans="1:8" s="429" customFormat="1" ht="11.25">
      <c r="A3471" s="431"/>
      <c r="B3471" s="431"/>
      <c r="C3471" s="431"/>
      <c r="D3471" s="432"/>
      <c r="E3471" s="432"/>
      <c r="F3471" s="432"/>
      <c r="G3471" s="432"/>
      <c r="H3471" s="432"/>
    </row>
    <row r="3472" spans="1:8" s="429" customFormat="1" ht="11.25">
      <c r="A3472" s="431"/>
      <c r="B3472" s="431"/>
      <c r="C3472" s="431"/>
      <c r="D3472" s="432"/>
      <c r="E3472" s="432"/>
      <c r="F3472" s="432"/>
      <c r="G3472" s="432"/>
      <c r="H3472" s="432"/>
    </row>
    <row r="3473" spans="1:8" s="429" customFormat="1" ht="11.25">
      <c r="A3473" s="431"/>
      <c r="B3473" s="431"/>
      <c r="C3473" s="431"/>
      <c r="D3473" s="432"/>
      <c r="E3473" s="432"/>
      <c r="F3473" s="432"/>
      <c r="G3473" s="432"/>
      <c r="H3473" s="432"/>
    </row>
    <row r="3474" spans="1:8" s="429" customFormat="1" ht="11.25">
      <c r="A3474" s="431"/>
      <c r="B3474" s="431"/>
      <c r="C3474" s="431"/>
      <c r="D3474" s="432"/>
      <c r="E3474" s="432"/>
      <c r="F3474" s="432"/>
      <c r="G3474" s="432"/>
      <c r="H3474" s="432"/>
    </row>
    <row r="3475" spans="1:8" s="429" customFormat="1" ht="11.25">
      <c r="A3475" s="431"/>
      <c r="B3475" s="431"/>
      <c r="C3475" s="431"/>
      <c r="D3475" s="432"/>
      <c r="E3475" s="432"/>
      <c r="F3475" s="432"/>
      <c r="G3475" s="432"/>
      <c r="H3475" s="432"/>
    </row>
    <row r="3476" spans="1:8" s="429" customFormat="1" ht="11.25">
      <c r="A3476" s="431"/>
      <c r="B3476" s="431"/>
      <c r="C3476" s="431"/>
      <c r="D3476" s="432"/>
      <c r="E3476" s="432"/>
      <c r="F3476" s="432"/>
      <c r="G3476" s="432"/>
      <c r="H3476" s="432"/>
    </row>
    <row r="3477" spans="1:8" s="429" customFormat="1" ht="11.25">
      <c r="A3477" s="431"/>
      <c r="B3477" s="431"/>
      <c r="C3477" s="431"/>
      <c r="D3477" s="432"/>
      <c r="E3477" s="432"/>
      <c r="F3477" s="432"/>
      <c r="G3477" s="432"/>
      <c r="H3477" s="432"/>
    </row>
    <row r="3478" spans="1:8" s="429" customFormat="1" ht="11.25">
      <c r="A3478" s="431"/>
      <c r="B3478" s="431"/>
      <c r="C3478" s="431"/>
      <c r="D3478" s="432"/>
      <c r="E3478" s="432"/>
      <c r="F3478" s="432"/>
      <c r="G3478" s="432"/>
      <c r="H3478" s="432"/>
    </row>
    <row r="3479" spans="1:8" s="429" customFormat="1" ht="11.25">
      <c r="A3479" s="431"/>
      <c r="B3479" s="431"/>
      <c r="C3479" s="431"/>
      <c r="D3479" s="432"/>
      <c r="E3479" s="432"/>
      <c r="F3479" s="432"/>
      <c r="G3479" s="432"/>
      <c r="H3479" s="432"/>
    </row>
    <row r="3480" spans="1:8" s="429" customFormat="1" ht="11.25">
      <c r="A3480" s="431"/>
      <c r="B3480" s="431"/>
      <c r="C3480" s="431"/>
      <c r="D3480" s="432"/>
      <c r="E3480" s="432"/>
      <c r="F3480" s="432"/>
      <c r="G3480" s="432"/>
      <c r="H3480" s="432"/>
    </row>
    <row r="3481" spans="1:8" s="429" customFormat="1" ht="11.25">
      <c r="A3481" s="431"/>
      <c r="B3481" s="431"/>
      <c r="C3481" s="431"/>
      <c r="D3481" s="432"/>
      <c r="E3481" s="432"/>
      <c r="F3481" s="432"/>
      <c r="G3481" s="432"/>
      <c r="H3481" s="432"/>
    </row>
    <row r="3482" spans="1:8" s="429" customFormat="1" ht="11.25">
      <c r="A3482" s="431"/>
      <c r="B3482" s="431"/>
      <c r="C3482" s="431"/>
      <c r="D3482" s="432"/>
      <c r="E3482" s="432"/>
      <c r="F3482" s="432"/>
      <c r="G3482" s="432"/>
      <c r="H3482" s="432"/>
    </row>
    <row r="3483" spans="1:8" s="429" customFormat="1" ht="11.25">
      <c r="A3483" s="431"/>
      <c r="B3483" s="431"/>
      <c r="C3483" s="431"/>
      <c r="D3483" s="432"/>
      <c r="E3483" s="432"/>
      <c r="F3483" s="432"/>
      <c r="G3483" s="432"/>
      <c r="H3483" s="432"/>
    </row>
    <row r="3484" spans="1:8" s="429" customFormat="1" ht="11.25">
      <c r="A3484" s="431"/>
      <c r="B3484" s="431"/>
      <c r="C3484" s="431"/>
      <c r="D3484" s="432"/>
      <c r="E3484" s="432"/>
      <c r="F3484" s="432"/>
      <c r="G3484" s="432"/>
      <c r="H3484" s="432"/>
    </row>
    <row r="3485" spans="1:8" s="429" customFormat="1" ht="11.25">
      <c r="A3485" s="431"/>
      <c r="B3485" s="431"/>
      <c r="C3485" s="431"/>
      <c r="D3485" s="432"/>
      <c r="E3485" s="432"/>
      <c r="F3485" s="432"/>
      <c r="G3485" s="432"/>
      <c r="H3485" s="432"/>
    </row>
    <row r="3486" spans="1:8" s="429" customFormat="1" ht="4.9000000000000004" customHeight="1">
      <c r="A3486" s="431"/>
      <c r="B3486" s="431"/>
      <c r="C3486" s="431"/>
      <c r="D3486" s="432"/>
      <c r="E3486" s="432"/>
      <c r="F3486" s="432"/>
      <c r="G3486" s="432"/>
      <c r="H3486" s="432"/>
    </row>
    <row r="3487" spans="1:8" s="429" customFormat="1" ht="11.25" customHeight="1">
      <c r="A3487" s="431"/>
      <c r="B3487" s="431"/>
      <c r="C3487" s="431"/>
      <c r="D3487" s="432"/>
      <c r="E3487" s="432"/>
      <c r="F3487" s="432"/>
      <c r="G3487" s="432"/>
      <c r="H3487" s="432"/>
    </row>
    <row r="3488" spans="1:8" s="429" customFormat="1" ht="3.75" hidden="1" customHeight="1">
      <c r="A3488" s="431"/>
      <c r="B3488" s="431"/>
      <c r="C3488" s="431"/>
      <c r="D3488" s="432"/>
      <c r="E3488" s="432"/>
      <c r="F3488" s="432"/>
      <c r="G3488" s="432"/>
      <c r="H3488" s="432"/>
    </row>
    <row r="3489" spans="1:8" s="429" customFormat="1" ht="20.25" hidden="1" customHeight="1">
      <c r="A3489" s="431"/>
      <c r="B3489" s="431"/>
      <c r="C3489" s="431"/>
      <c r="D3489" s="432"/>
      <c r="E3489" s="432"/>
      <c r="F3489" s="432"/>
      <c r="G3489" s="432"/>
      <c r="H3489" s="432"/>
    </row>
    <row r="3490" spans="1:8" s="422" customFormat="1" ht="54" hidden="1" customHeight="1"/>
    <row r="3491" spans="1:8" s="422" customFormat="1" ht="9" hidden="1" customHeight="1"/>
    <row r="3492" spans="1:8" s="422" customFormat="1" ht="11.25" customHeight="1">
      <c r="A3492" s="421" t="s">
        <v>591</v>
      </c>
      <c r="B3492" s="421"/>
      <c r="C3492" s="421"/>
    </row>
    <row r="3493" spans="1:8" s="429" customFormat="1" ht="11.25">
      <c r="A3493" s="428"/>
      <c r="B3493" s="428"/>
      <c r="C3493" s="428"/>
    </row>
    <row r="3494" spans="1:8" s="429" customFormat="1" ht="11.25">
      <c r="A3494" s="428"/>
      <c r="B3494" s="428"/>
      <c r="C3494" s="428"/>
    </row>
    <row r="3495" spans="1:8" s="429" customFormat="1" ht="11.25">
      <c r="A3495" s="428"/>
      <c r="B3495" s="428"/>
      <c r="C3495" s="428"/>
    </row>
    <row r="3496" spans="1:8" s="429" customFormat="1" ht="11.25">
      <c r="A3496" s="428"/>
      <c r="B3496" s="428"/>
      <c r="C3496" s="428"/>
    </row>
    <row r="3497" spans="1:8" s="429" customFormat="1" ht="11.25">
      <c r="A3497" s="428"/>
      <c r="B3497" s="428"/>
      <c r="C3497" s="428"/>
    </row>
    <row r="3498" spans="1:8" s="429" customFormat="1" ht="11.25">
      <c r="A3498" s="428"/>
      <c r="B3498" s="428"/>
      <c r="C3498" s="428"/>
    </row>
    <row r="3499" spans="1:8" s="429" customFormat="1" ht="11.25">
      <c r="A3499" s="428"/>
      <c r="B3499" s="428"/>
      <c r="C3499" s="428"/>
    </row>
    <row r="3500" spans="1:8" s="429" customFormat="1" ht="12" customHeight="1">
      <c r="A3500" s="428"/>
      <c r="B3500" s="428"/>
      <c r="C3500" s="428"/>
    </row>
    <row r="3501" spans="1:8" s="429" customFormat="1" ht="11.25" hidden="1">
      <c r="A3501" s="428"/>
      <c r="B3501" s="428"/>
      <c r="C3501" s="428"/>
    </row>
    <row r="3502" spans="1:8" s="429" customFormat="1" ht="11.25">
      <c r="A3502" s="428"/>
      <c r="B3502" s="428"/>
      <c r="C3502" s="428"/>
    </row>
    <row r="3503" spans="1:8" s="429" customFormat="1" ht="12" customHeight="1">
      <c r="A3503" s="428"/>
      <c r="B3503" s="428"/>
      <c r="C3503" s="428"/>
    </row>
    <row r="3504" spans="1:8" s="429" customFormat="1" ht="11.25" hidden="1">
      <c r="A3504" s="428"/>
      <c r="B3504" s="428"/>
      <c r="C3504" s="428"/>
    </row>
    <row r="3505" spans="1:8" s="429" customFormat="1" ht="11.25" hidden="1">
      <c r="A3505" s="428"/>
      <c r="B3505" s="428"/>
      <c r="C3505" s="428"/>
    </row>
    <row r="3506" spans="1:8" s="422" customFormat="1" ht="11.25" hidden="1"/>
    <row r="3507" spans="1:8" s="422" customFormat="1" ht="60.2" customHeight="1"/>
    <row r="3508" spans="1:8" s="422" customFormat="1" ht="10.9" customHeight="1">
      <c r="A3508" s="433" t="s">
        <v>592</v>
      </c>
      <c r="B3508" s="434"/>
      <c r="C3508" s="434"/>
      <c r="D3508" s="434"/>
      <c r="E3508" s="434"/>
      <c r="F3508" s="434"/>
      <c r="G3508" s="434"/>
      <c r="H3508" s="434"/>
    </row>
    <row r="3509" spans="1:8" s="429" customFormat="1" ht="4.5" customHeight="1">
      <c r="A3509" s="435"/>
      <c r="B3509" s="436"/>
      <c r="C3509" s="436"/>
      <c r="D3509" s="436"/>
      <c r="E3509" s="436"/>
      <c r="F3509" s="436"/>
      <c r="G3509" s="436"/>
      <c r="H3509" s="436"/>
    </row>
    <row r="3510" spans="1:8" s="429" customFormat="1" ht="11.25">
      <c r="A3510" s="435"/>
      <c r="B3510" s="436"/>
      <c r="C3510" s="436"/>
      <c r="D3510" s="436"/>
      <c r="E3510" s="436"/>
      <c r="F3510" s="436"/>
      <c r="G3510" s="436"/>
      <c r="H3510" s="436"/>
    </row>
    <row r="3511" spans="1:8" s="429" customFormat="1" ht="29.45" customHeight="1">
      <c r="A3511" s="435"/>
      <c r="B3511" s="436"/>
      <c r="C3511" s="436"/>
      <c r="D3511" s="436"/>
      <c r="E3511" s="436"/>
      <c r="F3511" s="436"/>
      <c r="G3511" s="436"/>
      <c r="H3511" s="436"/>
    </row>
    <row r="3512" spans="1:8" s="422" customFormat="1" ht="11.25" customHeight="1">
      <c r="A3512" s="437"/>
      <c r="B3512" s="437"/>
      <c r="C3512" s="437"/>
      <c r="D3512" s="437"/>
      <c r="E3512" s="437"/>
      <c r="F3512" s="437"/>
      <c r="G3512" s="437"/>
      <c r="H3512" s="437"/>
    </row>
    <row r="3513" spans="1:8" s="422" customFormat="1" ht="11.25" customHeight="1">
      <c r="A3513" s="421" t="s">
        <v>593</v>
      </c>
      <c r="B3513" s="421"/>
      <c r="C3513" s="421"/>
    </row>
    <row r="3514" spans="1:8" s="422" customFormat="1" ht="11.25">
      <c r="A3514" s="438"/>
      <c r="B3514" s="439" t="s">
        <v>132</v>
      </c>
      <c r="C3514" s="439" t="s">
        <v>473</v>
      </c>
      <c r="D3514" s="439" t="s">
        <v>474</v>
      </c>
      <c r="E3514" s="439" t="s">
        <v>375</v>
      </c>
      <c r="F3514" s="439" t="s">
        <v>9</v>
      </c>
      <c r="G3514" s="439" t="s">
        <v>131</v>
      </c>
      <c r="H3514" s="439" t="s">
        <v>424</v>
      </c>
    </row>
    <row r="3515" spans="1:8" s="422" customFormat="1" ht="11.25">
      <c r="A3515" s="439" t="s">
        <v>394</v>
      </c>
      <c r="B3515" s="438">
        <v>100356852.22000001</v>
      </c>
      <c r="C3515" s="438">
        <v>103084519.33999999</v>
      </c>
      <c r="D3515" s="438">
        <v>108865983.94999999</v>
      </c>
      <c r="E3515" s="438">
        <v>126166380.33</v>
      </c>
      <c r="F3515" s="438">
        <v>126337480.33</v>
      </c>
      <c r="G3515" s="438">
        <v>126584335.192</v>
      </c>
      <c r="H3515" s="438">
        <v>126612233.35699999</v>
      </c>
    </row>
    <row r="3516" spans="1:8" s="422" customFormat="1" ht="11.25">
      <c r="A3516" s="439" t="s">
        <v>395</v>
      </c>
      <c r="B3516" s="438">
        <v>-21633105.859999999</v>
      </c>
      <c r="C3516" s="438">
        <v>-23483168.350000001</v>
      </c>
      <c r="D3516" s="438">
        <v>-21947130.079999998</v>
      </c>
      <c r="E3516" s="438">
        <v>-29908598.84</v>
      </c>
      <c r="F3516" s="438">
        <v>-29908598.84</v>
      </c>
      <c r="G3516" s="438">
        <v>-29908598.84</v>
      </c>
      <c r="H3516" s="438">
        <v>-29908598.84</v>
      </c>
    </row>
    <row r="3517" spans="1:8" s="422" customFormat="1" ht="11.25">
      <c r="A3517" s="439" t="s">
        <v>396</v>
      </c>
      <c r="B3517" s="438">
        <v>78723746.360000014</v>
      </c>
      <c r="C3517" s="438">
        <v>79601350.98999998</v>
      </c>
      <c r="D3517" s="438">
        <v>86918853.86999999</v>
      </c>
      <c r="E3517" s="438">
        <v>96257781.489999995</v>
      </c>
      <c r="F3517" s="438">
        <v>96428881.489999995</v>
      </c>
      <c r="G3517" s="438">
        <v>96675736.351999998</v>
      </c>
      <c r="H3517" s="438">
        <v>96703634.51699999</v>
      </c>
    </row>
    <row r="3518" spans="1:8" s="442" customFormat="1" ht="11.25">
      <c r="A3518" s="440" t="s">
        <v>397</v>
      </c>
      <c r="B3518" s="441">
        <v>0.21556182145466654</v>
      </c>
      <c r="C3518" s="441">
        <v>0.22780499439053797</v>
      </c>
      <c r="D3518" s="441">
        <v>0.20159768261571848</v>
      </c>
      <c r="E3518" s="441">
        <v>0.23705680357771425</v>
      </c>
      <c r="F3518" s="441">
        <v>0.23673575539006478</v>
      </c>
      <c r="G3518" s="441">
        <v>0.2362740918505862</v>
      </c>
      <c r="H3518" s="441">
        <v>0.23622203042314827</v>
      </c>
    </row>
    <row r="3519" spans="1:8" s="422" customFormat="1" ht="11.25" customHeight="1"/>
    <row r="3520" spans="1:8" s="422" customFormat="1" ht="11.45" customHeight="1">
      <c r="A3520" s="443" t="s">
        <v>594</v>
      </c>
      <c r="B3520" s="443"/>
      <c r="C3520" s="444"/>
    </row>
    <row r="3521" spans="1:8" s="422" customFormat="1" ht="11.25">
      <c r="A3521" s="445" t="s">
        <v>595</v>
      </c>
      <c r="B3521" s="446"/>
      <c r="C3521" s="447"/>
      <c r="D3521" s="439" t="s">
        <v>474</v>
      </c>
      <c r="E3521" s="439" t="s">
        <v>375</v>
      </c>
      <c r="F3521" s="439" t="s">
        <v>9</v>
      </c>
      <c r="G3521" s="439" t="s">
        <v>131</v>
      </c>
      <c r="H3521" s="439" t="s">
        <v>424</v>
      </c>
    </row>
    <row r="3522" spans="1:8" s="422" customFormat="1" ht="11.25">
      <c r="A3522" s="448" t="s">
        <v>967</v>
      </c>
      <c r="B3522" s="449"/>
      <c r="C3522" s="449"/>
      <c r="D3522" s="488">
        <v>0.31</v>
      </c>
      <c r="E3522" s="488">
        <v>0.31</v>
      </c>
      <c r="F3522" s="488">
        <v>0.31</v>
      </c>
      <c r="G3522" s="488">
        <v>0.31</v>
      </c>
      <c r="H3522" s="488">
        <v>0.31</v>
      </c>
    </row>
    <row r="3523" spans="1:8" s="422" customFormat="1" ht="11.25">
      <c r="A3523" s="448" t="s">
        <v>968</v>
      </c>
      <c r="B3523" s="449"/>
      <c r="C3523" s="449"/>
      <c r="D3523" s="457">
        <v>0.25</v>
      </c>
      <c r="E3523" s="457">
        <v>0.25</v>
      </c>
      <c r="F3523" s="457">
        <v>0.25</v>
      </c>
      <c r="G3523" s="457">
        <v>0.25</v>
      </c>
      <c r="H3523" s="457">
        <v>0.25</v>
      </c>
    </row>
    <row r="3524" spans="1:8" s="422" customFormat="1" ht="11.25">
      <c r="A3524" s="448" t="s">
        <v>969</v>
      </c>
      <c r="B3524" s="449"/>
      <c r="C3524" s="449"/>
      <c r="D3524" s="458" t="s">
        <v>970</v>
      </c>
      <c r="E3524" s="458" t="s">
        <v>970</v>
      </c>
      <c r="F3524" s="458" t="s">
        <v>970</v>
      </c>
      <c r="G3524" s="458" t="s">
        <v>970</v>
      </c>
      <c r="H3524" s="458" t="s">
        <v>970</v>
      </c>
    </row>
    <row r="3525" spans="1:8" s="422" customFormat="1" ht="11.25" customHeight="1"/>
    <row r="3526" spans="1:8" s="422" customFormat="1" ht="11.25">
      <c r="A3526" s="421" t="s">
        <v>423</v>
      </c>
      <c r="B3526" s="421"/>
      <c r="C3526" s="421"/>
    </row>
    <row r="3527" spans="1:8" s="422" customFormat="1" ht="11.25">
      <c r="A3527" s="450"/>
      <c r="B3527" s="439" t="s">
        <v>132</v>
      </c>
      <c r="C3527" s="439" t="s">
        <v>473</v>
      </c>
      <c r="D3527" s="439" t="s">
        <v>474</v>
      </c>
      <c r="E3527" s="439" t="s">
        <v>375</v>
      </c>
      <c r="F3527" s="439" t="s">
        <v>9</v>
      </c>
      <c r="G3527" s="439" t="s">
        <v>131</v>
      </c>
      <c r="H3527" s="439" t="s">
        <v>424</v>
      </c>
    </row>
    <row r="3528" spans="1:8" s="422" customFormat="1" ht="11.25">
      <c r="A3528" s="451" t="s">
        <v>398</v>
      </c>
      <c r="B3528" s="438">
        <v>75099.399999999994</v>
      </c>
      <c r="C3528" s="438">
        <v>154954.5</v>
      </c>
      <c r="D3528" s="438">
        <v>950000</v>
      </c>
      <c r="E3528" s="438">
        <v>600000</v>
      </c>
      <c r="F3528" s="438">
        <v>1540000</v>
      </c>
      <c r="G3528" s="438">
        <v>1110000</v>
      </c>
      <c r="H3528" s="438">
        <v>340000</v>
      </c>
    </row>
    <row r="3529" spans="1:8" s="422" customFormat="1" ht="11.25">
      <c r="A3529" s="451" t="s">
        <v>399</v>
      </c>
      <c r="B3529" s="438">
        <v>0</v>
      </c>
      <c r="C3529" s="438">
        <v>0</v>
      </c>
      <c r="D3529" s="438">
        <v>0</v>
      </c>
      <c r="E3529" s="438">
        <v>0</v>
      </c>
      <c r="F3529" s="438">
        <v>0</v>
      </c>
      <c r="G3529" s="438">
        <v>0</v>
      </c>
      <c r="H3529" s="438">
        <v>0</v>
      </c>
    </row>
    <row r="3530" spans="1:8" s="422" customFormat="1" ht="11.25">
      <c r="A3530" s="451" t="s">
        <v>400</v>
      </c>
      <c r="B3530" s="438">
        <v>0</v>
      </c>
      <c r="C3530" s="438">
        <v>0</v>
      </c>
      <c r="D3530" s="438">
        <v>0</v>
      </c>
      <c r="E3530" s="438">
        <v>0</v>
      </c>
      <c r="F3530" s="438">
        <v>0</v>
      </c>
      <c r="G3530" s="438">
        <v>0</v>
      </c>
      <c r="H3530" s="438">
        <v>0</v>
      </c>
    </row>
    <row r="3531" spans="1:8" s="422" customFormat="1" ht="11.25">
      <c r="A3531" s="451" t="s">
        <v>401</v>
      </c>
      <c r="B3531" s="438">
        <v>75099.399999999994</v>
      </c>
      <c r="C3531" s="438">
        <v>154954.5</v>
      </c>
      <c r="D3531" s="438">
        <v>950000</v>
      </c>
      <c r="E3531" s="438">
        <v>600000</v>
      </c>
      <c r="F3531" s="438">
        <v>1540000</v>
      </c>
      <c r="G3531" s="438">
        <v>1110000</v>
      </c>
      <c r="H3531" s="438">
        <v>340000</v>
      </c>
    </row>
    <row r="3532" spans="1:8" s="422" customFormat="1" ht="11.25" customHeight="1"/>
    <row r="3533" spans="1:8" s="422" customFormat="1" ht="11.25" customHeight="1">
      <c r="A3533" s="421" t="s">
        <v>597</v>
      </c>
      <c r="B3533" s="421"/>
      <c r="C3533" s="421"/>
    </row>
    <row r="3534" spans="1:8" s="429" customFormat="1" ht="11.25">
      <c r="A3534" s="428"/>
      <c r="B3534" s="428"/>
      <c r="C3534" s="428"/>
    </row>
    <row r="3535" spans="1:8" s="429" customFormat="1" ht="11.25">
      <c r="A3535" s="428"/>
      <c r="B3535" s="428"/>
      <c r="C3535" s="428"/>
    </row>
    <row r="3536" spans="1:8" s="429" customFormat="1" ht="11.25">
      <c r="A3536" s="428"/>
      <c r="B3536" s="428"/>
      <c r="C3536" s="428"/>
    </row>
    <row r="3537" spans="1:8" s="429" customFormat="1" ht="11.25">
      <c r="A3537" s="428"/>
      <c r="B3537" s="428"/>
      <c r="C3537" s="428"/>
    </row>
    <row r="3538" spans="1:8" s="429" customFormat="1" ht="11.25">
      <c r="A3538" s="428"/>
      <c r="B3538" s="428"/>
      <c r="C3538" s="428"/>
    </row>
    <row r="3539" spans="1:8" s="429" customFormat="1" ht="11.25">
      <c r="A3539" s="428"/>
      <c r="B3539" s="428"/>
      <c r="C3539" s="428"/>
    </row>
    <row r="3540" spans="1:8" s="429" customFormat="1" ht="11.25" customHeight="1">
      <c r="A3540" s="428"/>
      <c r="B3540" s="428"/>
      <c r="C3540" s="428"/>
    </row>
    <row r="3541" spans="1:8" s="429" customFormat="1" ht="11.25" hidden="1">
      <c r="A3541" s="428"/>
      <c r="B3541" s="428"/>
      <c r="C3541" s="428"/>
    </row>
    <row r="3542" spans="1:8" s="429" customFormat="1" ht="11.25" hidden="1">
      <c r="A3542" s="428"/>
      <c r="B3542" s="428"/>
      <c r="C3542" s="428"/>
    </row>
    <row r="3543" spans="1:8" s="429" customFormat="1" ht="11.25" hidden="1">
      <c r="A3543" s="428"/>
      <c r="B3543" s="428"/>
      <c r="C3543" s="428"/>
    </row>
    <row r="3544" spans="1:8" s="422" customFormat="1" ht="11.25" hidden="1"/>
    <row r="3545" spans="1:8" s="422" customFormat="1" ht="18.75" hidden="1" customHeight="1"/>
    <row r="3546" spans="1:8" s="422" customFormat="1" ht="11.25" hidden="1"/>
    <row r="3547" spans="1:8" s="422" customFormat="1" ht="11.25"/>
    <row r="3548" spans="1:8" s="422" customFormat="1" ht="11.25">
      <c r="A3548" s="421" t="s">
        <v>598</v>
      </c>
      <c r="B3548" s="421"/>
      <c r="C3548" s="421"/>
    </row>
    <row r="3549" spans="1:8" s="422" customFormat="1" ht="11.25">
      <c r="A3549" s="452" t="s">
        <v>599</v>
      </c>
      <c r="B3549" s="447"/>
      <c r="C3549" s="447"/>
      <c r="D3549" s="447"/>
      <c r="E3549" s="439" t="s">
        <v>375</v>
      </c>
      <c r="F3549" s="439" t="s">
        <v>9</v>
      </c>
      <c r="G3549" s="439" t="s">
        <v>131</v>
      </c>
      <c r="H3549" s="439" t="s">
        <v>424</v>
      </c>
    </row>
    <row r="3550" spans="1:8" s="422" customFormat="1" ht="11.25">
      <c r="A3550" s="448"/>
      <c r="B3550" s="449"/>
      <c r="C3550" s="449"/>
      <c r="D3550" s="449"/>
      <c r="E3550" s="438">
        <v>0</v>
      </c>
      <c r="F3550" s="438">
        <v>0</v>
      </c>
      <c r="G3550" s="438">
        <v>0</v>
      </c>
      <c r="H3550" s="438">
        <v>0</v>
      </c>
    </row>
    <row r="3551" spans="1:8" s="422" customFormat="1" ht="11.25">
      <c r="A3551" s="448"/>
      <c r="B3551" s="449"/>
      <c r="C3551" s="449"/>
      <c r="D3551" s="449"/>
      <c r="E3551" s="438">
        <v>0</v>
      </c>
      <c r="F3551" s="438">
        <v>0</v>
      </c>
      <c r="G3551" s="438">
        <v>0</v>
      </c>
      <c r="H3551" s="438">
        <v>0</v>
      </c>
    </row>
    <row r="3552" spans="1:8" s="422" customFormat="1" ht="11.25">
      <c r="A3552" s="448"/>
      <c r="B3552" s="449"/>
      <c r="C3552" s="449"/>
      <c r="D3552" s="449"/>
      <c r="E3552" s="438">
        <v>0</v>
      </c>
      <c r="F3552" s="438">
        <v>0</v>
      </c>
      <c r="G3552" s="438">
        <v>0</v>
      </c>
      <c r="H3552" s="438">
        <v>0</v>
      </c>
    </row>
    <row r="3553" spans="1:8" s="422" customFormat="1" ht="11.25">
      <c r="A3553" s="448"/>
      <c r="B3553" s="449"/>
      <c r="C3553" s="449"/>
      <c r="D3553" s="449"/>
      <c r="E3553" s="438">
        <v>0</v>
      </c>
      <c r="F3553" s="438">
        <v>0</v>
      </c>
      <c r="G3553" s="438">
        <v>0</v>
      </c>
      <c r="H3553" s="438">
        <v>0</v>
      </c>
    </row>
    <row r="3554" spans="1:8" s="421" customFormat="1" ht="11.25">
      <c r="A3554" s="421" t="s">
        <v>391</v>
      </c>
      <c r="D3554" s="421" t="s">
        <v>472</v>
      </c>
    </row>
    <row r="3555" spans="1:8" s="422" customFormat="1" ht="11.25"/>
    <row r="3556" spans="1:8" s="421" customFormat="1" ht="11.25" customHeight="1">
      <c r="A3556" s="423" t="s">
        <v>392</v>
      </c>
      <c r="D3556" s="421" t="s">
        <v>150</v>
      </c>
    </row>
    <row r="3557" spans="1:8" s="421" customFormat="1" ht="11.25">
      <c r="A3557" s="423"/>
    </row>
    <row r="3558" spans="1:8" s="421" customFormat="1" ht="11.25">
      <c r="A3558" s="424" t="s">
        <v>393</v>
      </c>
      <c r="D3558" s="583" t="s">
        <v>32</v>
      </c>
      <c r="E3558" s="583"/>
      <c r="F3558" s="583"/>
      <c r="G3558" s="583"/>
      <c r="H3558" s="583"/>
    </row>
    <row r="3559" spans="1:8" s="421" customFormat="1" ht="11.25"/>
    <row r="3560" spans="1:8" s="422" customFormat="1" ht="11.25">
      <c r="A3560" s="421" t="s">
        <v>170</v>
      </c>
      <c r="B3560" s="421"/>
      <c r="C3560" s="421"/>
      <c r="D3560" s="422" t="s">
        <v>252</v>
      </c>
      <c r="E3560" s="422" t="s">
        <v>971</v>
      </c>
    </row>
    <row r="3561" spans="1:8" s="422" customFormat="1" ht="7.5" customHeight="1"/>
    <row r="3562" spans="1:8" s="427" customFormat="1" ht="11.25">
      <c r="A3562" s="425" t="s">
        <v>587</v>
      </c>
      <c r="B3562" s="425"/>
      <c r="C3562" s="425"/>
      <c r="D3562" s="426" t="s">
        <v>972</v>
      </c>
      <c r="E3562" s="584" t="s">
        <v>973</v>
      </c>
      <c r="F3562" s="584"/>
      <c r="G3562" s="584"/>
      <c r="H3562" s="584"/>
    </row>
    <row r="3563" spans="1:8" s="427" customFormat="1" ht="11.25">
      <c r="A3563" s="425"/>
      <c r="B3563" s="425"/>
      <c r="C3563" s="425"/>
      <c r="D3563" s="426" t="s">
        <v>974</v>
      </c>
      <c r="E3563" s="584" t="s">
        <v>975</v>
      </c>
      <c r="F3563" s="584"/>
      <c r="G3563" s="584"/>
      <c r="H3563" s="584"/>
    </row>
    <row r="3564" spans="1:8" s="427" customFormat="1" ht="11.25">
      <c r="A3564" s="425"/>
      <c r="B3564" s="425"/>
      <c r="C3564" s="425"/>
      <c r="D3564" s="426" t="s">
        <v>976</v>
      </c>
      <c r="E3564" s="584" t="s">
        <v>977</v>
      </c>
      <c r="F3564" s="584"/>
      <c r="G3564" s="584"/>
      <c r="H3564" s="584"/>
    </row>
    <row r="3565" spans="1:8" s="427" customFormat="1" ht="11.25">
      <c r="A3565" s="425"/>
      <c r="B3565" s="425"/>
      <c r="C3565" s="425"/>
      <c r="D3565" s="426"/>
      <c r="E3565" s="453"/>
      <c r="F3565" s="453"/>
      <c r="G3565" s="453"/>
      <c r="H3565" s="453"/>
    </row>
    <row r="3566" spans="1:8" s="422" customFormat="1" ht="11.25">
      <c r="A3566" s="421" t="s">
        <v>589</v>
      </c>
    </row>
    <row r="3567" spans="1:8" s="422" customFormat="1" ht="11.25"/>
    <row r="3568" spans="1:8" s="422" customFormat="1" ht="11.25"/>
    <row r="3569" spans="1:8" s="422" customFormat="1" ht="11.25"/>
    <row r="3570" spans="1:8" s="422" customFormat="1" ht="22.15" customHeight="1">
      <c r="A3570" s="421" t="s">
        <v>589</v>
      </c>
      <c r="B3570" s="421"/>
      <c r="C3570" s="421"/>
    </row>
    <row r="3571" spans="1:8" s="429" customFormat="1" ht="11.25">
      <c r="A3571" s="428"/>
      <c r="B3571" s="428"/>
      <c r="C3571" s="428"/>
    </row>
    <row r="3572" spans="1:8" s="429" customFormat="1" ht="22.5" customHeight="1">
      <c r="A3572" s="585" t="s">
        <v>590</v>
      </c>
      <c r="B3572" s="585"/>
      <c r="C3572" s="585"/>
      <c r="D3572" s="586"/>
      <c r="E3572" s="586"/>
      <c r="F3572" s="586"/>
      <c r="G3572" s="586"/>
      <c r="H3572" s="586"/>
    </row>
    <row r="3573" spans="1:8" s="429" customFormat="1" ht="11.25" hidden="1">
      <c r="A3573" s="428"/>
      <c r="B3573" s="428"/>
      <c r="C3573" s="428"/>
    </row>
    <row r="3574" spans="1:8" s="422" customFormat="1" ht="9" hidden="1" customHeight="1">
      <c r="A3574" s="430"/>
      <c r="B3574" s="430"/>
      <c r="C3574" s="430"/>
      <c r="D3574" s="430"/>
      <c r="E3574" s="430"/>
      <c r="F3574" s="430"/>
      <c r="G3574" s="430"/>
      <c r="H3574" s="430"/>
    </row>
    <row r="3575" spans="1:8" s="422" customFormat="1" ht="11.25" customHeight="1">
      <c r="A3575" s="585" t="s">
        <v>590</v>
      </c>
      <c r="B3575" s="585"/>
      <c r="C3575" s="585"/>
      <c r="D3575" s="586"/>
      <c r="E3575" s="586"/>
      <c r="F3575" s="586"/>
      <c r="G3575" s="586"/>
      <c r="H3575" s="586"/>
    </row>
    <row r="3576" spans="1:8" s="429" customFormat="1" ht="11.25">
      <c r="A3576" s="431"/>
      <c r="B3576" s="431"/>
      <c r="C3576" s="431"/>
      <c r="D3576" s="432"/>
      <c r="E3576" s="432"/>
      <c r="F3576" s="432"/>
      <c r="G3576" s="432"/>
      <c r="H3576" s="432"/>
    </row>
    <row r="3577" spans="1:8" s="429" customFormat="1" ht="11.25">
      <c r="A3577" s="431"/>
      <c r="B3577" s="431"/>
      <c r="C3577" s="431"/>
      <c r="D3577" s="432"/>
      <c r="E3577" s="432"/>
      <c r="F3577" s="432"/>
      <c r="G3577" s="432"/>
      <c r="H3577" s="432"/>
    </row>
    <row r="3578" spans="1:8" s="429" customFormat="1" ht="11.25">
      <c r="A3578" s="431"/>
      <c r="B3578" s="431"/>
      <c r="C3578" s="431"/>
      <c r="D3578" s="432"/>
      <c r="E3578" s="432"/>
      <c r="F3578" s="432"/>
      <c r="G3578" s="432"/>
      <c r="H3578" s="432"/>
    </row>
    <row r="3579" spans="1:8" s="429" customFormat="1" ht="11.25">
      <c r="A3579" s="431"/>
      <c r="B3579" s="431"/>
      <c r="C3579" s="431"/>
      <c r="D3579" s="432"/>
      <c r="E3579" s="432"/>
      <c r="F3579" s="432"/>
      <c r="G3579" s="432"/>
      <c r="H3579" s="432"/>
    </row>
    <row r="3580" spans="1:8" s="429" customFormat="1" ht="11.25">
      <c r="A3580" s="431"/>
      <c r="B3580" s="431"/>
      <c r="C3580" s="431"/>
      <c r="D3580" s="432"/>
      <c r="E3580" s="432"/>
      <c r="F3580" s="432"/>
      <c r="G3580" s="432"/>
      <c r="H3580" s="432"/>
    </row>
    <row r="3581" spans="1:8" s="429" customFormat="1" ht="11.25">
      <c r="A3581" s="431"/>
      <c r="B3581" s="431"/>
      <c r="C3581" s="431"/>
      <c r="D3581" s="432"/>
      <c r="E3581" s="432"/>
      <c r="F3581" s="432"/>
      <c r="G3581" s="432"/>
      <c r="H3581" s="432"/>
    </row>
    <row r="3582" spans="1:8" s="429" customFormat="1" ht="11.25">
      <c r="A3582" s="431"/>
      <c r="B3582" s="431"/>
      <c r="C3582" s="431"/>
      <c r="D3582" s="432"/>
      <c r="E3582" s="432"/>
      <c r="F3582" s="432"/>
      <c r="G3582" s="432"/>
      <c r="H3582" s="432"/>
    </row>
    <row r="3583" spans="1:8" s="429" customFormat="1" ht="11.25">
      <c r="A3583" s="431"/>
      <c r="B3583" s="431"/>
      <c r="C3583" s="431"/>
      <c r="D3583" s="432"/>
      <c r="E3583" s="432"/>
      <c r="F3583" s="432"/>
      <c r="G3583" s="432"/>
      <c r="H3583" s="432"/>
    </row>
    <row r="3584" spans="1:8" s="429" customFormat="1" ht="11.25">
      <c r="A3584" s="431"/>
      <c r="B3584" s="431"/>
      <c r="C3584" s="431"/>
      <c r="D3584" s="432"/>
      <c r="E3584" s="432"/>
      <c r="F3584" s="432"/>
      <c r="G3584" s="432"/>
      <c r="H3584" s="432"/>
    </row>
    <row r="3585" spans="1:8" s="429" customFormat="1" ht="11.25">
      <c r="A3585" s="431"/>
      <c r="B3585" s="431"/>
      <c r="C3585" s="431"/>
      <c r="D3585" s="432"/>
      <c r="E3585" s="432"/>
      <c r="F3585" s="432"/>
      <c r="G3585" s="432"/>
      <c r="H3585" s="432"/>
    </row>
    <row r="3586" spans="1:8" s="429" customFormat="1" ht="11.25">
      <c r="A3586" s="431"/>
      <c r="B3586" s="431"/>
      <c r="C3586" s="431"/>
      <c r="D3586" s="432"/>
      <c r="E3586" s="432"/>
      <c r="F3586" s="432"/>
      <c r="G3586" s="432"/>
      <c r="H3586" s="432"/>
    </row>
    <row r="3587" spans="1:8" s="429" customFormat="1" ht="11.25">
      <c r="A3587" s="431"/>
      <c r="B3587" s="431"/>
      <c r="C3587" s="431"/>
      <c r="D3587" s="432"/>
      <c r="E3587" s="432"/>
      <c r="F3587" s="432"/>
      <c r="G3587" s="432"/>
      <c r="H3587" s="432"/>
    </row>
    <row r="3588" spans="1:8" s="429" customFormat="1" ht="11.25">
      <c r="A3588" s="431"/>
      <c r="B3588" s="431"/>
      <c r="C3588" s="431"/>
      <c r="D3588" s="432"/>
      <c r="E3588" s="432"/>
      <c r="F3588" s="432"/>
      <c r="G3588" s="432"/>
      <c r="H3588" s="432"/>
    </row>
    <row r="3589" spans="1:8" s="429" customFormat="1" ht="11.25">
      <c r="A3589" s="431"/>
      <c r="B3589" s="431"/>
      <c r="C3589" s="431"/>
      <c r="D3589" s="432"/>
      <c r="E3589" s="432"/>
      <c r="F3589" s="432"/>
      <c r="G3589" s="432"/>
      <c r="H3589" s="432"/>
    </row>
    <row r="3590" spans="1:8" s="429" customFormat="1" ht="11.25">
      <c r="A3590" s="431"/>
      <c r="B3590" s="431"/>
      <c r="C3590" s="431"/>
      <c r="D3590" s="432"/>
      <c r="E3590" s="432"/>
      <c r="F3590" s="432"/>
      <c r="G3590" s="432"/>
      <c r="H3590" s="432"/>
    </row>
    <row r="3591" spans="1:8" s="429" customFormat="1" ht="11.25">
      <c r="A3591" s="431"/>
      <c r="B3591" s="431"/>
      <c r="C3591" s="431"/>
      <c r="D3591" s="432"/>
      <c r="E3591" s="432"/>
      <c r="F3591" s="432"/>
      <c r="G3591" s="432"/>
      <c r="H3591" s="432"/>
    </row>
    <row r="3592" spans="1:8" s="429" customFormat="1" ht="11.25">
      <c r="A3592" s="431"/>
      <c r="B3592" s="431"/>
      <c r="C3592" s="431"/>
      <c r="D3592" s="432"/>
      <c r="E3592" s="432"/>
      <c r="F3592" s="432"/>
      <c r="G3592" s="432"/>
      <c r="H3592" s="432"/>
    </row>
    <row r="3593" spans="1:8" s="429" customFormat="1" ht="11.25">
      <c r="A3593" s="431"/>
      <c r="B3593" s="431"/>
      <c r="C3593" s="431"/>
      <c r="D3593" s="432"/>
      <c r="E3593" s="432"/>
      <c r="F3593" s="432"/>
      <c r="G3593" s="432"/>
      <c r="H3593" s="432"/>
    </row>
    <row r="3594" spans="1:8" s="429" customFormat="1" ht="11.25">
      <c r="A3594" s="431"/>
      <c r="B3594" s="431"/>
      <c r="C3594" s="431"/>
      <c r="D3594" s="432"/>
      <c r="E3594" s="432"/>
      <c r="F3594" s="432"/>
      <c r="G3594" s="432"/>
      <c r="H3594" s="432"/>
    </row>
    <row r="3595" spans="1:8" s="429" customFormat="1" ht="11.25">
      <c r="A3595" s="431"/>
      <c r="B3595" s="431"/>
      <c r="C3595" s="431"/>
      <c r="D3595" s="432"/>
      <c r="E3595" s="432"/>
      <c r="F3595" s="432"/>
      <c r="G3595" s="432"/>
      <c r="H3595" s="432"/>
    </row>
    <row r="3596" spans="1:8" s="429" customFormat="1" ht="11.25">
      <c r="A3596" s="431"/>
      <c r="B3596" s="431"/>
      <c r="C3596" s="431"/>
      <c r="D3596" s="432"/>
      <c r="E3596" s="432"/>
      <c r="F3596" s="432"/>
      <c r="G3596" s="432"/>
      <c r="H3596" s="432"/>
    </row>
    <row r="3597" spans="1:8" s="429" customFormat="1" ht="11.25">
      <c r="A3597" s="431"/>
      <c r="B3597" s="431"/>
      <c r="C3597" s="431"/>
      <c r="D3597" s="432"/>
      <c r="E3597" s="432"/>
      <c r="F3597" s="432"/>
      <c r="G3597" s="432"/>
      <c r="H3597" s="432"/>
    </row>
    <row r="3598" spans="1:8" s="429" customFormat="1" ht="11.25">
      <c r="A3598" s="431"/>
      <c r="B3598" s="431"/>
      <c r="C3598" s="431"/>
      <c r="D3598" s="432"/>
      <c r="E3598" s="432"/>
      <c r="F3598" s="432"/>
      <c r="G3598" s="432"/>
      <c r="H3598" s="432"/>
    </row>
    <row r="3599" spans="1:8" s="429" customFormat="1" ht="11.25">
      <c r="A3599" s="431"/>
      <c r="B3599" s="431"/>
      <c r="C3599" s="431"/>
      <c r="D3599" s="432"/>
      <c r="E3599" s="432"/>
      <c r="F3599" s="432"/>
      <c r="G3599" s="432"/>
      <c r="H3599" s="432"/>
    </row>
    <row r="3600" spans="1:8" s="429" customFormat="1" ht="11.25">
      <c r="A3600" s="431"/>
      <c r="B3600" s="431"/>
      <c r="C3600" s="431"/>
      <c r="D3600" s="432"/>
      <c r="E3600" s="432"/>
      <c r="F3600" s="432"/>
      <c r="G3600" s="432"/>
      <c r="H3600" s="432"/>
    </row>
    <row r="3601" spans="1:8" s="429" customFormat="1" ht="11.25">
      <c r="A3601" s="431"/>
      <c r="B3601" s="431"/>
      <c r="C3601" s="431"/>
      <c r="D3601" s="432"/>
      <c r="E3601" s="432"/>
      <c r="F3601" s="432"/>
      <c r="G3601" s="432"/>
      <c r="H3601" s="432"/>
    </row>
    <row r="3602" spans="1:8" s="429" customFormat="1" ht="11.25">
      <c r="A3602" s="431"/>
      <c r="B3602" s="431"/>
      <c r="C3602" s="431"/>
      <c r="D3602" s="432"/>
      <c r="E3602" s="432"/>
      <c r="F3602" s="432"/>
      <c r="G3602" s="432"/>
      <c r="H3602" s="432"/>
    </row>
    <row r="3603" spans="1:8" s="429" customFormat="1" ht="11.25">
      <c r="A3603" s="431"/>
      <c r="B3603" s="431"/>
      <c r="C3603" s="431"/>
      <c r="D3603" s="432"/>
      <c r="E3603" s="432"/>
      <c r="F3603" s="432"/>
      <c r="G3603" s="432"/>
      <c r="H3603" s="432"/>
    </row>
    <row r="3604" spans="1:8" s="429" customFormat="1" ht="11.25">
      <c r="A3604" s="431"/>
      <c r="B3604" s="431"/>
      <c r="C3604" s="431"/>
      <c r="D3604" s="432"/>
      <c r="E3604" s="432"/>
      <c r="F3604" s="432"/>
      <c r="G3604" s="432"/>
      <c r="H3604" s="432"/>
    </row>
    <row r="3605" spans="1:8" s="429" customFormat="1" ht="11.25">
      <c r="A3605" s="431"/>
      <c r="B3605" s="431"/>
      <c r="C3605" s="431"/>
      <c r="D3605" s="432"/>
      <c r="E3605" s="432"/>
      <c r="F3605" s="432"/>
      <c r="G3605" s="432"/>
      <c r="H3605" s="432"/>
    </row>
    <row r="3606" spans="1:8" s="429" customFormat="1" ht="11.25">
      <c r="A3606" s="431"/>
      <c r="B3606" s="431"/>
      <c r="C3606" s="431"/>
      <c r="D3606" s="432"/>
      <c r="E3606" s="432"/>
      <c r="F3606" s="432"/>
      <c r="G3606" s="432"/>
      <c r="H3606" s="432"/>
    </row>
    <row r="3607" spans="1:8" s="429" customFormat="1" ht="11.25">
      <c r="A3607" s="431"/>
      <c r="B3607" s="431"/>
      <c r="C3607" s="431"/>
      <c r="D3607" s="432"/>
      <c r="E3607" s="432"/>
      <c r="F3607" s="432"/>
      <c r="G3607" s="432"/>
      <c r="H3607" s="432"/>
    </row>
    <row r="3608" spans="1:8" s="429" customFormat="1" ht="11.25">
      <c r="A3608" s="431"/>
      <c r="B3608" s="431"/>
      <c r="C3608" s="431"/>
      <c r="D3608" s="432"/>
      <c r="E3608" s="432"/>
      <c r="F3608" s="432"/>
      <c r="G3608" s="432"/>
      <c r="H3608" s="432"/>
    </row>
    <row r="3609" spans="1:8" s="429" customFormat="1" ht="11.25" customHeight="1">
      <c r="A3609" s="431"/>
      <c r="B3609" s="431"/>
      <c r="C3609" s="431"/>
      <c r="D3609" s="432"/>
      <c r="E3609" s="432"/>
      <c r="F3609" s="432"/>
      <c r="G3609" s="432"/>
      <c r="H3609" s="432"/>
    </row>
    <row r="3610" spans="1:8" s="429" customFormat="1" ht="11.25">
      <c r="A3610" s="421" t="s">
        <v>591</v>
      </c>
      <c r="B3610" s="431"/>
      <c r="C3610" s="431"/>
      <c r="D3610" s="432"/>
      <c r="E3610" s="432"/>
      <c r="F3610" s="432"/>
      <c r="G3610" s="432"/>
      <c r="H3610" s="432"/>
    </row>
    <row r="3611" spans="1:8" s="422" customFormat="1" ht="9" customHeight="1"/>
    <row r="3612" spans="1:8" s="422" customFormat="1" ht="11.25">
      <c r="A3612" s="421" t="s">
        <v>591</v>
      </c>
      <c r="B3612" s="421"/>
      <c r="C3612" s="421"/>
    </row>
    <row r="3613" spans="1:8" s="429" customFormat="1" ht="11.25">
      <c r="A3613" s="428"/>
      <c r="B3613" s="428"/>
      <c r="C3613" s="428"/>
    </row>
    <row r="3614" spans="1:8" s="429" customFormat="1" ht="11.25">
      <c r="A3614" s="428"/>
      <c r="B3614" s="428"/>
      <c r="C3614" s="428"/>
    </row>
    <row r="3615" spans="1:8" s="429" customFormat="1" ht="11.25">
      <c r="A3615" s="428"/>
      <c r="B3615" s="428"/>
      <c r="C3615" s="428"/>
    </row>
    <row r="3616" spans="1:8" s="429" customFormat="1" ht="11.25">
      <c r="A3616" s="428"/>
      <c r="B3616" s="428"/>
      <c r="C3616" s="428"/>
    </row>
    <row r="3617" spans="1:3" s="429" customFormat="1" ht="11.25">
      <c r="A3617" s="428"/>
      <c r="B3617" s="428"/>
      <c r="C3617" s="428"/>
    </row>
    <row r="3618" spans="1:3" s="429" customFormat="1" ht="11.25">
      <c r="A3618" s="428"/>
      <c r="B3618" s="428"/>
      <c r="C3618" s="428"/>
    </row>
    <row r="3619" spans="1:3" s="429" customFormat="1" ht="11.25">
      <c r="A3619" s="428"/>
      <c r="B3619" s="428"/>
      <c r="C3619" s="428"/>
    </row>
    <row r="3620" spans="1:3" s="429" customFormat="1" ht="11.25">
      <c r="A3620" s="428"/>
      <c r="B3620" s="428"/>
      <c r="C3620" s="428"/>
    </row>
    <row r="3621" spans="1:3" s="429" customFormat="1" ht="11.25">
      <c r="A3621" s="428"/>
      <c r="B3621" s="428"/>
      <c r="C3621" s="428"/>
    </row>
    <row r="3622" spans="1:3" s="429" customFormat="1" ht="11.25">
      <c r="A3622" s="428"/>
      <c r="B3622" s="428"/>
      <c r="C3622" s="428"/>
    </row>
    <row r="3623" spans="1:3" s="429" customFormat="1" ht="11.25">
      <c r="A3623" s="428"/>
      <c r="B3623" s="428"/>
      <c r="C3623" s="428"/>
    </row>
    <row r="3624" spans="1:3" s="429" customFormat="1" ht="11.25">
      <c r="A3624" s="428"/>
      <c r="B3624" s="428"/>
      <c r="C3624" s="428"/>
    </row>
    <row r="3625" spans="1:3" s="429" customFormat="1" ht="11.25">
      <c r="A3625" s="428"/>
      <c r="B3625" s="428"/>
      <c r="C3625" s="428"/>
    </row>
    <row r="3626" spans="1:3" s="429" customFormat="1" ht="11.25" customHeight="1">
      <c r="A3626" s="428"/>
      <c r="B3626" s="428"/>
      <c r="C3626" s="428"/>
    </row>
    <row r="3627" spans="1:3" s="429" customFormat="1" ht="11.25" hidden="1">
      <c r="A3627" s="428"/>
      <c r="B3627" s="428"/>
      <c r="C3627" s="428"/>
    </row>
    <row r="3628" spans="1:3" s="429" customFormat="1" ht="11.25" hidden="1">
      <c r="A3628" s="428"/>
      <c r="B3628" s="428"/>
      <c r="C3628" s="428"/>
    </row>
    <row r="3629" spans="1:3" s="429" customFormat="1" ht="11.25" hidden="1">
      <c r="A3629" s="428"/>
      <c r="B3629" s="428"/>
      <c r="C3629" s="428"/>
    </row>
    <row r="3630" spans="1:3" s="429" customFormat="1" ht="11.25" hidden="1">
      <c r="A3630" s="428"/>
      <c r="B3630" s="428"/>
      <c r="C3630" s="428"/>
    </row>
    <row r="3631" spans="1:3" s="429" customFormat="1" ht="11.25" hidden="1">
      <c r="A3631" s="428"/>
      <c r="B3631" s="428"/>
      <c r="C3631" s="428"/>
    </row>
    <row r="3632" spans="1:3" s="429" customFormat="1" ht="11.25" hidden="1">
      <c r="A3632" s="428"/>
      <c r="B3632" s="428"/>
      <c r="C3632" s="428"/>
    </row>
    <row r="3633" spans="1:8" s="429" customFormat="1" ht="11.25" hidden="1">
      <c r="A3633" s="428"/>
      <c r="B3633" s="428"/>
      <c r="C3633" s="428"/>
    </row>
    <row r="3634" spans="1:8" s="429" customFormat="1" ht="11.25" hidden="1">
      <c r="A3634" s="428"/>
      <c r="B3634" s="428"/>
      <c r="C3634" s="428"/>
    </row>
    <row r="3635" spans="1:8" s="429" customFormat="1" ht="11.25" hidden="1">
      <c r="A3635" s="428"/>
      <c r="B3635" s="428"/>
      <c r="C3635" s="428"/>
    </row>
    <row r="3636" spans="1:8" s="429" customFormat="1" ht="11.25">
      <c r="A3636" s="433" t="s">
        <v>592</v>
      </c>
      <c r="B3636" s="428"/>
      <c r="C3636" s="428"/>
    </row>
    <row r="3637" spans="1:8" s="422" customFormat="1" ht="10.5" customHeight="1"/>
    <row r="3638" spans="1:8" s="422" customFormat="1" ht="10.5" customHeight="1"/>
    <row r="3639" spans="1:8" s="422" customFormat="1" ht="10.5" customHeight="1"/>
    <row r="3640" spans="1:8" s="422" customFormat="1" ht="10.5" customHeight="1"/>
    <row r="3641" spans="1:8" s="422" customFormat="1" ht="11.25" customHeight="1">
      <c r="A3641" s="433" t="s">
        <v>592</v>
      </c>
      <c r="B3641" s="434"/>
      <c r="C3641" s="434"/>
      <c r="D3641" s="434"/>
      <c r="E3641" s="434"/>
      <c r="F3641" s="434"/>
      <c r="G3641" s="434"/>
      <c r="H3641" s="434"/>
    </row>
    <row r="3642" spans="1:8" s="429" customFormat="1" ht="11.25" customHeight="1">
      <c r="A3642" s="435"/>
      <c r="B3642" s="436"/>
      <c r="C3642" s="436"/>
      <c r="D3642" s="436"/>
      <c r="E3642" s="436"/>
      <c r="F3642" s="436"/>
      <c r="G3642" s="436"/>
      <c r="H3642" s="436"/>
    </row>
    <row r="3643" spans="1:8" s="429" customFormat="1" ht="10.5" hidden="1" customHeight="1">
      <c r="A3643" s="435"/>
      <c r="B3643" s="436"/>
      <c r="C3643" s="436"/>
      <c r="D3643" s="436"/>
      <c r="E3643" s="436"/>
      <c r="F3643" s="436"/>
      <c r="G3643" s="436"/>
      <c r="H3643" s="436"/>
    </row>
    <row r="3644" spans="1:8" s="422" customFormat="1" ht="11.25" customHeight="1">
      <c r="A3644" s="421" t="s">
        <v>593</v>
      </c>
      <c r="B3644" s="421"/>
      <c r="C3644" s="421"/>
    </row>
    <row r="3645" spans="1:8" s="422" customFormat="1" ht="11.25">
      <c r="A3645" s="438"/>
      <c r="B3645" s="439" t="s">
        <v>132</v>
      </c>
      <c r="C3645" s="439" t="s">
        <v>473</v>
      </c>
      <c r="D3645" s="439" t="s">
        <v>474</v>
      </c>
      <c r="E3645" s="439" t="s">
        <v>375</v>
      </c>
      <c r="F3645" s="439" t="s">
        <v>9</v>
      </c>
      <c r="G3645" s="439" t="s">
        <v>131</v>
      </c>
      <c r="H3645" s="439" t="s">
        <v>424</v>
      </c>
    </row>
    <row r="3646" spans="1:8" s="422" customFormat="1" ht="11.25">
      <c r="A3646" s="439" t="s">
        <v>394</v>
      </c>
      <c r="B3646" s="438">
        <v>16177768.089999998</v>
      </c>
      <c r="C3646" s="438">
        <v>16253036.050000001</v>
      </c>
      <c r="D3646" s="438">
        <v>17010880.18</v>
      </c>
      <c r="E3646" s="438">
        <v>15976414.665000001</v>
      </c>
      <c r="F3646" s="438">
        <v>15976414.665000001</v>
      </c>
      <c r="G3646" s="438">
        <v>16417274.417000001</v>
      </c>
      <c r="H3646" s="438">
        <v>16461152.967</v>
      </c>
    </row>
    <row r="3647" spans="1:8" s="422" customFormat="1" ht="11.25">
      <c r="A3647" s="439" t="s">
        <v>395</v>
      </c>
      <c r="B3647" s="438">
        <v>-9494976.75</v>
      </c>
      <c r="C3647" s="438">
        <v>-9514459.0099999998</v>
      </c>
      <c r="D3647" s="438">
        <v>-15040054</v>
      </c>
      <c r="E3647" s="438">
        <v>-13917973</v>
      </c>
      <c r="F3647" s="438">
        <v>-13917973</v>
      </c>
      <c r="G3647" s="438">
        <v>-14235973</v>
      </c>
      <c r="H3647" s="438">
        <v>-14235973</v>
      </c>
    </row>
    <row r="3648" spans="1:8" s="422" customFormat="1" ht="11.25">
      <c r="A3648" s="439" t="s">
        <v>396</v>
      </c>
      <c r="B3648" s="438">
        <v>6682791.339999998</v>
      </c>
      <c r="C3648" s="438">
        <v>6738577.040000001</v>
      </c>
      <c r="D3648" s="438">
        <v>1970826.1799999997</v>
      </c>
      <c r="E3648" s="438">
        <v>2058441.665000001</v>
      </c>
      <c r="F3648" s="438">
        <v>2058441.665000001</v>
      </c>
      <c r="G3648" s="438">
        <v>2181301.4170000013</v>
      </c>
      <c r="H3648" s="438">
        <v>2225179.9670000002</v>
      </c>
    </row>
    <row r="3649" spans="1:8" s="442" customFormat="1" ht="11.25">
      <c r="A3649" s="440" t="s">
        <v>397</v>
      </c>
      <c r="B3649" s="441">
        <v>0.58691512309841753</v>
      </c>
      <c r="C3649" s="441">
        <v>0.58539579809767295</v>
      </c>
      <c r="D3649" s="441">
        <v>0.8841431978154114</v>
      </c>
      <c r="E3649" s="441">
        <v>0.87115747129989751</v>
      </c>
      <c r="F3649" s="441">
        <v>0.87115747129989751</v>
      </c>
      <c r="G3649" s="441">
        <v>0.86713376644656226</v>
      </c>
      <c r="H3649" s="441">
        <v>0.86482235044769573</v>
      </c>
    </row>
    <row r="3650" spans="1:8" s="422" customFormat="1" ht="11.25" customHeight="1"/>
    <row r="3651" spans="1:8" s="422" customFormat="1" ht="11.25">
      <c r="A3651" s="443" t="s">
        <v>594</v>
      </c>
      <c r="B3651" s="443"/>
      <c r="C3651" s="444"/>
    </row>
    <row r="3652" spans="1:8" s="422" customFormat="1" ht="11.25">
      <c r="A3652" s="445" t="s">
        <v>595</v>
      </c>
      <c r="B3652" s="446"/>
      <c r="C3652" s="447"/>
      <c r="D3652" s="439" t="s">
        <v>474</v>
      </c>
      <c r="E3652" s="439" t="s">
        <v>375</v>
      </c>
      <c r="F3652" s="439" t="s">
        <v>9</v>
      </c>
      <c r="G3652" s="439" t="s">
        <v>131</v>
      </c>
      <c r="H3652" s="439" t="s">
        <v>424</v>
      </c>
    </row>
    <row r="3653" spans="1:8" s="422" customFormat="1" ht="21.75" customHeight="1">
      <c r="A3653" s="597" t="s">
        <v>978</v>
      </c>
      <c r="B3653" s="598"/>
      <c r="C3653" s="599"/>
      <c r="D3653" s="491">
        <v>0.8</v>
      </c>
      <c r="E3653" s="491">
        <v>0.8</v>
      </c>
      <c r="F3653" s="491">
        <v>0.8</v>
      </c>
      <c r="G3653" s="491">
        <v>0.8</v>
      </c>
      <c r="H3653" s="491">
        <v>0.8</v>
      </c>
    </row>
    <row r="3654" spans="1:8" s="422" customFormat="1" ht="21.75" customHeight="1">
      <c r="A3654" s="597" t="s">
        <v>979</v>
      </c>
      <c r="B3654" s="598"/>
      <c r="C3654" s="599"/>
      <c r="D3654" s="491">
        <v>0.32</v>
      </c>
      <c r="E3654" s="491">
        <v>0.32</v>
      </c>
      <c r="F3654" s="491">
        <v>0.32</v>
      </c>
      <c r="G3654" s="491">
        <v>0.32</v>
      </c>
      <c r="H3654" s="491">
        <v>0.32</v>
      </c>
    </row>
    <row r="3655" spans="1:8" s="422" customFormat="1" ht="11.25">
      <c r="A3655" s="597" t="s">
        <v>980</v>
      </c>
      <c r="B3655" s="598"/>
      <c r="C3655" s="599"/>
      <c r="D3655" s="465" t="s">
        <v>981</v>
      </c>
      <c r="E3655" s="465" t="s">
        <v>981</v>
      </c>
      <c r="F3655" s="465" t="s">
        <v>981</v>
      </c>
      <c r="G3655" s="465" t="s">
        <v>981</v>
      </c>
      <c r="H3655" s="465" t="s">
        <v>981</v>
      </c>
    </row>
    <row r="3656" spans="1:8" s="422" customFormat="1" ht="11.25" customHeight="1"/>
    <row r="3657" spans="1:8" s="422" customFormat="1" ht="11.25">
      <c r="A3657" s="421" t="s">
        <v>423</v>
      </c>
      <c r="B3657" s="421"/>
      <c r="C3657" s="421"/>
    </row>
    <row r="3658" spans="1:8" s="422" customFormat="1" ht="11.25">
      <c r="A3658" s="450"/>
      <c r="B3658" s="439" t="s">
        <v>132</v>
      </c>
      <c r="C3658" s="439" t="s">
        <v>473</v>
      </c>
      <c r="D3658" s="439" t="s">
        <v>474</v>
      </c>
      <c r="E3658" s="439" t="s">
        <v>375</v>
      </c>
      <c r="F3658" s="439" t="s">
        <v>9</v>
      </c>
      <c r="G3658" s="439" t="s">
        <v>131</v>
      </c>
      <c r="H3658" s="439" t="s">
        <v>424</v>
      </c>
    </row>
    <row r="3659" spans="1:8" s="422" customFormat="1" ht="11.25">
      <c r="A3659" s="451" t="s">
        <v>398</v>
      </c>
      <c r="B3659" s="438">
        <v>95349.1</v>
      </c>
      <c r="C3659" s="438">
        <v>0</v>
      </c>
      <c r="D3659" s="438">
        <v>0</v>
      </c>
      <c r="E3659" s="438">
        <v>0</v>
      </c>
      <c r="F3659" s="438">
        <v>0</v>
      </c>
      <c r="G3659" s="438">
        <v>0</v>
      </c>
      <c r="H3659" s="438">
        <v>0</v>
      </c>
    </row>
    <row r="3660" spans="1:8" s="422" customFormat="1" ht="11.25">
      <c r="A3660" s="451" t="s">
        <v>399</v>
      </c>
      <c r="B3660" s="438">
        <v>0</v>
      </c>
      <c r="C3660" s="438">
        <v>0</v>
      </c>
      <c r="D3660" s="438">
        <v>0</v>
      </c>
      <c r="E3660" s="438">
        <v>0</v>
      </c>
      <c r="F3660" s="438">
        <v>0</v>
      </c>
      <c r="G3660" s="438">
        <v>0</v>
      </c>
      <c r="H3660" s="438">
        <v>0</v>
      </c>
    </row>
    <row r="3661" spans="1:8" s="422" customFormat="1" ht="11.25">
      <c r="A3661" s="451" t="s">
        <v>400</v>
      </c>
      <c r="B3661" s="438">
        <v>-113318.3</v>
      </c>
      <c r="C3661" s="438">
        <v>0</v>
      </c>
      <c r="D3661" s="438">
        <v>0</v>
      </c>
      <c r="E3661" s="438">
        <v>0</v>
      </c>
      <c r="F3661" s="438">
        <v>0</v>
      </c>
      <c r="G3661" s="438">
        <v>0</v>
      </c>
      <c r="H3661" s="438">
        <v>0</v>
      </c>
    </row>
    <row r="3662" spans="1:8" s="422" customFormat="1" ht="11.25">
      <c r="A3662" s="451" t="s">
        <v>401</v>
      </c>
      <c r="B3662" s="438">
        <v>-17969.199999999997</v>
      </c>
      <c r="C3662" s="438">
        <v>0</v>
      </c>
      <c r="D3662" s="438">
        <v>0</v>
      </c>
      <c r="E3662" s="438">
        <v>0</v>
      </c>
      <c r="F3662" s="438">
        <v>0</v>
      </c>
      <c r="G3662" s="438">
        <v>0</v>
      </c>
      <c r="H3662" s="438">
        <v>0</v>
      </c>
    </row>
    <row r="3663" spans="1:8" s="422" customFormat="1" ht="11.25" customHeight="1"/>
    <row r="3664" spans="1:8" s="422" customFormat="1" ht="11.25">
      <c r="A3664" s="421" t="s">
        <v>597</v>
      </c>
      <c r="B3664" s="421"/>
      <c r="C3664" s="421"/>
    </row>
    <row r="3665" spans="1:8" s="429" customFormat="1" ht="11.25">
      <c r="A3665" s="492"/>
      <c r="B3665" s="428"/>
      <c r="C3665" s="428"/>
    </row>
    <row r="3666" spans="1:8" s="429" customFormat="1" ht="11.25" customHeight="1">
      <c r="A3666" s="428"/>
      <c r="B3666" s="428"/>
      <c r="C3666" s="428"/>
    </row>
    <row r="3667" spans="1:8" s="422" customFormat="1" ht="11.25" customHeight="1"/>
    <row r="3668" spans="1:8" s="422" customFormat="1" ht="11.25">
      <c r="A3668" s="421" t="s">
        <v>598</v>
      </c>
      <c r="B3668" s="421"/>
      <c r="C3668" s="421"/>
    </row>
    <row r="3669" spans="1:8" s="422" customFormat="1" ht="11.25">
      <c r="A3669" s="452" t="s">
        <v>599</v>
      </c>
      <c r="B3669" s="447"/>
      <c r="C3669" s="447"/>
      <c r="D3669" s="447"/>
      <c r="E3669" s="439" t="s">
        <v>375</v>
      </c>
      <c r="F3669" s="439" t="s">
        <v>9</v>
      </c>
      <c r="G3669" s="439" t="s">
        <v>131</v>
      </c>
      <c r="H3669" s="439" t="s">
        <v>424</v>
      </c>
    </row>
    <row r="3670" spans="1:8" s="422" customFormat="1" ht="11.25">
      <c r="A3670" s="448" t="s">
        <v>982</v>
      </c>
      <c r="B3670" s="449"/>
      <c r="C3670" s="449"/>
      <c r="D3670" s="449"/>
      <c r="E3670" s="438">
        <v>0</v>
      </c>
      <c r="F3670" s="438">
        <v>0</v>
      </c>
      <c r="G3670" s="438">
        <v>-0.38399999996181577</v>
      </c>
      <c r="H3670" s="438">
        <v>-0.45400000002700835</v>
      </c>
    </row>
    <row r="3671" spans="1:8" s="422" customFormat="1" ht="11.25">
      <c r="A3671" s="448"/>
      <c r="B3671" s="449"/>
      <c r="C3671" s="449"/>
      <c r="D3671" s="449"/>
      <c r="E3671" s="438">
        <v>0</v>
      </c>
      <c r="F3671" s="438">
        <v>0</v>
      </c>
      <c r="G3671" s="438">
        <v>0</v>
      </c>
      <c r="H3671" s="438">
        <v>0</v>
      </c>
    </row>
    <row r="3672" spans="1:8" s="422" customFormat="1" ht="11.25">
      <c r="A3672" s="448"/>
      <c r="B3672" s="449"/>
      <c r="C3672" s="449"/>
      <c r="D3672" s="449"/>
      <c r="E3672" s="438">
        <v>0</v>
      </c>
      <c r="F3672" s="438">
        <v>0</v>
      </c>
      <c r="G3672" s="438">
        <v>0</v>
      </c>
      <c r="H3672" s="438">
        <v>0</v>
      </c>
    </row>
    <row r="3673" spans="1:8" s="421" customFormat="1" ht="11.25">
      <c r="A3673" s="421" t="s">
        <v>391</v>
      </c>
      <c r="D3673" s="421" t="s">
        <v>472</v>
      </c>
    </row>
    <row r="3674" spans="1:8" s="422" customFormat="1" ht="11.25"/>
    <row r="3675" spans="1:8" s="421" customFormat="1" ht="11.25" customHeight="1">
      <c r="A3675" s="423" t="s">
        <v>392</v>
      </c>
      <c r="D3675" s="421" t="s">
        <v>150</v>
      </c>
    </row>
    <row r="3676" spans="1:8" s="421" customFormat="1" ht="7.5" customHeight="1">
      <c r="A3676" s="423"/>
    </row>
    <row r="3677" spans="1:8" s="421" customFormat="1" ht="11.25">
      <c r="A3677" s="424" t="s">
        <v>393</v>
      </c>
      <c r="D3677" s="583" t="s">
        <v>151</v>
      </c>
      <c r="E3677" s="583"/>
      <c r="F3677" s="583"/>
      <c r="G3677" s="583"/>
      <c r="H3677" s="583"/>
    </row>
    <row r="3678" spans="1:8" s="421" customFormat="1" ht="7.5" customHeight="1"/>
    <row r="3679" spans="1:8" s="422" customFormat="1" ht="11.25">
      <c r="A3679" s="421" t="s">
        <v>170</v>
      </c>
      <c r="B3679" s="421"/>
      <c r="C3679" s="421"/>
      <c r="D3679" s="422" t="s">
        <v>254</v>
      </c>
      <c r="E3679" s="422" t="s">
        <v>255</v>
      </c>
    </row>
    <row r="3680" spans="1:8" s="422" customFormat="1" ht="7.5" customHeight="1"/>
    <row r="3681" spans="1:8" s="427" customFormat="1" ht="11.25">
      <c r="A3681" s="425" t="s">
        <v>587</v>
      </c>
      <c r="B3681" s="425"/>
      <c r="C3681" s="425"/>
      <c r="D3681" s="426" t="s">
        <v>983</v>
      </c>
      <c r="E3681" s="584" t="s">
        <v>984</v>
      </c>
      <c r="F3681" s="584"/>
      <c r="G3681" s="584"/>
      <c r="H3681" s="584"/>
    </row>
    <row r="3682" spans="1:8" s="427" customFormat="1" ht="11.25" customHeight="1">
      <c r="A3682" s="425"/>
      <c r="B3682" s="425"/>
      <c r="C3682" s="425"/>
      <c r="D3682" s="426" t="s">
        <v>985</v>
      </c>
      <c r="E3682" s="584" t="s">
        <v>986</v>
      </c>
      <c r="F3682" s="584"/>
      <c r="G3682" s="584"/>
      <c r="H3682" s="584"/>
    </row>
    <row r="3683" spans="1:8" s="427" customFormat="1" ht="11.25">
      <c r="A3683" s="425"/>
      <c r="B3683" s="425"/>
      <c r="C3683" s="425"/>
      <c r="D3683" s="426" t="s">
        <v>987</v>
      </c>
      <c r="E3683" s="584" t="s">
        <v>988</v>
      </c>
      <c r="F3683" s="584"/>
      <c r="G3683" s="584"/>
      <c r="H3683" s="584"/>
    </row>
    <row r="3684" spans="1:8" s="427" customFormat="1" ht="11.25">
      <c r="A3684" s="425"/>
      <c r="B3684" s="425"/>
      <c r="C3684" s="425"/>
      <c r="D3684" s="426" t="s">
        <v>989</v>
      </c>
      <c r="E3684" s="584" t="s">
        <v>990</v>
      </c>
      <c r="F3684" s="584"/>
      <c r="G3684" s="584"/>
      <c r="H3684" s="584"/>
    </row>
    <row r="3685" spans="1:8" s="427" customFormat="1" ht="11.25">
      <c r="A3685" s="425"/>
      <c r="B3685" s="425"/>
      <c r="C3685" s="425"/>
      <c r="D3685" s="426" t="s">
        <v>991</v>
      </c>
      <c r="E3685" s="584" t="s">
        <v>992</v>
      </c>
      <c r="F3685" s="584"/>
      <c r="G3685" s="584"/>
      <c r="H3685" s="584"/>
    </row>
    <row r="3686" spans="1:8" s="427" customFormat="1" ht="11.25">
      <c r="A3686" s="425"/>
      <c r="B3686" s="425"/>
      <c r="C3686" s="425"/>
      <c r="D3686" s="426"/>
      <c r="E3686" s="584"/>
      <c r="F3686" s="584"/>
      <c r="G3686" s="584"/>
      <c r="H3686" s="584"/>
    </row>
    <row r="3687" spans="1:8" s="427" customFormat="1" ht="11.25"/>
    <row r="3688" spans="1:8" s="422" customFormat="1" ht="11.25"/>
    <row r="3689" spans="1:8" s="422" customFormat="1" ht="11.25">
      <c r="A3689" s="421" t="s">
        <v>589</v>
      </c>
      <c r="B3689" s="421"/>
      <c r="C3689" s="421"/>
    </row>
    <row r="3690" spans="1:8" s="429" customFormat="1" ht="11.25">
      <c r="A3690" s="428"/>
      <c r="B3690" s="428"/>
      <c r="C3690" s="428"/>
    </row>
    <row r="3691" spans="1:8" s="429" customFormat="1" ht="11.25">
      <c r="A3691" s="428"/>
      <c r="B3691" s="428"/>
      <c r="C3691" s="428"/>
    </row>
    <row r="3692" spans="1:8" s="429" customFormat="1" ht="22.15" customHeight="1">
      <c r="A3692" s="428"/>
      <c r="B3692" s="428"/>
      <c r="C3692" s="428"/>
    </row>
    <row r="3693" spans="1:8" s="422" customFormat="1" ht="11.25" customHeight="1">
      <c r="A3693" s="430"/>
      <c r="B3693" s="430"/>
      <c r="C3693" s="430"/>
      <c r="D3693" s="430"/>
      <c r="E3693" s="430"/>
      <c r="F3693" s="430"/>
      <c r="G3693" s="430"/>
      <c r="H3693" s="430"/>
    </row>
    <row r="3694" spans="1:8" s="422" customFormat="1" ht="22.5" customHeight="1">
      <c r="A3694" s="585" t="s">
        <v>590</v>
      </c>
      <c r="B3694" s="585"/>
      <c r="C3694" s="585"/>
      <c r="D3694" s="586"/>
      <c r="E3694" s="586"/>
      <c r="F3694" s="586"/>
      <c r="G3694" s="586"/>
      <c r="H3694" s="586"/>
    </row>
    <row r="3695" spans="1:8" s="429" customFormat="1" ht="11.25">
      <c r="A3695" s="431"/>
      <c r="B3695" s="431"/>
      <c r="C3695" s="431"/>
      <c r="D3695" s="432"/>
      <c r="E3695" s="432"/>
      <c r="F3695" s="432"/>
      <c r="G3695" s="432"/>
      <c r="H3695" s="432"/>
    </row>
    <row r="3696" spans="1:8" s="429" customFormat="1" ht="11.25">
      <c r="A3696" s="431"/>
      <c r="B3696" s="431"/>
      <c r="C3696" s="431"/>
      <c r="D3696" s="432"/>
      <c r="E3696" s="432"/>
      <c r="F3696" s="432"/>
      <c r="G3696" s="432"/>
      <c r="H3696" s="432"/>
    </row>
    <row r="3697" spans="1:8" s="429" customFormat="1" ht="11.25">
      <c r="A3697" s="431"/>
      <c r="B3697" s="431"/>
      <c r="C3697" s="431"/>
      <c r="D3697" s="432"/>
      <c r="E3697" s="432"/>
      <c r="F3697" s="432"/>
      <c r="G3697" s="432"/>
      <c r="H3697" s="432"/>
    </row>
    <row r="3698" spans="1:8" s="429" customFormat="1" ht="11.25">
      <c r="A3698" s="431"/>
      <c r="B3698" s="431"/>
      <c r="C3698" s="431"/>
      <c r="D3698" s="432"/>
      <c r="E3698" s="432"/>
      <c r="F3698" s="432"/>
      <c r="G3698" s="432"/>
      <c r="H3698" s="432"/>
    </row>
    <row r="3699" spans="1:8" s="429" customFormat="1" ht="11.25">
      <c r="A3699" s="431"/>
      <c r="B3699" s="431"/>
      <c r="C3699" s="431"/>
      <c r="D3699" s="432"/>
      <c r="E3699" s="432"/>
      <c r="F3699" s="432"/>
      <c r="G3699" s="432"/>
      <c r="H3699" s="432"/>
    </row>
    <row r="3700" spans="1:8" s="429" customFormat="1" ht="11.25">
      <c r="A3700" s="431"/>
      <c r="B3700" s="431"/>
      <c r="C3700" s="431"/>
      <c r="D3700" s="432"/>
      <c r="E3700" s="432"/>
      <c r="F3700" s="432"/>
      <c r="G3700" s="432"/>
      <c r="H3700" s="432"/>
    </row>
    <row r="3701" spans="1:8" s="429" customFormat="1" ht="11.25">
      <c r="A3701" s="431"/>
      <c r="B3701" s="431"/>
      <c r="C3701" s="431"/>
      <c r="D3701" s="432"/>
      <c r="E3701" s="432"/>
      <c r="F3701" s="432"/>
      <c r="G3701" s="432"/>
      <c r="H3701" s="432"/>
    </row>
    <row r="3702" spans="1:8" s="429" customFormat="1" ht="11.25">
      <c r="A3702" s="431"/>
      <c r="B3702" s="431"/>
      <c r="C3702" s="431"/>
      <c r="D3702" s="432"/>
      <c r="E3702" s="432"/>
      <c r="F3702" s="432"/>
      <c r="G3702" s="432"/>
      <c r="H3702" s="432"/>
    </row>
    <row r="3703" spans="1:8" s="429" customFormat="1" ht="11.25">
      <c r="A3703" s="431"/>
      <c r="B3703" s="431"/>
      <c r="C3703" s="431"/>
      <c r="D3703" s="432"/>
      <c r="E3703" s="432"/>
      <c r="F3703" s="432"/>
      <c r="G3703" s="432"/>
      <c r="H3703" s="432"/>
    </row>
    <row r="3704" spans="1:8" s="429" customFormat="1" ht="11.25">
      <c r="A3704" s="431"/>
      <c r="B3704" s="431"/>
      <c r="C3704" s="431"/>
      <c r="D3704" s="432"/>
      <c r="E3704" s="432"/>
      <c r="F3704" s="432"/>
      <c r="G3704" s="432"/>
      <c r="H3704" s="432"/>
    </row>
    <row r="3705" spans="1:8" s="429" customFormat="1" ht="11.25">
      <c r="A3705" s="431"/>
      <c r="B3705" s="431"/>
      <c r="C3705" s="431"/>
      <c r="D3705" s="432"/>
      <c r="E3705" s="432"/>
      <c r="F3705" s="432"/>
      <c r="G3705" s="432"/>
      <c r="H3705" s="432"/>
    </row>
    <row r="3706" spans="1:8" s="429" customFormat="1" ht="11.25">
      <c r="A3706" s="431"/>
      <c r="B3706" s="431"/>
      <c r="C3706" s="431"/>
      <c r="D3706" s="432"/>
      <c r="E3706" s="432"/>
      <c r="F3706" s="432"/>
      <c r="G3706" s="432"/>
      <c r="H3706" s="432"/>
    </row>
    <row r="3707" spans="1:8" s="429" customFormat="1" ht="11.25">
      <c r="A3707" s="431"/>
      <c r="B3707" s="431"/>
      <c r="C3707" s="431"/>
      <c r="D3707" s="432"/>
      <c r="E3707" s="432"/>
      <c r="F3707" s="432"/>
      <c r="G3707" s="432"/>
      <c r="H3707" s="432"/>
    </row>
    <row r="3708" spans="1:8" s="429" customFormat="1" ht="96.75" customHeight="1">
      <c r="A3708" s="431"/>
      <c r="B3708" s="431"/>
      <c r="C3708" s="431"/>
      <c r="D3708" s="432"/>
      <c r="E3708" s="432"/>
      <c r="F3708" s="432"/>
      <c r="G3708" s="432"/>
      <c r="H3708" s="432"/>
    </row>
    <row r="3709" spans="1:8" s="422" customFormat="1" ht="12.75" customHeight="1"/>
    <row r="3710" spans="1:8" s="422" customFormat="1" ht="11.25" customHeight="1">
      <c r="A3710" s="421" t="s">
        <v>591</v>
      </c>
      <c r="B3710" s="421"/>
      <c r="C3710" s="421"/>
    </row>
    <row r="3711" spans="1:8" s="429" customFormat="1" ht="11.25">
      <c r="A3711" s="428"/>
      <c r="B3711" s="428"/>
      <c r="C3711" s="428"/>
    </row>
    <row r="3712" spans="1:8" s="429" customFormat="1" ht="11.25">
      <c r="A3712" s="428"/>
      <c r="B3712" s="428"/>
      <c r="C3712" s="428"/>
    </row>
    <row r="3713" spans="1:3" s="429" customFormat="1" ht="11.25">
      <c r="A3713" s="428"/>
      <c r="B3713" s="428"/>
      <c r="C3713" s="428"/>
    </row>
    <row r="3714" spans="1:3" s="429" customFormat="1" ht="11.25">
      <c r="A3714" s="428"/>
      <c r="B3714" s="428"/>
      <c r="C3714" s="428"/>
    </row>
    <row r="3715" spans="1:3" s="429" customFormat="1" ht="11.25">
      <c r="A3715" s="428"/>
      <c r="B3715" s="428"/>
      <c r="C3715" s="428"/>
    </row>
    <row r="3716" spans="1:3" s="429" customFormat="1" ht="11.25" customHeight="1">
      <c r="A3716" s="428"/>
      <c r="B3716" s="428"/>
      <c r="C3716" s="428"/>
    </row>
    <row r="3717" spans="1:3" s="422" customFormat="1" ht="11.25" customHeight="1"/>
    <row r="3718" spans="1:3" s="422" customFormat="1" ht="11.25" customHeight="1"/>
    <row r="3719" spans="1:3" s="422" customFormat="1" ht="11.25" customHeight="1"/>
    <row r="3720" spans="1:3" s="422" customFormat="1" ht="11.25" customHeight="1"/>
    <row r="3721" spans="1:3" s="422" customFormat="1" ht="11.25" customHeight="1"/>
    <row r="3722" spans="1:3" s="422" customFormat="1" ht="11.25" customHeight="1"/>
    <row r="3723" spans="1:3" s="422" customFormat="1" ht="11.25" customHeight="1"/>
    <row r="3724" spans="1:3" s="422" customFormat="1" ht="11.25" customHeight="1"/>
    <row r="3725" spans="1:3" s="422" customFormat="1" ht="11.25" customHeight="1"/>
    <row r="3726" spans="1:3" s="422" customFormat="1" ht="11.25" customHeight="1"/>
    <row r="3727" spans="1:3" s="422" customFormat="1" ht="11.25" customHeight="1"/>
    <row r="3728" spans="1:3" s="422" customFormat="1" ht="11.25" customHeight="1"/>
    <row r="3729" spans="1:8" s="422" customFormat="1" ht="11.25" customHeight="1"/>
    <row r="3730" spans="1:8" s="422" customFormat="1" ht="11.25" customHeight="1"/>
    <row r="3731" spans="1:8" s="422" customFormat="1" ht="11.25" customHeight="1"/>
    <row r="3732" spans="1:8" s="422" customFormat="1" ht="11.25" customHeight="1"/>
    <row r="3733" spans="1:8" s="422" customFormat="1" ht="11.25" customHeight="1"/>
    <row r="3734" spans="1:8" s="422" customFormat="1" ht="11.25" customHeight="1"/>
    <row r="3735" spans="1:8" s="422" customFormat="1" ht="11.25" customHeight="1">
      <c r="A3735" s="433"/>
      <c r="B3735" s="434"/>
      <c r="C3735" s="434"/>
      <c r="D3735" s="434"/>
      <c r="E3735" s="434"/>
      <c r="F3735" s="434"/>
      <c r="G3735" s="434"/>
      <c r="H3735" s="434"/>
    </row>
    <row r="3736" spans="1:8" s="422" customFormat="1" ht="11.25" hidden="1" customHeight="1">
      <c r="A3736" s="433"/>
      <c r="B3736" s="434"/>
      <c r="C3736" s="434"/>
      <c r="D3736" s="434"/>
      <c r="E3736" s="434"/>
      <c r="F3736" s="434"/>
      <c r="G3736" s="434"/>
      <c r="H3736" s="434"/>
    </row>
    <row r="3737" spans="1:8" s="422" customFormat="1" ht="11.25" customHeight="1">
      <c r="A3737" s="433"/>
      <c r="B3737" s="434"/>
      <c r="C3737" s="434"/>
      <c r="D3737" s="434"/>
      <c r="E3737" s="434"/>
      <c r="F3737" s="434"/>
      <c r="G3737" s="434"/>
      <c r="H3737" s="434"/>
    </row>
    <row r="3738" spans="1:8" s="422" customFormat="1" ht="11.25" customHeight="1">
      <c r="A3738" s="433"/>
      <c r="B3738" s="434"/>
      <c r="C3738" s="434"/>
      <c r="D3738" s="434"/>
      <c r="E3738" s="434"/>
      <c r="F3738" s="434"/>
      <c r="G3738" s="434"/>
      <c r="H3738" s="434"/>
    </row>
    <row r="3739" spans="1:8" s="422" customFormat="1" ht="11.25" customHeight="1">
      <c r="A3739" s="433"/>
      <c r="B3739" s="434"/>
      <c r="C3739" s="434"/>
      <c r="D3739" s="434"/>
      <c r="E3739" s="434"/>
      <c r="F3739" s="434"/>
      <c r="G3739" s="434"/>
      <c r="H3739" s="434"/>
    </row>
    <row r="3740" spans="1:8" s="422" customFormat="1" ht="11.25" customHeight="1">
      <c r="A3740" s="433"/>
      <c r="B3740" s="434"/>
      <c r="C3740" s="434"/>
      <c r="D3740" s="434"/>
      <c r="E3740" s="434"/>
      <c r="F3740" s="434"/>
      <c r="G3740" s="434"/>
      <c r="H3740" s="434"/>
    </row>
    <row r="3741" spans="1:8" s="422" customFormat="1" ht="11.25" customHeight="1">
      <c r="A3741" s="433"/>
      <c r="B3741" s="434"/>
      <c r="C3741" s="434"/>
      <c r="D3741" s="434"/>
      <c r="E3741" s="434"/>
      <c r="F3741" s="434"/>
      <c r="G3741" s="434"/>
      <c r="H3741" s="434"/>
    </row>
    <row r="3742" spans="1:8" s="422" customFormat="1" ht="11.25" customHeight="1">
      <c r="A3742" s="433"/>
      <c r="B3742" s="434"/>
      <c r="C3742" s="434"/>
      <c r="D3742" s="434"/>
      <c r="E3742" s="434"/>
      <c r="F3742" s="434"/>
      <c r="G3742" s="434"/>
      <c r="H3742" s="434"/>
    </row>
    <row r="3743" spans="1:8" s="422" customFormat="1" ht="11.25" customHeight="1">
      <c r="A3743" s="433"/>
      <c r="B3743" s="434"/>
      <c r="C3743" s="434"/>
      <c r="D3743" s="434"/>
      <c r="E3743" s="434"/>
      <c r="F3743" s="434"/>
      <c r="G3743" s="434"/>
      <c r="H3743" s="434"/>
    </row>
    <row r="3744" spans="1:8" s="422" customFormat="1" ht="11.25" customHeight="1">
      <c r="A3744" s="433"/>
      <c r="B3744" s="434"/>
      <c r="C3744" s="434"/>
      <c r="D3744" s="434"/>
      <c r="E3744" s="434"/>
      <c r="F3744" s="434"/>
      <c r="G3744" s="434"/>
      <c r="H3744" s="434"/>
    </row>
    <row r="3745" spans="1:8" s="422" customFormat="1" ht="11.25" customHeight="1">
      <c r="A3745" s="433"/>
      <c r="B3745" s="434"/>
      <c r="C3745" s="434"/>
      <c r="D3745" s="434"/>
      <c r="E3745" s="434"/>
      <c r="F3745" s="434"/>
      <c r="G3745" s="434"/>
      <c r="H3745" s="434"/>
    </row>
    <row r="3746" spans="1:8" s="422" customFormat="1" ht="11.25" customHeight="1">
      <c r="A3746" s="433"/>
      <c r="B3746" s="434"/>
      <c r="C3746" s="434"/>
      <c r="D3746" s="434"/>
      <c r="E3746" s="434"/>
      <c r="F3746" s="434"/>
      <c r="G3746" s="434"/>
      <c r="H3746" s="434"/>
    </row>
    <row r="3747" spans="1:8" s="422" customFormat="1" ht="11.25" customHeight="1">
      <c r="A3747" s="433"/>
      <c r="B3747" s="434"/>
      <c r="C3747" s="434"/>
      <c r="D3747" s="434"/>
      <c r="E3747" s="434"/>
      <c r="F3747" s="434"/>
      <c r="G3747" s="434"/>
      <c r="H3747" s="434"/>
    </row>
    <row r="3748" spans="1:8" s="422" customFormat="1" ht="11.25" customHeight="1">
      <c r="A3748" s="433"/>
      <c r="B3748" s="434"/>
      <c r="C3748" s="434"/>
      <c r="D3748" s="434"/>
      <c r="E3748" s="434"/>
      <c r="F3748" s="434"/>
      <c r="G3748" s="434"/>
      <c r="H3748" s="434"/>
    </row>
    <row r="3749" spans="1:8" s="422" customFormat="1" ht="11.25" hidden="1" customHeight="1">
      <c r="A3749" s="433"/>
      <c r="B3749" s="434"/>
      <c r="C3749" s="434"/>
      <c r="D3749" s="434"/>
      <c r="E3749" s="434"/>
      <c r="F3749" s="434"/>
      <c r="G3749" s="434"/>
      <c r="H3749" s="434"/>
    </row>
    <row r="3750" spans="1:8" s="422" customFormat="1" ht="11.25" hidden="1" customHeight="1">
      <c r="A3750" s="433"/>
      <c r="B3750" s="434"/>
      <c r="C3750" s="434"/>
      <c r="D3750" s="434"/>
      <c r="E3750" s="434"/>
      <c r="F3750" s="434"/>
      <c r="G3750" s="434"/>
      <c r="H3750" s="434"/>
    </row>
    <row r="3751" spans="1:8" s="422" customFormat="1" ht="11.25" customHeight="1">
      <c r="A3751" s="433"/>
      <c r="B3751" s="434"/>
      <c r="C3751" s="434"/>
      <c r="D3751" s="434"/>
      <c r="E3751" s="434"/>
      <c r="F3751" s="434"/>
      <c r="G3751" s="434"/>
      <c r="H3751" s="434"/>
    </row>
    <row r="3752" spans="1:8" s="422" customFormat="1" ht="11.25" customHeight="1">
      <c r="A3752" s="433"/>
      <c r="B3752" s="434"/>
      <c r="C3752" s="434"/>
      <c r="D3752" s="434"/>
      <c r="E3752" s="434"/>
      <c r="F3752" s="434"/>
      <c r="G3752" s="434"/>
      <c r="H3752" s="434"/>
    </row>
    <row r="3753" spans="1:8" s="422" customFormat="1" ht="11.25" customHeight="1">
      <c r="A3753" s="433"/>
      <c r="B3753" s="434"/>
      <c r="C3753" s="434"/>
      <c r="D3753" s="434"/>
      <c r="E3753" s="434"/>
      <c r="F3753" s="434"/>
      <c r="G3753" s="434"/>
      <c r="H3753" s="434"/>
    </row>
    <row r="3754" spans="1:8" s="422" customFormat="1" ht="11.25" customHeight="1">
      <c r="A3754" s="433"/>
      <c r="B3754" s="434"/>
      <c r="C3754" s="434"/>
      <c r="D3754" s="434"/>
      <c r="E3754" s="434"/>
      <c r="F3754" s="434"/>
      <c r="G3754" s="434"/>
      <c r="H3754" s="434"/>
    </row>
    <row r="3755" spans="1:8" s="422" customFormat="1" ht="11.25" customHeight="1">
      <c r="A3755" s="433" t="s">
        <v>592</v>
      </c>
      <c r="B3755" s="434"/>
      <c r="C3755" s="434"/>
      <c r="D3755" s="434"/>
      <c r="E3755" s="434"/>
      <c r="F3755" s="434"/>
      <c r="G3755" s="434"/>
      <c r="H3755" s="434"/>
    </row>
    <row r="3756" spans="1:8" s="429" customFormat="1" ht="11.25">
      <c r="A3756" s="435"/>
      <c r="B3756" s="436"/>
      <c r="C3756" s="436"/>
      <c r="D3756" s="436"/>
      <c r="E3756" s="436"/>
      <c r="F3756" s="436"/>
      <c r="G3756" s="436"/>
      <c r="H3756" s="436"/>
    </row>
    <row r="3757" spans="1:8" s="429" customFormat="1" ht="11.25">
      <c r="A3757" s="435"/>
      <c r="B3757" s="436"/>
      <c r="C3757" s="436"/>
      <c r="D3757" s="436"/>
      <c r="E3757" s="436"/>
      <c r="F3757" s="436"/>
      <c r="G3757" s="436"/>
      <c r="H3757" s="436"/>
    </row>
    <row r="3758" spans="1:8" s="429" customFormat="1" ht="11.25">
      <c r="A3758" s="435"/>
      <c r="B3758" s="436"/>
      <c r="C3758" s="436"/>
      <c r="D3758" s="436"/>
      <c r="E3758" s="436"/>
      <c r="F3758" s="436"/>
      <c r="G3758" s="436"/>
      <c r="H3758" s="436"/>
    </row>
    <row r="3759" spans="1:8" s="422" customFormat="1" ht="11.25" customHeight="1">
      <c r="A3759" s="437"/>
      <c r="B3759" s="437"/>
      <c r="C3759" s="437"/>
      <c r="D3759" s="437"/>
      <c r="E3759" s="437"/>
      <c r="F3759" s="437"/>
      <c r="G3759" s="437"/>
      <c r="H3759" s="437"/>
    </row>
    <row r="3760" spans="1:8" s="422" customFormat="1" ht="11.25">
      <c r="A3760" s="421" t="s">
        <v>593</v>
      </c>
      <c r="B3760" s="421"/>
      <c r="C3760" s="421"/>
    </row>
    <row r="3761" spans="1:8" s="422" customFormat="1" ht="11.25">
      <c r="A3761" s="438"/>
      <c r="B3761" s="439" t="s">
        <v>132</v>
      </c>
      <c r="C3761" s="439" t="s">
        <v>473</v>
      </c>
      <c r="D3761" s="439" t="s">
        <v>474</v>
      </c>
      <c r="E3761" s="439" t="s">
        <v>375</v>
      </c>
      <c r="F3761" s="439" t="s">
        <v>9</v>
      </c>
      <c r="G3761" s="439" t="s">
        <v>131</v>
      </c>
      <c r="H3761" s="439" t="s">
        <v>424</v>
      </c>
    </row>
    <row r="3762" spans="1:8" s="422" customFormat="1" ht="11.25">
      <c r="A3762" s="439" t="s">
        <v>394</v>
      </c>
      <c r="B3762" s="438">
        <v>99256724.150000006</v>
      </c>
      <c r="C3762" s="438">
        <v>95968383.099999994</v>
      </c>
      <c r="D3762" s="438">
        <v>95802113</v>
      </c>
      <c r="E3762" s="438">
        <v>91802154.983999997</v>
      </c>
      <c r="F3762" s="438">
        <v>93731390.983999997</v>
      </c>
      <c r="G3762" s="438">
        <v>96732163.633599997</v>
      </c>
      <c r="H3762" s="438">
        <v>96961059.782266676</v>
      </c>
    </row>
    <row r="3763" spans="1:8" s="422" customFormat="1" ht="11.25">
      <c r="A3763" s="439" t="s">
        <v>395</v>
      </c>
      <c r="B3763" s="438">
        <v>-14073594.710000001</v>
      </c>
      <c r="C3763" s="438">
        <v>-12313875.700000001</v>
      </c>
      <c r="D3763" s="438">
        <v>-10547915.6</v>
      </c>
      <c r="E3763" s="438">
        <v>-10397915.6</v>
      </c>
      <c r="F3763" s="438">
        <v>-10397915.6</v>
      </c>
      <c r="G3763" s="438">
        <v>-10547915.6</v>
      </c>
      <c r="H3763" s="438">
        <v>-10547915.6</v>
      </c>
    </row>
    <row r="3764" spans="1:8" s="422" customFormat="1" ht="11.25">
      <c r="A3764" s="439" t="s">
        <v>396</v>
      </c>
      <c r="B3764" s="438">
        <v>85183129.439999998</v>
      </c>
      <c r="C3764" s="438">
        <v>83654507.399999991</v>
      </c>
      <c r="D3764" s="438">
        <v>85254197.400000006</v>
      </c>
      <c r="E3764" s="438">
        <v>81404239.384000003</v>
      </c>
      <c r="F3764" s="438">
        <v>83333475.384000003</v>
      </c>
      <c r="G3764" s="438">
        <v>86184248.033600003</v>
      </c>
      <c r="H3764" s="438">
        <v>86413144.182266682</v>
      </c>
    </row>
    <row r="3765" spans="1:8" s="442" customFormat="1" ht="11.25">
      <c r="A3765" s="440" t="s">
        <v>397</v>
      </c>
      <c r="B3765" s="441">
        <v>0.14178983671404996</v>
      </c>
      <c r="C3765" s="441">
        <v>0.12831179709643353</v>
      </c>
      <c r="D3765" s="441">
        <v>0.11010107470176571</v>
      </c>
      <c r="E3765" s="441">
        <v>0.11326439561045414</v>
      </c>
      <c r="F3765" s="441">
        <v>0.11093311953276069</v>
      </c>
      <c r="G3765" s="441">
        <v>0.10904248601275132</v>
      </c>
      <c r="H3765" s="441">
        <v>0.10878506921939729</v>
      </c>
    </row>
    <row r="3766" spans="1:8" s="422" customFormat="1" ht="11.25" customHeight="1"/>
    <row r="3767" spans="1:8" s="422" customFormat="1" ht="11.25">
      <c r="A3767" s="443" t="s">
        <v>594</v>
      </c>
      <c r="B3767" s="443"/>
      <c r="C3767" s="444"/>
    </row>
    <row r="3768" spans="1:8" s="422" customFormat="1" ht="11.25">
      <c r="A3768" s="445" t="s">
        <v>595</v>
      </c>
      <c r="B3768" s="446"/>
      <c r="C3768" s="447"/>
      <c r="D3768" s="439" t="s">
        <v>474</v>
      </c>
      <c r="E3768" s="439" t="s">
        <v>375</v>
      </c>
      <c r="F3768" s="439" t="s">
        <v>9</v>
      </c>
      <c r="G3768" s="439" t="s">
        <v>131</v>
      </c>
      <c r="H3768" s="439" t="s">
        <v>424</v>
      </c>
    </row>
    <row r="3769" spans="1:8" s="422" customFormat="1" ht="11.25">
      <c r="A3769" s="448" t="s">
        <v>993</v>
      </c>
      <c r="B3769" s="449"/>
      <c r="C3769" s="449"/>
      <c r="D3769" s="438">
        <v>9</v>
      </c>
      <c r="E3769" s="438">
        <v>9</v>
      </c>
      <c r="F3769" s="438">
        <v>9</v>
      </c>
      <c r="G3769" s="438">
        <v>9</v>
      </c>
      <c r="H3769" s="438">
        <v>9</v>
      </c>
    </row>
    <row r="3770" spans="1:8" s="422" customFormat="1" ht="11.25">
      <c r="A3770" s="448" t="s">
        <v>994</v>
      </c>
      <c r="B3770" s="449"/>
      <c r="C3770" s="449"/>
      <c r="D3770" s="438">
        <v>608</v>
      </c>
      <c r="E3770" s="438">
        <v>608</v>
      </c>
      <c r="F3770" s="438">
        <v>608</v>
      </c>
      <c r="G3770" s="438">
        <v>608</v>
      </c>
      <c r="H3770" s="438">
        <v>608</v>
      </c>
    </row>
    <row r="3771" spans="1:8" s="422" customFormat="1" ht="11.25">
      <c r="A3771" s="448" t="s">
        <v>995</v>
      </c>
      <c r="B3771" s="449"/>
      <c r="C3771" s="449"/>
      <c r="D3771" s="457">
        <v>1</v>
      </c>
      <c r="E3771" s="457">
        <v>1</v>
      </c>
      <c r="F3771" s="457">
        <v>1</v>
      </c>
      <c r="G3771" s="457">
        <v>1</v>
      </c>
      <c r="H3771" s="457">
        <v>1</v>
      </c>
    </row>
    <row r="3772" spans="1:8" s="422" customFormat="1" ht="11.25" customHeight="1"/>
    <row r="3773" spans="1:8" s="422" customFormat="1" ht="11.25">
      <c r="A3773" s="421" t="s">
        <v>423</v>
      </c>
      <c r="B3773" s="421"/>
      <c r="C3773" s="421"/>
    </row>
    <row r="3774" spans="1:8" s="422" customFormat="1" ht="11.25">
      <c r="A3774" s="450"/>
      <c r="B3774" s="439" t="s">
        <v>132</v>
      </c>
      <c r="C3774" s="439" t="s">
        <v>473</v>
      </c>
      <c r="D3774" s="439" t="s">
        <v>474</v>
      </c>
      <c r="E3774" s="439" t="s">
        <v>375</v>
      </c>
      <c r="F3774" s="439" t="s">
        <v>9</v>
      </c>
      <c r="G3774" s="439" t="s">
        <v>131</v>
      </c>
      <c r="H3774" s="439" t="s">
        <v>424</v>
      </c>
    </row>
    <row r="3775" spans="1:8" s="422" customFormat="1" ht="11.25">
      <c r="A3775" s="451" t="s">
        <v>398</v>
      </c>
      <c r="B3775" s="438">
        <v>13562.44</v>
      </c>
      <c r="C3775" s="438">
        <v>110902.75</v>
      </c>
      <c r="D3775" s="438">
        <v>1400000</v>
      </c>
      <c r="E3775" s="438">
        <v>600000</v>
      </c>
      <c r="F3775" s="438">
        <v>75000</v>
      </c>
      <c r="G3775" s="438">
        <v>275000</v>
      </c>
      <c r="H3775" s="438">
        <v>2100000</v>
      </c>
    </row>
    <row r="3776" spans="1:8" s="422" customFormat="1" ht="11.25">
      <c r="A3776" s="451" t="s">
        <v>399</v>
      </c>
      <c r="B3776" s="438">
        <v>0</v>
      </c>
      <c r="C3776" s="438">
        <v>0</v>
      </c>
      <c r="D3776" s="438">
        <v>0</v>
      </c>
      <c r="E3776" s="438">
        <v>0</v>
      </c>
      <c r="F3776" s="438">
        <v>0</v>
      </c>
      <c r="G3776" s="438">
        <v>150000</v>
      </c>
      <c r="H3776" s="438">
        <v>350000</v>
      </c>
    </row>
    <row r="3777" spans="1:8" s="422" customFormat="1" ht="11.25">
      <c r="A3777" s="451" t="s">
        <v>400</v>
      </c>
      <c r="B3777" s="438">
        <v>1700</v>
      </c>
      <c r="C3777" s="438">
        <v>-4611.55</v>
      </c>
      <c r="D3777" s="438">
        <v>0</v>
      </c>
      <c r="E3777" s="438">
        <v>0</v>
      </c>
      <c r="F3777" s="438">
        <v>0</v>
      </c>
      <c r="G3777" s="438">
        <v>0</v>
      </c>
      <c r="H3777" s="438">
        <v>0</v>
      </c>
    </row>
    <row r="3778" spans="1:8" s="422" customFormat="1" ht="11.25">
      <c r="A3778" s="451" t="s">
        <v>401</v>
      </c>
      <c r="B3778" s="438">
        <v>15262.44</v>
      </c>
      <c r="C3778" s="438">
        <v>106291.2</v>
      </c>
      <c r="D3778" s="438">
        <v>1400000</v>
      </c>
      <c r="E3778" s="438">
        <v>600000</v>
      </c>
      <c r="F3778" s="438">
        <v>75000</v>
      </c>
      <c r="G3778" s="438">
        <v>425000</v>
      </c>
      <c r="H3778" s="438">
        <v>2450000</v>
      </c>
    </row>
    <row r="3779" spans="1:8" s="422" customFormat="1" ht="11.25" hidden="1">
      <c r="A3779" s="444"/>
      <c r="B3779" s="459"/>
      <c r="C3779" s="459"/>
      <c r="D3779" s="459"/>
      <c r="E3779" s="459"/>
      <c r="F3779" s="459"/>
      <c r="G3779" s="459"/>
      <c r="H3779" s="459"/>
    </row>
    <row r="3780" spans="1:8" s="422" customFormat="1" ht="9" customHeight="1"/>
    <row r="3781" spans="1:8" s="422" customFormat="1" ht="11.25">
      <c r="A3781" s="421" t="s">
        <v>597</v>
      </c>
      <c r="B3781" s="421"/>
      <c r="C3781" s="421"/>
    </row>
    <row r="3782" spans="1:8" s="429" customFormat="1" ht="11.25">
      <c r="A3782" s="428"/>
      <c r="B3782" s="428"/>
      <c r="C3782" s="428"/>
    </row>
    <row r="3783" spans="1:8" s="429" customFormat="1" ht="11.25" hidden="1">
      <c r="A3783" s="428"/>
      <c r="B3783" s="428"/>
      <c r="C3783" s="428"/>
    </row>
    <row r="3784" spans="1:8" s="429" customFormat="1" ht="11.25">
      <c r="A3784" s="428"/>
      <c r="B3784" s="428"/>
      <c r="C3784" s="428"/>
    </row>
    <row r="3785" spans="1:8" s="429" customFormat="1" ht="11.25" customHeight="1">
      <c r="A3785" s="428"/>
      <c r="B3785" s="428"/>
      <c r="C3785" s="428"/>
    </row>
    <row r="3786" spans="1:8" s="429" customFormat="1" ht="11.25" hidden="1">
      <c r="A3786" s="428"/>
      <c r="B3786" s="428"/>
      <c r="C3786" s="428"/>
    </row>
    <row r="3787" spans="1:8" s="429" customFormat="1" ht="11.25" hidden="1">
      <c r="A3787" s="428"/>
      <c r="B3787" s="428"/>
      <c r="C3787" s="428"/>
    </row>
    <row r="3788" spans="1:8" s="422" customFormat="1" ht="11.25" hidden="1"/>
    <row r="3789" spans="1:8" s="422" customFormat="1" ht="11.25">
      <c r="A3789" s="421" t="s">
        <v>598</v>
      </c>
      <c r="B3789" s="421"/>
      <c r="C3789" s="421"/>
    </row>
    <row r="3790" spans="1:8" s="422" customFormat="1" ht="11.25" customHeight="1">
      <c r="A3790" s="452" t="s">
        <v>599</v>
      </c>
      <c r="B3790" s="447"/>
      <c r="C3790" s="447"/>
      <c r="D3790" s="447"/>
      <c r="E3790" s="439" t="s">
        <v>375</v>
      </c>
      <c r="F3790" s="439" t="s">
        <v>9</v>
      </c>
      <c r="G3790" s="439" t="s">
        <v>131</v>
      </c>
      <c r="H3790" s="439" t="s">
        <v>424</v>
      </c>
    </row>
    <row r="3791" spans="1:8" s="422" customFormat="1" ht="11.25" customHeight="1">
      <c r="A3791" s="448" t="s">
        <v>438</v>
      </c>
      <c r="B3791" s="449"/>
      <c r="C3791" s="449"/>
      <c r="D3791" s="449"/>
      <c r="E3791" s="438">
        <v>84914</v>
      </c>
      <c r="F3791" s="438">
        <v>363200</v>
      </c>
      <c r="G3791" s="438">
        <v>1590247</v>
      </c>
      <c r="H3791" s="438">
        <v>2287170</v>
      </c>
    </row>
    <row r="3792" spans="1:8" s="422" customFormat="1" ht="11.25" customHeight="1">
      <c r="A3792" s="448" t="s">
        <v>123</v>
      </c>
      <c r="B3792" s="449"/>
      <c r="C3792" s="449"/>
      <c r="D3792" s="449"/>
      <c r="E3792" s="438">
        <v>200000</v>
      </c>
      <c r="F3792" s="438">
        <v>300000</v>
      </c>
      <c r="G3792" s="438">
        <v>300000</v>
      </c>
      <c r="H3792" s="438">
        <v>300000</v>
      </c>
    </row>
    <row r="3793" spans="1:8" s="422" customFormat="1" ht="11.25" customHeight="1">
      <c r="A3793" s="448" t="s">
        <v>124</v>
      </c>
      <c r="B3793" s="449"/>
      <c r="C3793" s="449"/>
      <c r="D3793" s="449"/>
      <c r="E3793" s="438">
        <v>100000</v>
      </c>
      <c r="F3793" s="438">
        <v>100000</v>
      </c>
      <c r="G3793" s="438">
        <v>100000</v>
      </c>
      <c r="H3793" s="438">
        <v>100000</v>
      </c>
    </row>
    <row r="3794" spans="1:8" s="422" customFormat="1" ht="11.25" customHeight="1">
      <c r="A3794" s="448" t="s">
        <v>439</v>
      </c>
      <c r="B3794" s="449"/>
      <c r="C3794" s="449"/>
      <c r="D3794" s="449"/>
      <c r="E3794" s="438">
        <v>200000</v>
      </c>
      <c r="F3794" s="438">
        <v>0</v>
      </c>
      <c r="G3794" s="438">
        <v>0</v>
      </c>
      <c r="H3794" s="438">
        <v>0</v>
      </c>
    </row>
    <row r="3795" spans="1:8" s="422" customFormat="1" ht="11.25" customHeight="1">
      <c r="A3795" s="448" t="s">
        <v>440</v>
      </c>
      <c r="B3795" s="449"/>
      <c r="C3795" s="449"/>
      <c r="D3795" s="449"/>
      <c r="E3795" s="438">
        <v>0</v>
      </c>
      <c r="F3795" s="438">
        <v>104167</v>
      </c>
      <c r="G3795" s="438">
        <v>250000</v>
      </c>
      <c r="H3795" s="438">
        <v>250000</v>
      </c>
    </row>
    <row r="3796" spans="1:8" s="422" customFormat="1" ht="11.25" customHeight="1">
      <c r="A3796" s="448" t="s">
        <v>152</v>
      </c>
      <c r="B3796" s="449"/>
      <c r="C3796" s="449"/>
      <c r="D3796" s="449"/>
      <c r="E3796" s="438">
        <v>0</v>
      </c>
      <c r="F3796" s="438">
        <v>0</v>
      </c>
      <c r="G3796" s="438">
        <v>100000</v>
      </c>
      <c r="H3796" s="438">
        <v>100000</v>
      </c>
    </row>
    <row r="3797" spans="1:8" s="422" customFormat="1" ht="11.25" customHeight="1">
      <c r="A3797" s="448" t="s">
        <v>996</v>
      </c>
      <c r="B3797" s="449"/>
      <c r="C3797" s="449"/>
      <c r="D3797" s="449"/>
      <c r="E3797" s="438">
        <v>43691</v>
      </c>
      <c r="F3797" s="438">
        <v>43691</v>
      </c>
      <c r="G3797" s="438">
        <v>43691</v>
      </c>
      <c r="H3797" s="438">
        <v>25486.416666666664</v>
      </c>
    </row>
    <row r="3798" spans="1:8" s="421" customFormat="1" ht="11.25">
      <c r="A3798" s="421" t="s">
        <v>391</v>
      </c>
      <c r="D3798" s="421" t="s">
        <v>472</v>
      </c>
    </row>
    <row r="3799" spans="1:8" s="422" customFormat="1" ht="11.25"/>
    <row r="3800" spans="1:8" s="421" customFormat="1" ht="11.25" customHeight="1">
      <c r="A3800" s="423" t="s">
        <v>392</v>
      </c>
      <c r="D3800" s="421" t="s">
        <v>150</v>
      </c>
    </row>
    <row r="3801" spans="1:8" s="421" customFormat="1" ht="7.5" customHeight="1">
      <c r="A3801" s="423"/>
    </row>
    <row r="3802" spans="1:8" s="421" customFormat="1" ht="11.25">
      <c r="A3802" s="424" t="s">
        <v>393</v>
      </c>
      <c r="D3802" s="583" t="s">
        <v>151</v>
      </c>
      <c r="E3802" s="583"/>
      <c r="F3802" s="583"/>
      <c r="G3802" s="583"/>
      <c r="H3802" s="583"/>
    </row>
    <row r="3803" spans="1:8" s="421" customFormat="1" ht="7.5" customHeight="1"/>
    <row r="3804" spans="1:8" s="422" customFormat="1" ht="11.25">
      <c r="A3804" s="421" t="s">
        <v>170</v>
      </c>
      <c r="B3804" s="421"/>
      <c r="C3804" s="421"/>
      <c r="D3804" s="422" t="s">
        <v>256</v>
      </c>
      <c r="E3804" s="422" t="s">
        <v>257</v>
      </c>
    </row>
    <row r="3805" spans="1:8" s="422" customFormat="1" ht="7.5" customHeight="1"/>
    <row r="3806" spans="1:8" s="427" customFormat="1" ht="11.25">
      <c r="A3806" s="425" t="s">
        <v>587</v>
      </c>
      <c r="B3806" s="425"/>
      <c r="C3806" s="425"/>
      <c r="D3806" s="426" t="s">
        <v>997</v>
      </c>
      <c r="E3806" s="584" t="s">
        <v>998</v>
      </c>
      <c r="F3806" s="584"/>
      <c r="G3806" s="584"/>
      <c r="H3806" s="584"/>
    </row>
    <row r="3807" spans="1:8" s="427" customFormat="1" ht="11.25">
      <c r="A3807" s="425"/>
      <c r="B3807" s="425"/>
      <c r="C3807" s="425"/>
      <c r="D3807" s="426" t="s">
        <v>999</v>
      </c>
      <c r="E3807" s="584" t="s">
        <v>1000</v>
      </c>
      <c r="F3807" s="584"/>
      <c r="G3807" s="584"/>
      <c r="H3807" s="584"/>
    </row>
    <row r="3808" spans="1:8" s="427" customFormat="1" ht="11.25">
      <c r="A3808" s="425"/>
      <c r="B3808" s="425"/>
      <c r="C3808" s="425"/>
      <c r="D3808" s="426" t="s">
        <v>1001</v>
      </c>
      <c r="E3808" s="584" t="s">
        <v>1002</v>
      </c>
      <c r="F3808" s="584"/>
      <c r="G3808" s="584"/>
      <c r="H3808" s="584"/>
    </row>
    <row r="3809" spans="1:8" s="427" customFormat="1" ht="11.25">
      <c r="A3809" s="425"/>
      <c r="B3809" s="425"/>
      <c r="C3809" s="425"/>
      <c r="D3809" s="426" t="s">
        <v>1003</v>
      </c>
      <c r="E3809" s="584" t="s">
        <v>1004</v>
      </c>
      <c r="F3809" s="584"/>
      <c r="G3809" s="584"/>
      <c r="H3809" s="584"/>
    </row>
    <row r="3810" spans="1:8" s="427" customFormat="1" ht="11.25">
      <c r="A3810" s="425"/>
      <c r="B3810" s="425"/>
      <c r="C3810" s="425"/>
      <c r="D3810" s="426"/>
      <c r="E3810" s="584"/>
      <c r="F3810" s="584"/>
      <c r="G3810" s="584"/>
      <c r="H3810" s="584"/>
    </row>
    <row r="3811" spans="1:8" s="427" customFormat="1" ht="11.25"/>
    <row r="3812" spans="1:8" s="422" customFormat="1" ht="11.25"/>
    <row r="3813" spans="1:8" s="422" customFormat="1" ht="11.25">
      <c r="A3813" s="421" t="s">
        <v>589</v>
      </c>
      <c r="B3813" s="421"/>
      <c r="C3813" s="421"/>
    </row>
    <row r="3814" spans="1:8" s="429" customFormat="1" ht="11.25">
      <c r="A3814" s="428"/>
      <c r="B3814" s="428"/>
      <c r="C3814" s="428"/>
    </row>
    <row r="3815" spans="1:8" s="429" customFormat="1" ht="11.25">
      <c r="A3815" s="428"/>
      <c r="B3815" s="428"/>
      <c r="C3815" s="428"/>
    </row>
    <row r="3816" spans="1:8" s="429" customFormat="1" ht="11.25">
      <c r="A3816" s="428"/>
      <c r="B3816" s="428"/>
      <c r="C3816" s="428"/>
    </row>
    <row r="3817" spans="1:8" s="422" customFormat="1" ht="11.25" customHeight="1">
      <c r="A3817" s="430"/>
      <c r="B3817" s="430"/>
      <c r="C3817" s="430"/>
      <c r="D3817" s="430"/>
      <c r="E3817" s="430"/>
      <c r="F3817" s="430"/>
      <c r="G3817" s="430"/>
      <c r="H3817" s="430"/>
    </row>
    <row r="3818" spans="1:8" s="422" customFormat="1" ht="22.5" customHeight="1">
      <c r="A3818" s="585" t="s">
        <v>590</v>
      </c>
      <c r="B3818" s="585"/>
      <c r="C3818" s="585"/>
      <c r="D3818" s="586"/>
      <c r="E3818" s="586"/>
      <c r="F3818" s="586"/>
      <c r="G3818" s="586"/>
      <c r="H3818" s="586"/>
    </row>
    <row r="3819" spans="1:8" s="429" customFormat="1" ht="11.25">
      <c r="A3819" s="431"/>
      <c r="B3819" s="431"/>
      <c r="C3819" s="431"/>
      <c r="D3819" s="432"/>
      <c r="E3819" s="432"/>
      <c r="F3819" s="432"/>
      <c r="G3819" s="432"/>
      <c r="H3819" s="432"/>
    </row>
    <row r="3820" spans="1:8" s="429" customFormat="1" ht="11.25">
      <c r="A3820" s="431"/>
      <c r="B3820" s="431"/>
      <c r="C3820" s="431"/>
      <c r="D3820" s="432"/>
      <c r="E3820" s="432"/>
      <c r="F3820" s="432"/>
      <c r="G3820" s="432"/>
      <c r="H3820" s="432"/>
    </row>
    <row r="3821" spans="1:8" s="429" customFormat="1" ht="11.25">
      <c r="A3821" s="431"/>
      <c r="B3821" s="431"/>
      <c r="C3821" s="431"/>
      <c r="D3821" s="432"/>
      <c r="E3821" s="432"/>
      <c r="F3821" s="432"/>
      <c r="G3821" s="432"/>
      <c r="H3821" s="432"/>
    </row>
    <row r="3822" spans="1:8" s="429" customFormat="1" ht="11.25">
      <c r="A3822" s="431"/>
      <c r="B3822" s="431"/>
      <c r="C3822" s="431"/>
      <c r="D3822" s="432"/>
      <c r="E3822" s="432"/>
      <c r="F3822" s="432"/>
      <c r="G3822" s="432"/>
      <c r="H3822" s="432"/>
    </row>
    <row r="3823" spans="1:8" s="429" customFormat="1" ht="11.25">
      <c r="A3823" s="431"/>
      <c r="B3823" s="431"/>
      <c r="C3823" s="431"/>
      <c r="D3823" s="432"/>
      <c r="E3823" s="432"/>
      <c r="F3823" s="432"/>
      <c r="G3823" s="432"/>
      <c r="H3823" s="432"/>
    </row>
    <row r="3824" spans="1:8" s="429" customFormat="1" ht="11.25">
      <c r="A3824" s="431"/>
      <c r="B3824" s="431"/>
      <c r="C3824" s="431"/>
      <c r="D3824" s="432"/>
      <c r="E3824" s="432"/>
      <c r="F3824" s="432"/>
      <c r="G3824" s="432"/>
      <c r="H3824" s="432"/>
    </row>
    <row r="3825" spans="1:8" s="429" customFormat="1" ht="11.25">
      <c r="A3825" s="431"/>
      <c r="B3825" s="431"/>
      <c r="C3825" s="431"/>
      <c r="D3825" s="432"/>
      <c r="E3825" s="432"/>
      <c r="F3825" s="432"/>
      <c r="G3825" s="432"/>
      <c r="H3825" s="432"/>
    </row>
    <row r="3826" spans="1:8" s="429" customFormat="1" ht="37.5" customHeight="1">
      <c r="A3826" s="431"/>
      <c r="B3826" s="431"/>
      <c r="C3826" s="431"/>
      <c r="D3826" s="432"/>
      <c r="E3826" s="432"/>
      <c r="F3826" s="432"/>
      <c r="G3826" s="432"/>
      <c r="H3826" s="432"/>
    </row>
    <row r="3827" spans="1:8" s="429" customFormat="1" ht="9" customHeight="1">
      <c r="A3827" s="431"/>
      <c r="B3827" s="431"/>
      <c r="C3827" s="431"/>
      <c r="D3827" s="432"/>
      <c r="E3827" s="432"/>
      <c r="F3827" s="432"/>
      <c r="G3827" s="432"/>
      <c r="H3827" s="432"/>
    </row>
    <row r="3828" spans="1:8" s="429" customFormat="1" ht="11.25" hidden="1">
      <c r="A3828" s="431"/>
      <c r="B3828" s="431"/>
      <c r="C3828" s="431"/>
      <c r="D3828" s="432"/>
      <c r="E3828" s="432"/>
      <c r="F3828" s="432"/>
      <c r="G3828" s="432"/>
      <c r="H3828" s="432"/>
    </row>
    <row r="3829" spans="1:8" s="429" customFormat="1" ht="11.25" hidden="1">
      <c r="A3829" s="431"/>
      <c r="B3829" s="431"/>
      <c r="C3829" s="431"/>
      <c r="D3829" s="432"/>
      <c r="E3829" s="432"/>
      <c r="F3829" s="432"/>
      <c r="G3829" s="432"/>
      <c r="H3829" s="432"/>
    </row>
    <row r="3830" spans="1:8" s="422" customFormat="1" ht="9" hidden="1" customHeight="1"/>
    <row r="3831" spans="1:8" s="422" customFormat="1" ht="11.25" customHeight="1">
      <c r="A3831" s="421" t="s">
        <v>591</v>
      </c>
      <c r="B3831" s="421"/>
      <c r="C3831" s="421"/>
    </row>
    <row r="3832" spans="1:8" s="429" customFormat="1" ht="11.25">
      <c r="A3832" s="428"/>
      <c r="B3832" s="428"/>
      <c r="C3832" s="428"/>
    </row>
    <row r="3833" spans="1:8" s="429" customFormat="1" ht="11.25">
      <c r="A3833" s="428"/>
      <c r="B3833" s="428"/>
      <c r="C3833" s="428"/>
    </row>
    <row r="3834" spans="1:8" s="429" customFormat="1" ht="11.25">
      <c r="A3834" s="428"/>
      <c r="B3834" s="428"/>
      <c r="C3834" s="428"/>
    </row>
    <row r="3835" spans="1:8" s="429" customFormat="1" ht="11.25">
      <c r="A3835" s="428"/>
      <c r="B3835" s="428"/>
      <c r="C3835" s="428"/>
    </row>
    <row r="3836" spans="1:8" s="429" customFormat="1" ht="11.25">
      <c r="A3836" s="428"/>
      <c r="B3836" s="428"/>
      <c r="C3836" s="428"/>
    </row>
    <row r="3837" spans="1:8" s="429" customFormat="1" ht="11.25">
      <c r="A3837" s="428"/>
      <c r="B3837" s="428"/>
      <c r="C3837" s="428"/>
    </row>
    <row r="3838" spans="1:8" s="429" customFormat="1" ht="11.25">
      <c r="A3838" s="428"/>
      <c r="B3838" s="428"/>
      <c r="C3838" s="428"/>
    </row>
    <row r="3839" spans="1:8" s="429" customFormat="1" ht="4.5" hidden="1" customHeight="1">
      <c r="A3839" s="428"/>
      <c r="B3839" s="428"/>
      <c r="C3839" s="428"/>
    </row>
    <row r="3840" spans="1:8" s="422" customFormat="1" ht="4.5" hidden="1" customHeight="1"/>
    <row r="3841" spans="1:8" s="422" customFormat="1" ht="4.5" hidden="1" customHeight="1"/>
    <row r="3842" spans="1:8" s="422" customFormat="1" ht="4.5" hidden="1" customHeight="1"/>
    <row r="3843" spans="1:8" s="422" customFormat="1" ht="12.75" customHeight="1"/>
    <row r="3844" spans="1:8" s="422" customFormat="1" ht="8.25" customHeight="1"/>
    <row r="3845" spans="1:8" s="422" customFormat="1" ht="11.25" customHeight="1"/>
    <row r="3846" spans="1:8" s="422" customFormat="1" ht="11.25" customHeight="1"/>
    <row r="3847" spans="1:8" s="422" customFormat="1" ht="11.25" customHeight="1">
      <c r="A3847" s="433" t="s">
        <v>592</v>
      </c>
      <c r="B3847" s="434"/>
      <c r="C3847" s="434"/>
      <c r="D3847" s="434"/>
      <c r="E3847" s="434"/>
      <c r="F3847" s="434"/>
      <c r="G3847" s="434"/>
      <c r="H3847" s="434"/>
    </row>
    <row r="3848" spans="1:8" s="429" customFormat="1" ht="11.25">
      <c r="A3848" s="435"/>
      <c r="B3848" s="436"/>
      <c r="C3848" s="436"/>
      <c r="D3848" s="436"/>
      <c r="E3848" s="436"/>
      <c r="F3848" s="436"/>
      <c r="G3848" s="436"/>
      <c r="H3848" s="436"/>
    </row>
    <row r="3849" spans="1:8" s="429" customFormat="1" ht="11.25">
      <c r="A3849" s="435"/>
      <c r="B3849" s="436"/>
      <c r="C3849" s="436"/>
      <c r="D3849" s="436"/>
      <c r="E3849" s="436"/>
      <c r="F3849" s="436"/>
      <c r="G3849" s="436"/>
      <c r="H3849" s="436"/>
    </row>
    <row r="3850" spans="1:8" s="429" customFormat="1" ht="11.25">
      <c r="A3850" s="435"/>
      <c r="B3850" s="436"/>
      <c r="C3850" s="436"/>
      <c r="D3850" s="436"/>
      <c r="E3850" s="436"/>
      <c r="F3850" s="436"/>
      <c r="G3850" s="436"/>
      <c r="H3850" s="436"/>
    </row>
    <row r="3851" spans="1:8" s="422" customFormat="1" ht="11.25" customHeight="1">
      <c r="A3851" s="437"/>
      <c r="B3851" s="437"/>
      <c r="C3851" s="437"/>
      <c r="D3851" s="437"/>
      <c r="E3851" s="437"/>
      <c r="F3851" s="437"/>
      <c r="G3851" s="437"/>
      <c r="H3851" s="437"/>
    </row>
    <row r="3852" spans="1:8" s="422" customFormat="1" ht="11.25">
      <c r="A3852" s="421" t="s">
        <v>593</v>
      </c>
      <c r="B3852" s="421"/>
      <c r="C3852" s="421"/>
    </row>
    <row r="3853" spans="1:8" s="422" customFormat="1" ht="11.25">
      <c r="A3853" s="438"/>
      <c r="B3853" s="439" t="s">
        <v>132</v>
      </c>
      <c r="C3853" s="439" t="s">
        <v>473</v>
      </c>
      <c r="D3853" s="439" t="s">
        <v>474</v>
      </c>
      <c r="E3853" s="439" t="s">
        <v>375</v>
      </c>
      <c r="F3853" s="439" t="s">
        <v>9</v>
      </c>
      <c r="G3853" s="439" t="s">
        <v>131</v>
      </c>
      <c r="H3853" s="439" t="s">
        <v>424</v>
      </c>
    </row>
    <row r="3854" spans="1:8" s="422" customFormat="1" ht="11.25">
      <c r="A3854" s="439" t="s">
        <v>394</v>
      </c>
      <c r="B3854" s="438">
        <v>11373390.9</v>
      </c>
      <c r="C3854" s="438">
        <v>11668415.699999999</v>
      </c>
      <c r="D3854" s="438">
        <v>11989150.279999999</v>
      </c>
      <c r="E3854" s="438">
        <v>12365545.7612</v>
      </c>
      <c r="F3854" s="438">
        <v>12666505.271200001</v>
      </c>
      <c r="G3854" s="438">
        <v>13037841.92288</v>
      </c>
      <c r="H3854" s="438">
        <v>13470739.503479999</v>
      </c>
    </row>
    <row r="3855" spans="1:8" s="422" customFormat="1" ht="11.25">
      <c r="A3855" s="439" t="s">
        <v>395</v>
      </c>
      <c r="B3855" s="438">
        <v>-6593461.5</v>
      </c>
      <c r="C3855" s="438">
        <v>-9060668.6199999992</v>
      </c>
      <c r="D3855" s="438">
        <v>-8478563.1600000001</v>
      </c>
      <c r="E3855" s="438">
        <v>-8728763.1600000001</v>
      </c>
      <c r="F3855" s="438">
        <v>-8978963.1600000001</v>
      </c>
      <c r="G3855" s="438">
        <v>-9229163.1600000001</v>
      </c>
      <c r="H3855" s="438">
        <v>-9479363.1600000001</v>
      </c>
    </row>
    <row r="3856" spans="1:8" s="422" customFormat="1" ht="11.25">
      <c r="A3856" s="439" t="s">
        <v>396</v>
      </c>
      <c r="B3856" s="438">
        <v>4779929.4000000004</v>
      </c>
      <c r="C3856" s="438">
        <v>2607747.08</v>
      </c>
      <c r="D3856" s="438">
        <v>3510587.1199999992</v>
      </c>
      <c r="E3856" s="438">
        <v>3636782.6011999995</v>
      </c>
      <c r="F3856" s="438">
        <v>3687542.1112000011</v>
      </c>
      <c r="G3856" s="438">
        <v>3808678.7628799994</v>
      </c>
      <c r="H3856" s="438">
        <v>3991376.3434799984</v>
      </c>
    </row>
    <row r="3857" spans="1:8" s="442" customFormat="1" ht="11.25">
      <c r="A3857" s="440" t="s">
        <v>397</v>
      </c>
      <c r="B3857" s="441">
        <v>0.5797269748285887</v>
      </c>
      <c r="C3857" s="441">
        <v>0.77651232634778344</v>
      </c>
      <c r="D3857" s="441">
        <v>0.70718632780370827</v>
      </c>
      <c r="E3857" s="441">
        <v>0.70589388681805565</v>
      </c>
      <c r="F3857" s="441">
        <v>0.70887454493194635</v>
      </c>
      <c r="G3857" s="441">
        <v>0.70787506203797568</v>
      </c>
      <c r="H3857" s="441">
        <v>0.70370027996986539</v>
      </c>
    </row>
    <row r="3858" spans="1:8" s="422" customFormat="1" ht="11.25" customHeight="1"/>
    <row r="3859" spans="1:8" s="422" customFormat="1" ht="11.25">
      <c r="A3859" s="443" t="s">
        <v>594</v>
      </c>
      <c r="B3859" s="443"/>
      <c r="C3859" s="444"/>
    </row>
    <row r="3860" spans="1:8" s="422" customFormat="1" ht="11.25">
      <c r="A3860" s="445" t="s">
        <v>595</v>
      </c>
      <c r="B3860" s="446"/>
      <c r="C3860" s="447"/>
      <c r="D3860" s="439" t="s">
        <v>474</v>
      </c>
      <c r="E3860" s="439" t="s">
        <v>375</v>
      </c>
      <c r="F3860" s="439" t="s">
        <v>9</v>
      </c>
      <c r="G3860" s="439" t="s">
        <v>131</v>
      </c>
      <c r="H3860" s="439" t="s">
        <v>424</v>
      </c>
    </row>
    <row r="3861" spans="1:8" s="422" customFormat="1" ht="11.25">
      <c r="A3861" s="448" t="s">
        <v>1005</v>
      </c>
      <c r="B3861" s="449"/>
      <c r="C3861" s="449"/>
      <c r="D3861" s="462" t="s">
        <v>1006</v>
      </c>
      <c r="E3861" s="462" t="s">
        <v>1006</v>
      </c>
      <c r="F3861" s="462" t="s">
        <v>1006</v>
      </c>
      <c r="G3861" s="462" t="s">
        <v>1006</v>
      </c>
      <c r="H3861" s="462" t="s">
        <v>1006</v>
      </c>
    </row>
    <row r="3862" spans="1:8" s="422" customFormat="1" ht="11.25">
      <c r="A3862" s="448" t="s">
        <v>1007</v>
      </c>
      <c r="B3862" s="449"/>
      <c r="C3862" s="449"/>
      <c r="D3862" s="458">
        <v>10</v>
      </c>
      <c r="E3862" s="458">
        <v>10</v>
      </c>
      <c r="F3862" s="458">
        <v>10</v>
      </c>
      <c r="G3862" s="458">
        <v>10</v>
      </c>
      <c r="H3862" s="458">
        <v>10</v>
      </c>
    </row>
    <row r="3863" spans="1:8" s="422" customFormat="1" ht="11.25">
      <c r="A3863" s="448" t="s">
        <v>1008</v>
      </c>
      <c r="B3863" s="449"/>
      <c r="C3863" s="449"/>
      <c r="D3863" s="438">
        <v>11</v>
      </c>
      <c r="E3863" s="438">
        <v>11</v>
      </c>
      <c r="F3863" s="438">
        <v>11</v>
      </c>
      <c r="G3863" s="438">
        <v>11</v>
      </c>
      <c r="H3863" s="438">
        <v>11</v>
      </c>
    </row>
    <row r="3864" spans="1:8" s="422" customFormat="1" ht="11.25" customHeight="1"/>
    <row r="3865" spans="1:8" s="422" customFormat="1" ht="11.25">
      <c r="A3865" s="421" t="s">
        <v>423</v>
      </c>
      <c r="B3865" s="421"/>
      <c r="C3865" s="421"/>
    </row>
    <row r="3866" spans="1:8" s="422" customFormat="1" ht="11.25">
      <c r="A3866" s="450"/>
      <c r="B3866" s="439" t="s">
        <v>132</v>
      </c>
      <c r="C3866" s="439" t="s">
        <v>473</v>
      </c>
      <c r="D3866" s="439" t="s">
        <v>474</v>
      </c>
      <c r="E3866" s="439" t="s">
        <v>375</v>
      </c>
      <c r="F3866" s="439" t="s">
        <v>9</v>
      </c>
      <c r="G3866" s="439" t="s">
        <v>131</v>
      </c>
      <c r="H3866" s="439" t="s">
        <v>424</v>
      </c>
    </row>
    <row r="3867" spans="1:8" s="422" customFormat="1" ht="11.25">
      <c r="A3867" s="451" t="s">
        <v>398</v>
      </c>
      <c r="B3867" s="438">
        <v>0</v>
      </c>
      <c r="C3867" s="438">
        <v>0</v>
      </c>
      <c r="D3867" s="438">
        <v>0</v>
      </c>
      <c r="E3867" s="438">
        <v>0</v>
      </c>
      <c r="F3867" s="438">
        <v>0</v>
      </c>
      <c r="G3867" s="438">
        <v>0</v>
      </c>
      <c r="H3867" s="438">
        <v>0</v>
      </c>
    </row>
    <row r="3868" spans="1:8" s="422" customFormat="1" ht="11.25">
      <c r="A3868" s="451" t="s">
        <v>399</v>
      </c>
      <c r="B3868" s="438">
        <v>0</v>
      </c>
      <c r="C3868" s="438">
        <v>0</v>
      </c>
      <c r="D3868" s="438">
        <v>0</v>
      </c>
      <c r="E3868" s="438">
        <v>0</v>
      </c>
      <c r="F3868" s="438">
        <v>0</v>
      </c>
      <c r="G3868" s="438">
        <v>0</v>
      </c>
      <c r="H3868" s="438">
        <v>0</v>
      </c>
    </row>
    <row r="3869" spans="1:8" s="422" customFormat="1" ht="11.25">
      <c r="A3869" s="451" t="s">
        <v>400</v>
      </c>
      <c r="B3869" s="438">
        <v>0</v>
      </c>
      <c r="C3869" s="438">
        <v>0</v>
      </c>
      <c r="D3869" s="438">
        <v>0</v>
      </c>
      <c r="E3869" s="438">
        <v>0</v>
      </c>
      <c r="F3869" s="438">
        <v>0</v>
      </c>
      <c r="G3869" s="438">
        <v>0</v>
      </c>
      <c r="H3869" s="438">
        <v>0</v>
      </c>
    </row>
    <row r="3870" spans="1:8" s="422" customFormat="1" ht="11.25">
      <c r="A3870" s="451" t="s">
        <v>401</v>
      </c>
      <c r="B3870" s="438">
        <v>0</v>
      </c>
      <c r="C3870" s="438">
        <v>0</v>
      </c>
      <c r="D3870" s="438">
        <v>0</v>
      </c>
      <c r="E3870" s="438">
        <v>0</v>
      </c>
      <c r="F3870" s="438">
        <v>0</v>
      </c>
      <c r="G3870" s="438">
        <v>0</v>
      </c>
      <c r="H3870" s="438">
        <v>0</v>
      </c>
    </row>
    <row r="3871" spans="1:8" s="422" customFormat="1" ht="11.25" customHeight="1"/>
    <row r="3872" spans="1:8" s="422" customFormat="1" ht="11.25">
      <c r="A3872" s="421" t="s">
        <v>597</v>
      </c>
      <c r="B3872" s="421"/>
      <c r="C3872" s="421"/>
    </row>
    <row r="3873" spans="1:8" s="429" customFormat="1" ht="11.25">
      <c r="A3873" s="428"/>
      <c r="B3873" s="428"/>
      <c r="C3873" s="428"/>
    </row>
    <row r="3874" spans="1:8" s="429" customFormat="1" ht="11.25">
      <c r="A3874" s="428"/>
      <c r="B3874" s="428"/>
      <c r="C3874" s="428"/>
    </row>
    <row r="3875" spans="1:8" s="422" customFormat="1" ht="11.25" customHeight="1"/>
    <row r="3876" spans="1:8" s="422" customFormat="1" ht="11.25">
      <c r="A3876" s="421" t="s">
        <v>598</v>
      </c>
      <c r="B3876" s="421"/>
      <c r="C3876" s="421"/>
    </row>
    <row r="3877" spans="1:8" s="422" customFormat="1" ht="11.25">
      <c r="A3877" s="452" t="s">
        <v>599</v>
      </c>
      <c r="B3877" s="447"/>
      <c r="C3877" s="447"/>
      <c r="D3877" s="447"/>
      <c r="E3877" s="439" t="s">
        <v>375</v>
      </c>
      <c r="F3877" s="439" t="s">
        <v>9</v>
      </c>
      <c r="G3877" s="439" t="s">
        <v>131</v>
      </c>
      <c r="H3877" s="439" t="s">
        <v>424</v>
      </c>
    </row>
    <row r="3878" spans="1:8" s="422" customFormat="1" ht="11.25">
      <c r="A3878" s="448" t="s">
        <v>153</v>
      </c>
      <c r="B3878" s="449"/>
      <c r="C3878" s="449"/>
      <c r="D3878" s="449"/>
      <c r="E3878" s="438">
        <v>50779.709999999963</v>
      </c>
      <c r="F3878" s="438">
        <v>101539.21999999997</v>
      </c>
      <c r="G3878" s="438">
        <v>152247.79200000002</v>
      </c>
      <c r="H3878" s="438">
        <v>203125.48699999996</v>
      </c>
    </row>
    <row r="3879" spans="1:8" s="422" customFormat="1" ht="11.25">
      <c r="A3879" s="448" t="s">
        <v>441</v>
      </c>
      <c r="B3879" s="449"/>
      <c r="C3879" s="449"/>
      <c r="D3879" s="449"/>
      <c r="E3879" s="438">
        <v>0</v>
      </c>
      <c r="F3879" s="438">
        <v>0</v>
      </c>
      <c r="G3879" s="438">
        <v>0</v>
      </c>
      <c r="H3879" s="438">
        <v>106667</v>
      </c>
    </row>
    <row r="3880" spans="1:8" s="422" customFormat="1" ht="11.25">
      <c r="A3880" s="448"/>
      <c r="B3880" s="449"/>
      <c r="C3880" s="449"/>
      <c r="D3880" s="449"/>
      <c r="E3880" s="438">
        <v>0</v>
      </c>
      <c r="F3880" s="438">
        <v>0</v>
      </c>
      <c r="G3880" s="438">
        <v>0</v>
      </c>
      <c r="H3880" s="438">
        <v>0</v>
      </c>
    </row>
    <row r="3881" spans="1:8" s="421" customFormat="1" ht="11.25">
      <c r="A3881" s="421" t="s">
        <v>391</v>
      </c>
      <c r="D3881" s="421" t="s">
        <v>472</v>
      </c>
    </row>
    <row r="3882" spans="1:8" s="422" customFormat="1" ht="11.25"/>
    <row r="3883" spans="1:8" s="421" customFormat="1" ht="11.25" customHeight="1">
      <c r="A3883" s="423" t="s">
        <v>392</v>
      </c>
      <c r="D3883" s="421" t="s">
        <v>150</v>
      </c>
    </row>
    <row r="3884" spans="1:8" s="421" customFormat="1" ht="7.5" customHeight="1">
      <c r="A3884" s="423"/>
    </row>
    <row r="3885" spans="1:8" s="421" customFormat="1" ht="11.25">
      <c r="A3885" s="424" t="s">
        <v>393</v>
      </c>
      <c r="D3885" s="583" t="s">
        <v>151</v>
      </c>
      <c r="E3885" s="583"/>
      <c r="F3885" s="583"/>
      <c r="G3885" s="583"/>
      <c r="H3885" s="583"/>
    </row>
    <row r="3886" spans="1:8" s="421" customFormat="1" ht="7.5" customHeight="1"/>
    <row r="3887" spans="1:8" s="422" customFormat="1" ht="11.25">
      <c r="A3887" s="421" t="s">
        <v>170</v>
      </c>
      <c r="B3887" s="421"/>
      <c r="C3887" s="421"/>
      <c r="D3887" s="422" t="s">
        <v>258</v>
      </c>
      <c r="E3887" s="422" t="s">
        <v>1009</v>
      </c>
    </row>
    <row r="3888" spans="1:8" s="422" customFormat="1" ht="7.5" customHeight="1"/>
    <row r="3889" spans="1:8" s="427" customFormat="1" ht="11.25">
      <c r="A3889" s="425" t="s">
        <v>587</v>
      </c>
      <c r="B3889" s="425"/>
      <c r="C3889" s="425"/>
      <c r="D3889" s="426" t="s">
        <v>1010</v>
      </c>
      <c r="E3889" s="584" t="s">
        <v>1011</v>
      </c>
      <c r="F3889" s="584"/>
      <c r="G3889" s="584"/>
      <c r="H3889" s="584"/>
    </row>
    <row r="3890" spans="1:8" s="427" customFormat="1" ht="11.25">
      <c r="A3890" s="425"/>
      <c r="B3890" s="425"/>
      <c r="C3890" s="425"/>
      <c r="D3890" s="426" t="s">
        <v>1012</v>
      </c>
      <c r="E3890" s="584" t="s">
        <v>1013</v>
      </c>
      <c r="F3890" s="584"/>
      <c r="G3890" s="584"/>
      <c r="H3890" s="584"/>
    </row>
    <row r="3891" spans="1:8" s="427" customFormat="1" ht="11.25">
      <c r="A3891" s="425"/>
      <c r="B3891" s="425"/>
      <c r="C3891" s="425"/>
      <c r="D3891" s="426" t="s">
        <v>1014</v>
      </c>
      <c r="E3891" s="584" t="s">
        <v>1015</v>
      </c>
      <c r="F3891" s="584"/>
      <c r="G3891" s="584"/>
      <c r="H3891" s="584"/>
    </row>
    <row r="3892" spans="1:8" s="427" customFormat="1" ht="11.25">
      <c r="A3892" s="425"/>
      <c r="B3892" s="425"/>
      <c r="C3892" s="425"/>
      <c r="D3892" s="426" t="s">
        <v>1016</v>
      </c>
      <c r="E3892" s="584" t="s">
        <v>1017</v>
      </c>
      <c r="F3892" s="584"/>
      <c r="G3892" s="584"/>
      <c r="H3892" s="584"/>
    </row>
    <row r="3893" spans="1:8" s="427" customFormat="1" ht="11.25">
      <c r="A3893" s="425"/>
      <c r="B3893" s="425"/>
      <c r="C3893" s="425"/>
      <c r="D3893" s="426" t="s">
        <v>1018</v>
      </c>
      <c r="E3893" s="584" t="s">
        <v>1019</v>
      </c>
      <c r="F3893" s="584"/>
      <c r="G3893" s="584"/>
      <c r="H3893" s="584"/>
    </row>
    <row r="3894" spans="1:8" s="427" customFormat="1" ht="11.25">
      <c r="A3894" s="425"/>
      <c r="B3894" s="425"/>
      <c r="C3894" s="425"/>
      <c r="D3894" s="426"/>
      <c r="E3894" s="584"/>
      <c r="F3894" s="584"/>
      <c r="G3894" s="584"/>
      <c r="H3894" s="584"/>
    </row>
    <row r="3895" spans="1:8" s="427" customFormat="1" ht="11.25"/>
    <row r="3896" spans="1:8" s="422" customFormat="1" ht="11.25"/>
    <row r="3897" spans="1:8" s="422" customFormat="1" ht="11.25">
      <c r="A3897" s="421" t="s">
        <v>589</v>
      </c>
      <c r="B3897" s="421"/>
      <c r="C3897" s="421"/>
    </row>
    <row r="3898" spans="1:8" s="429" customFormat="1" ht="11.25" customHeight="1">
      <c r="A3898" s="428"/>
      <c r="B3898" s="428"/>
      <c r="C3898" s="428"/>
    </row>
    <row r="3899" spans="1:8" s="429" customFormat="1" ht="11.25" customHeight="1">
      <c r="A3899" s="428"/>
      <c r="B3899" s="428"/>
      <c r="C3899" s="428"/>
    </row>
    <row r="3900" spans="1:8" s="429" customFormat="1" ht="11.25" hidden="1">
      <c r="A3900" s="428"/>
      <c r="B3900" s="428"/>
      <c r="C3900" s="428"/>
    </row>
    <row r="3901" spans="1:8" s="429" customFormat="1" ht="11.25" customHeight="1">
      <c r="A3901" s="428"/>
      <c r="B3901" s="428"/>
      <c r="C3901" s="428"/>
    </row>
    <row r="3902" spans="1:8" s="429" customFormat="1" ht="11.25" hidden="1">
      <c r="A3902" s="428"/>
      <c r="B3902" s="428"/>
      <c r="C3902" s="428"/>
    </row>
    <row r="3903" spans="1:8" s="429" customFormat="1" ht="11.25" hidden="1">
      <c r="A3903" s="428"/>
      <c r="B3903" s="428"/>
      <c r="C3903" s="428"/>
    </row>
    <row r="3904" spans="1:8" s="422" customFormat="1" ht="9" hidden="1" customHeight="1">
      <c r="A3904" s="430"/>
      <c r="B3904" s="430"/>
      <c r="C3904" s="430"/>
      <c r="D3904" s="430"/>
      <c r="E3904" s="430"/>
      <c r="F3904" s="430"/>
      <c r="G3904" s="430"/>
      <c r="H3904" s="430"/>
    </row>
    <row r="3905" spans="1:8" s="422" customFormat="1" ht="22.5" customHeight="1">
      <c r="A3905" s="585" t="s">
        <v>590</v>
      </c>
      <c r="B3905" s="585"/>
      <c r="C3905" s="585"/>
      <c r="D3905" s="586"/>
      <c r="E3905" s="586"/>
      <c r="F3905" s="586"/>
      <c r="G3905" s="586"/>
      <c r="H3905" s="586"/>
    </row>
    <row r="3906" spans="1:8" s="429" customFormat="1" ht="11.25">
      <c r="A3906" s="431"/>
      <c r="B3906" s="431"/>
      <c r="C3906" s="431"/>
      <c r="D3906" s="432"/>
      <c r="E3906" s="432"/>
      <c r="F3906" s="432"/>
      <c r="G3906" s="432"/>
      <c r="H3906" s="432"/>
    </row>
    <row r="3907" spans="1:8" s="429" customFormat="1" ht="11.25">
      <c r="A3907" s="431"/>
      <c r="B3907" s="431"/>
      <c r="C3907" s="431"/>
      <c r="D3907" s="432"/>
      <c r="E3907" s="432"/>
      <c r="F3907" s="432"/>
      <c r="G3907" s="432"/>
      <c r="H3907" s="432"/>
    </row>
    <row r="3908" spans="1:8" s="429" customFormat="1" ht="67.5" customHeight="1">
      <c r="A3908" s="431"/>
      <c r="B3908" s="431"/>
      <c r="C3908" s="431"/>
      <c r="D3908" s="432"/>
      <c r="E3908" s="432"/>
      <c r="F3908" s="432"/>
      <c r="G3908" s="432"/>
      <c r="H3908" s="432"/>
    </row>
    <row r="3909" spans="1:8" s="429" customFormat="1" ht="11.25" hidden="1">
      <c r="A3909" s="431"/>
      <c r="B3909" s="431"/>
      <c r="C3909" s="431"/>
      <c r="D3909" s="432"/>
      <c r="E3909" s="432"/>
      <c r="F3909" s="432"/>
      <c r="G3909" s="432"/>
      <c r="H3909" s="432"/>
    </row>
    <row r="3910" spans="1:8" s="429" customFormat="1" ht="11.25" hidden="1">
      <c r="A3910" s="431"/>
      <c r="B3910" s="431"/>
      <c r="C3910" s="431"/>
      <c r="D3910" s="432"/>
      <c r="E3910" s="432"/>
      <c r="F3910" s="432"/>
      <c r="G3910" s="432"/>
      <c r="H3910" s="432"/>
    </row>
    <row r="3911" spans="1:8" s="422" customFormat="1" ht="9" customHeight="1"/>
    <row r="3912" spans="1:8" s="422" customFormat="1" ht="11.25" customHeight="1"/>
    <row r="3913" spans="1:8" s="422" customFormat="1" ht="12.75" customHeight="1">
      <c r="A3913" s="421" t="s">
        <v>591</v>
      </c>
      <c r="B3913" s="421"/>
      <c r="C3913" s="421"/>
    </row>
    <row r="3914" spans="1:8" s="429" customFormat="1" ht="11.25" customHeight="1">
      <c r="A3914" s="428"/>
      <c r="B3914" s="428"/>
      <c r="C3914" s="428"/>
    </row>
    <row r="3915" spans="1:8" s="429" customFormat="1" ht="11.25" hidden="1" customHeight="1">
      <c r="A3915" s="428"/>
      <c r="B3915" s="428"/>
      <c r="C3915" s="428"/>
    </row>
    <row r="3916" spans="1:8" s="429" customFormat="1" ht="11.25" hidden="1" customHeight="1">
      <c r="A3916" s="428"/>
      <c r="B3916" s="428"/>
      <c r="C3916" s="428"/>
    </row>
    <row r="3917" spans="1:8" s="429" customFormat="1" ht="11.25" hidden="1" customHeight="1">
      <c r="A3917" s="428"/>
      <c r="B3917" s="428"/>
      <c r="C3917" s="428"/>
    </row>
    <row r="3918" spans="1:8" s="429" customFormat="1" ht="11.25" customHeight="1">
      <c r="A3918" s="428"/>
      <c r="B3918" s="428"/>
      <c r="C3918" s="428"/>
    </row>
    <row r="3919" spans="1:8" s="429" customFormat="1" ht="6" hidden="1" customHeight="1">
      <c r="A3919" s="428"/>
      <c r="B3919" s="428"/>
      <c r="C3919" s="428"/>
    </row>
    <row r="3920" spans="1:8" s="422" customFormat="1" ht="11.25" customHeight="1"/>
    <row r="3921" spans="1:8" s="422" customFormat="1" ht="11.25">
      <c r="A3921" s="433" t="s">
        <v>592</v>
      </c>
      <c r="B3921" s="434"/>
      <c r="C3921" s="434"/>
      <c r="D3921" s="434"/>
      <c r="E3921" s="434"/>
      <c r="F3921" s="434"/>
      <c r="G3921" s="434"/>
      <c r="H3921" s="434"/>
    </row>
    <row r="3922" spans="1:8" s="429" customFormat="1" ht="11.25" customHeight="1">
      <c r="A3922" s="435"/>
      <c r="B3922" s="436"/>
      <c r="C3922" s="436"/>
      <c r="D3922" s="436"/>
      <c r="E3922" s="436"/>
      <c r="F3922" s="436"/>
      <c r="G3922" s="436"/>
      <c r="H3922" s="436"/>
    </row>
    <row r="3923" spans="1:8" s="429" customFormat="1" ht="11.25" customHeight="1">
      <c r="A3923" s="435"/>
      <c r="B3923" s="436"/>
      <c r="C3923" s="436"/>
      <c r="D3923" s="436"/>
      <c r="E3923" s="436"/>
      <c r="F3923" s="436"/>
      <c r="G3923" s="436"/>
      <c r="H3923" s="436"/>
    </row>
    <row r="3924" spans="1:8" s="422" customFormat="1" ht="11.25" customHeight="1">
      <c r="A3924" s="437"/>
      <c r="B3924" s="437"/>
      <c r="C3924" s="437"/>
      <c r="D3924" s="437"/>
      <c r="E3924" s="437"/>
      <c r="F3924" s="437"/>
      <c r="G3924" s="437"/>
      <c r="H3924" s="437"/>
    </row>
    <row r="3925" spans="1:8" s="422" customFormat="1" ht="11.25">
      <c r="A3925" s="421" t="s">
        <v>593</v>
      </c>
      <c r="B3925" s="421"/>
      <c r="C3925" s="421"/>
    </row>
    <row r="3926" spans="1:8" s="422" customFormat="1" ht="11.25">
      <c r="A3926" s="438"/>
      <c r="B3926" s="439" t="s">
        <v>132</v>
      </c>
      <c r="C3926" s="439" t="s">
        <v>473</v>
      </c>
      <c r="D3926" s="439" t="s">
        <v>474</v>
      </c>
      <c r="E3926" s="439" t="s">
        <v>375</v>
      </c>
      <c r="F3926" s="439" t="s">
        <v>9</v>
      </c>
      <c r="G3926" s="439" t="s">
        <v>131</v>
      </c>
      <c r="H3926" s="439" t="s">
        <v>424</v>
      </c>
    </row>
    <row r="3927" spans="1:8" s="422" customFormat="1" ht="11.25">
      <c r="A3927" s="439" t="s">
        <v>394</v>
      </c>
      <c r="B3927" s="438">
        <v>7238726.25</v>
      </c>
      <c r="C3927" s="438">
        <v>7284358.1699999999</v>
      </c>
      <c r="D3927" s="438">
        <v>6837943.7200000007</v>
      </c>
      <c r="E3927" s="438">
        <v>6836621.2448000005</v>
      </c>
      <c r="F3927" s="438">
        <v>6835560.2448000005</v>
      </c>
      <c r="G3927" s="438">
        <v>6834778.6835200004</v>
      </c>
      <c r="H3927" s="438">
        <v>6833980.6259200005</v>
      </c>
    </row>
    <row r="3928" spans="1:8" s="422" customFormat="1" ht="11.25">
      <c r="A3928" s="439" t="s">
        <v>395</v>
      </c>
      <c r="B3928" s="438">
        <v>-11902.8</v>
      </c>
      <c r="C3928" s="438">
        <v>-10990.82</v>
      </c>
      <c r="D3928" s="438">
        <v>-19596.32</v>
      </c>
      <c r="E3928" s="438">
        <v>-199596.32</v>
      </c>
      <c r="F3928" s="438">
        <v>-199596.32</v>
      </c>
      <c r="G3928" s="438">
        <v>-199596.32</v>
      </c>
      <c r="H3928" s="438">
        <v>-199596.32</v>
      </c>
    </row>
    <row r="3929" spans="1:8" s="422" customFormat="1" ht="11.25">
      <c r="A3929" s="439" t="s">
        <v>396</v>
      </c>
      <c r="B3929" s="438">
        <v>7226823.4500000002</v>
      </c>
      <c r="C3929" s="438">
        <v>7273367.3499999996</v>
      </c>
      <c r="D3929" s="438">
        <v>6818347.4000000004</v>
      </c>
      <c r="E3929" s="438">
        <v>6637024.9248000002</v>
      </c>
      <c r="F3929" s="438">
        <v>6635963.9248000002</v>
      </c>
      <c r="G3929" s="438">
        <v>6635182.3635200001</v>
      </c>
      <c r="H3929" s="438">
        <v>6634384.3059200002</v>
      </c>
    </row>
    <row r="3930" spans="1:8" s="442" customFormat="1" ht="11.25">
      <c r="A3930" s="440" t="s">
        <v>397</v>
      </c>
      <c r="B3930" s="441">
        <v>1.6443224386334541E-3</v>
      </c>
      <c r="C3930" s="441">
        <v>1.508824764447298E-3</v>
      </c>
      <c r="D3930" s="441">
        <v>2.8658206037413831E-3</v>
      </c>
      <c r="E3930" s="441">
        <v>2.9195170077882387E-2</v>
      </c>
      <c r="F3930" s="441">
        <v>2.9199701685291773E-2</v>
      </c>
      <c r="G3930" s="441">
        <v>2.9203040689710424E-2</v>
      </c>
      <c r="H3930" s="441">
        <v>2.9206450958167599E-2</v>
      </c>
    </row>
    <row r="3931" spans="1:8" s="422" customFormat="1" ht="11.25" customHeight="1"/>
    <row r="3932" spans="1:8" s="422" customFormat="1" ht="11.25">
      <c r="A3932" s="443" t="s">
        <v>594</v>
      </c>
      <c r="B3932" s="443"/>
      <c r="C3932" s="444"/>
    </row>
    <row r="3933" spans="1:8" s="422" customFormat="1" ht="11.25">
      <c r="A3933" s="445" t="s">
        <v>595</v>
      </c>
      <c r="B3933" s="446"/>
      <c r="C3933" s="447"/>
      <c r="D3933" s="439" t="s">
        <v>474</v>
      </c>
      <c r="E3933" s="439" t="s">
        <v>375</v>
      </c>
      <c r="F3933" s="439" t="s">
        <v>9</v>
      </c>
      <c r="G3933" s="439" t="s">
        <v>131</v>
      </c>
      <c r="H3933" s="439" t="s">
        <v>424</v>
      </c>
    </row>
    <row r="3934" spans="1:8" s="422" customFormat="1" ht="11.25">
      <c r="A3934" s="448" t="s">
        <v>913</v>
      </c>
      <c r="B3934" s="449"/>
      <c r="C3934" s="449"/>
      <c r="D3934" s="438"/>
      <c r="E3934" s="438"/>
      <c r="F3934" s="438"/>
      <c r="G3934" s="438"/>
      <c r="H3934" s="438"/>
    </row>
    <row r="3935" spans="1:8" s="422" customFormat="1" ht="11.25">
      <c r="A3935" s="448"/>
      <c r="B3935" s="449"/>
      <c r="C3935" s="449"/>
      <c r="D3935" s="438"/>
      <c r="E3935" s="438"/>
      <c r="F3935" s="438"/>
      <c r="G3935" s="438"/>
      <c r="H3935" s="438"/>
    </row>
    <row r="3936" spans="1:8" s="422" customFormat="1" ht="11.25">
      <c r="A3936" s="448"/>
      <c r="B3936" s="449"/>
      <c r="C3936" s="449"/>
      <c r="D3936" s="438"/>
      <c r="E3936" s="438"/>
      <c r="F3936" s="438"/>
      <c r="G3936" s="438"/>
      <c r="H3936" s="438"/>
    </row>
    <row r="3937" spans="1:8" s="422" customFormat="1" ht="11.25" customHeight="1"/>
    <row r="3938" spans="1:8" s="422" customFormat="1" ht="11.25">
      <c r="A3938" s="421" t="s">
        <v>423</v>
      </c>
      <c r="B3938" s="421"/>
      <c r="C3938" s="421"/>
    </row>
    <row r="3939" spans="1:8" s="422" customFormat="1" ht="11.25">
      <c r="A3939" s="450"/>
      <c r="B3939" s="439" t="s">
        <v>132</v>
      </c>
      <c r="C3939" s="439" t="s">
        <v>473</v>
      </c>
      <c r="D3939" s="439" t="s">
        <v>474</v>
      </c>
      <c r="E3939" s="439" t="s">
        <v>375</v>
      </c>
      <c r="F3939" s="439" t="s">
        <v>9</v>
      </c>
      <c r="G3939" s="439" t="s">
        <v>131</v>
      </c>
      <c r="H3939" s="439" t="s">
        <v>424</v>
      </c>
    </row>
    <row r="3940" spans="1:8" s="422" customFormat="1" ht="11.25">
      <c r="A3940" s="451" t="s">
        <v>398</v>
      </c>
      <c r="B3940" s="438">
        <v>0</v>
      </c>
      <c r="C3940" s="438">
        <v>0</v>
      </c>
      <c r="D3940" s="438">
        <v>0</v>
      </c>
      <c r="E3940" s="438">
        <v>0</v>
      </c>
      <c r="F3940" s="438">
        <v>0</v>
      </c>
      <c r="G3940" s="438">
        <v>0</v>
      </c>
      <c r="H3940" s="438">
        <v>0</v>
      </c>
    </row>
    <row r="3941" spans="1:8" s="422" customFormat="1" ht="11.25">
      <c r="A3941" s="451" t="s">
        <v>399</v>
      </c>
      <c r="B3941" s="438">
        <v>0</v>
      </c>
      <c r="C3941" s="438">
        <v>0</v>
      </c>
      <c r="D3941" s="438">
        <v>0</v>
      </c>
      <c r="E3941" s="438">
        <v>0</v>
      </c>
      <c r="F3941" s="438">
        <v>0</v>
      </c>
      <c r="G3941" s="438">
        <v>0</v>
      </c>
      <c r="H3941" s="438">
        <v>0</v>
      </c>
    </row>
    <row r="3942" spans="1:8" s="422" customFormat="1" ht="11.25">
      <c r="A3942" s="451" t="s">
        <v>400</v>
      </c>
      <c r="B3942" s="438">
        <v>0</v>
      </c>
      <c r="C3942" s="438">
        <v>0</v>
      </c>
      <c r="D3942" s="438">
        <v>0</v>
      </c>
      <c r="E3942" s="438">
        <v>0</v>
      </c>
      <c r="F3942" s="438">
        <v>0</v>
      </c>
      <c r="G3942" s="438">
        <v>0</v>
      </c>
      <c r="H3942" s="438">
        <v>0</v>
      </c>
    </row>
    <row r="3943" spans="1:8" s="422" customFormat="1" ht="11.25">
      <c r="A3943" s="451" t="s">
        <v>401</v>
      </c>
      <c r="B3943" s="438">
        <v>0</v>
      </c>
      <c r="C3943" s="438">
        <v>0</v>
      </c>
      <c r="D3943" s="438">
        <v>0</v>
      </c>
      <c r="E3943" s="438">
        <v>0</v>
      </c>
      <c r="F3943" s="438">
        <v>0</v>
      </c>
      <c r="G3943" s="438">
        <v>0</v>
      </c>
      <c r="H3943" s="438">
        <v>0</v>
      </c>
    </row>
    <row r="3944" spans="1:8" s="422" customFormat="1" ht="11.25" customHeight="1"/>
    <row r="3945" spans="1:8" s="422" customFormat="1" ht="11.25">
      <c r="A3945" s="421" t="s">
        <v>597</v>
      </c>
      <c r="B3945" s="421"/>
      <c r="C3945" s="421"/>
    </row>
    <row r="3946" spans="1:8" s="429" customFormat="1" ht="11.25">
      <c r="A3946" s="428"/>
      <c r="B3946" s="428"/>
      <c r="C3946" s="428"/>
    </row>
    <row r="3947" spans="1:8" s="429" customFormat="1" ht="11.25" hidden="1">
      <c r="A3947" s="428"/>
      <c r="B3947" s="428"/>
      <c r="C3947" s="428"/>
    </row>
    <row r="3948" spans="1:8" s="429" customFormat="1" ht="11.25">
      <c r="A3948" s="428"/>
      <c r="B3948" s="428"/>
      <c r="C3948" s="428"/>
    </row>
    <row r="3949" spans="1:8" s="422" customFormat="1" ht="11.25" customHeight="1"/>
    <row r="3950" spans="1:8" s="422" customFormat="1" ht="11.25">
      <c r="A3950" s="421" t="s">
        <v>598</v>
      </c>
      <c r="B3950" s="421"/>
      <c r="C3950" s="421"/>
    </row>
    <row r="3951" spans="1:8" s="422" customFormat="1" ht="11.25">
      <c r="A3951" s="452" t="s">
        <v>599</v>
      </c>
      <c r="B3951" s="447"/>
      <c r="C3951" s="447"/>
      <c r="D3951" s="447"/>
      <c r="E3951" s="439" t="s">
        <v>375</v>
      </c>
      <c r="F3951" s="439" t="s">
        <v>9</v>
      </c>
      <c r="G3951" s="439" t="s">
        <v>131</v>
      </c>
      <c r="H3951" s="439" t="s">
        <v>424</v>
      </c>
    </row>
    <row r="3952" spans="1:8" s="422" customFormat="1" ht="11.25">
      <c r="A3952" s="448"/>
      <c r="B3952" s="449"/>
      <c r="C3952" s="449"/>
      <c r="D3952" s="449"/>
      <c r="E3952" s="438">
        <v>0</v>
      </c>
      <c r="F3952" s="438">
        <v>0</v>
      </c>
      <c r="G3952" s="438">
        <v>0</v>
      </c>
      <c r="H3952" s="438">
        <v>0</v>
      </c>
    </row>
    <row r="3953" spans="1:8" s="422" customFormat="1" ht="11.25">
      <c r="A3953" s="448"/>
      <c r="B3953" s="449"/>
      <c r="C3953" s="449"/>
      <c r="D3953" s="449"/>
      <c r="E3953" s="438">
        <v>0</v>
      </c>
      <c r="F3953" s="438">
        <v>0</v>
      </c>
      <c r="G3953" s="438">
        <v>0</v>
      </c>
      <c r="H3953" s="438">
        <v>0</v>
      </c>
    </row>
    <row r="3954" spans="1:8" s="422" customFormat="1" ht="11.25">
      <c r="A3954" s="448"/>
      <c r="B3954" s="449"/>
      <c r="C3954" s="449"/>
      <c r="D3954" s="449"/>
      <c r="E3954" s="438">
        <v>0</v>
      </c>
      <c r="F3954" s="438">
        <v>0</v>
      </c>
      <c r="G3954" s="438">
        <v>0</v>
      </c>
      <c r="H3954" s="438">
        <v>0</v>
      </c>
    </row>
    <row r="3955" spans="1:8" s="421" customFormat="1" ht="11.25">
      <c r="A3955" s="421" t="s">
        <v>391</v>
      </c>
      <c r="D3955" s="421" t="s">
        <v>472</v>
      </c>
    </row>
    <row r="3956" spans="1:8" s="422" customFormat="1" ht="11.25"/>
    <row r="3957" spans="1:8" s="421" customFormat="1" ht="11.25" customHeight="1">
      <c r="A3957" s="423" t="s">
        <v>392</v>
      </c>
      <c r="D3957" s="421" t="s">
        <v>150</v>
      </c>
    </row>
    <row r="3958" spans="1:8" s="421" customFormat="1" ht="7.5" customHeight="1">
      <c r="A3958" s="423"/>
    </row>
    <row r="3959" spans="1:8" s="421" customFormat="1" ht="11.25">
      <c r="A3959" s="424" t="s">
        <v>393</v>
      </c>
      <c r="D3959" s="583" t="s">
        <v>154</v>
      </c>
      <c r="E3959" s="583"/>
      <c r="F3959" s="583"/>
      <c r="G3959" s="583"/>
      <c r="H3959" s="583"/>
    </row>
    <row r="3960" spans="1:8" s="421" customFormat="1" ht="7.5" customHeight="1"/>
    <row r="3961" spans="1:8" s="422" customFormat="1" ht="11.25">
      <c r="A3961" s="421" t="s">
        <v>170</v>
      </c>
      <c r="B3961" s="421"/>
      <c r="C3961" s="421"/>
      <c r="D3961" s="422" t="s">
        <v>260</v>
      </c>
      <c r="E3961" s="422" t="s">
        <v>1020</v>
      </c>
    </row>
    <row r="3962" spans="1:8" s="422" customFormat="1" ht="7.5" customHeight="1"/>
    <row r="3963" spans="1:8" s="427" customFormat="1" ht="11.25">
      <c r="A3963" s="425" t="s">
        <v>587</v>
      </c>
      <c r="B3963" s="425"/>
      <c r="C3963" s="425"/>
      <c r="D3963" s="426" t="s">
        <v>1021</v>
      </c>
      <c r="E3963" s="584" t="s">
        <v>1022</v>
      </c>
      <c r="F3963" s="584"/>
      <c r="G3963" s="584"/>
      <c r="H3963" s="584"/>
    </row>
    <row r="3964" spans="1:8" s="427" customFormat="1" ht="11.25">
      <c r="A3964" s="425"/>
      <c r="B3964" s="425"/>
      <c r="C3964" s="425"/>
      <c r="D3964" s="426" t="s">
        <v>1023</v>
      </c>
      <c r="E3964" s="584" t="s">
        <v>1024</v>
      </c>
      <c r="F3964" s="584"/>
      <c r="G3964" s="584"/>
      <c r="H3964" s="584"/>
    </row>
    <row r="3965" spans="1:8" s="427" customFormat="1" ht="11.25">
      <c r="A3965" s="425"/>
      <c r="B3965" s="425"/>
      <c r="C3965" s="425"/>
      <c r="D3965" s="426" t="s">
        <v>1025</v>
      </c>
      <c r="E3965" s="584" t="s">
        <v>1026</v>
      </c>
      <c r="F3965" s="584"/>
      <c r="G3965" s="584"/>
      <c r="H3965" s="584"/>
    </row>
    <row r="3966" spans="1:8" s="427" customFormat="1" ht="11.25">
      <c r="A3966" s="425"/>
      <c r="B3966" s="425"/>
      <c r="C3966" s="425"/>
      <c r="D3966" s="426" t="s">
        <v>1027</v>
      </c>
      <c r="E3966" s="584" t="s">
        <v>1028</v>
      </c>
      <c r="F3966" s="584"/>
      <c r="G3966" s="584"/>
      <c r="H3966" s="584"/>
    </row>
    <row r="3967" spans="1:8" s="427" customFormat="1" ht="11.25">
      <c r="A3967" s="425"/>
      <c r="B3967" s="425"/>
      <c r="C3967" s="425"/>
      <c r="D3967" s="426" t="s">
        <v>1029</v>
      </c>
      <c r="E3967" s="584" t="s">
        <v>1030</v>
      </c>
      <c r="F3967" s="584"/>
      <c r="G3967" s="584"/>
      <c r="H3967" s="584"/>
    </row>
    <row r="3968" spans="1:8" s="427" customFormat="1" ht="11.25">
      <c r="A3968" s="425"/>
      <c r="B3968" s="425"/>
      <c r="C3968" s="425"/>
      <c r="D3968" s="426" t="s">
        <v>1031</v>
      </c>
      <c r="E3968" s="584" t="s">
        <v>1032</v>
      </c>
      <c r="F3968" s="584"/>
      <c r="G3968" s="584"/>
      <c r="H3968" s="584"/>
    </row>
    <row r="3969" spans="1:8" s="427" customFormat="1" ht="11.25">
      <c r="A3969" s="425"/>
      <c r="B3969" s="425"/>
      <c r="C3969" s="425"/>
      <c r="D3969" s="426"/>
      <c r="E3969" s="584"/>
      <c r="F3969" s="584"/>
      <c r="G3969" s="584"/>
      <c r="H3969" s="584"/>
    </row>
    <row r="3970" spans="1:8" s="427" customFormat="1" ht="6" customHeight="1"/>
    <row r="3971" spans="1:8" s="422" customFormat="1" ht="6" customHeight="1"/>
    <row r="3972" spans="1:8" s="422" customFormat="1" ht="11.25">
      <c r="A3972" s="421" t="s">
        <v>589</v>
      </c>
      <c r="B3972" s="421"/>
      <c r="C3972" s="421"/>
    </row>
    <row r="3973" spans="1:8" s="429" customFormat="1" ht="11.25">
      <c r="A3973" s="428"/>
      <c r="B3973" s="428"/>
      <c r="C3973" s="428"/>
    </row>
    <row r="3974" spans="1:8" s="429" customFormat="1" ht="9" customHeight="1">
      <c r="A3974" s="428"/>
      <c r="B3974" s="428"/>
      <c r="C3974" s="428"/>
    </row>
    <row r="3975" spans="1:8" s="422" customFormat="1" ht="9" hidden="1" customHeight="1">
      <c r="A3975" s="430"/>
      <c r="B3975" s="430"/>
      <c r="C3975" s="430"/>
      <c r="D3975" s="430"/>
      <c r="E3975" s="430"/>
      <c r="F3975" s="430"/>
      <c r="G3975" s="430"/>
      <c r="H3975" s="430"/>
    </row>
    <row r="3976" spans="1:8" s="422" customFormat="1" ht="9" hidden="1" customHeight="1">
      <c r="A3976" s="430"/>
      <c r="B3976" s="430"/>
      <c r="C3976" s="430"/>
      <c r="D3976" s="430"/>
      <c r="E3976" s="430"/>
      <c r="F3976" s="430"/>
      <c r="G3976" s="430"/>
      <c r="H3976" s="430"/>
    </row>
    <row r="3977" spans="1:8" s="422" customFormat="1" ht="9" hidden="1" customHeight="1">
      <c r="A3977" s="430"/>
      <c r="B3977" s="430"/>
      <c r="C3977" s="430"/>
      <c r="D3977" s="430"/>
      <c r="E3977" s="430"/>
      <c r="F3977" s="430"/>
      <c r="G3977" s="430"/>
      <c r="H3977" s="430"/>
    </row>
    <row r="3978" spans="1:8" s="422" customFormat="1" ht="9" hidden="1" customHeight="1">
      <c r="A3978" s="430"/>
      <c r="B3978" s="430"/>
      <c r="C3978" s="430"/>
      <c r="D3978" s="430"/>
      <c r="E3978" s="430"/>
      <c r="F3978" s="430"/>
      <c r="G3978" s="430"/>
      <c r="H3978" s="430"/>
    </row>
    <row r="3979" spans="1:8" s="422" customFormat="1" ht="11.25" customHeight="1">
      <c r="A3979" s="430"/>
      <c r="B3979" s="430"/>
      <c r="C3979" s="430"/>
      <c r="D3979" s="430"/>
      <c r="E3979" s="430"/>
      <c r="F3979" s="430"/>
      <c r="G3979" s="430"/>
      <c r="H3979" s="430"/>
    </row>
    <row r="3980" spans="1:8" s="422" customFormat="1" ht="22.5" customHeight="1">
      <c r="A3980" s="585" t="s">
        <v>590</v>
      </c>
      <c r="B3980" s="585"/>
      <c r="C3980" s="585"/>
      <c r="D3980" s="586"/>
      <c r="E3980" s="586"/>
      <c r="F3980" s="586"/>
      <c r="G3980" s="586"/>
      <c r="H3980" s="586"/>
    </row>
    <row r="3981" spans="1:8" s="429" customFormat="1" ht="11.25">
      <c r="A3981" s="431"/>
      <c r="B3981" s="431"/>
      <c r="C3981" s="431"/>
      <c r="D3981" s="432"/>
      <c r="E3981" s="432"/>
      <c r="F3981" s="432"/>
      <c r="G3981" s="432"/>
      <c r="H3981" s="432"/>
    </row>
    <row r="3982" spans="1:8" s="429" customFormat="1" ht="11.25">
      <c r="A3982" s="431"/>
      <c r="B3982" s="431"/>
      <c r="C3982" s="431"/>
      <c r="D3982" s="432"/>
      <c r="E3982" s="432"/>
      <c r="F3982" s="432"/>
      <c r="G3982" s="432"/>
      <c r="H3982" s="432"/>
    </row>
    <row r="3983" spans="1:8" s="429" customFormat="1" ht="11.25">
      <c r="A3983" s="431"/>
      <c r="B3983" s="431"/>
      <c r="C3983" s="431"/>
      <c r="D3983" s="432"/>
      <c r="E3983" s="432"/>
      <c r="F3983" s="432"/>
      <c r="G3983" s="432"/>
      <c r="H3983" s="432"/>
    </row>
    <row r="3984" spans="1:8" s="429" customFormat="1" ht="11.25">
      <c r="A3984" s="431"/>
      <c r="B3984" s="431"/>
      <c r="C3984" s="431"/>
      <c r="D3984" s="432"/>
      <c r="E3984" s="432"/>
      <c r="F3984" s="432"/>
      <c r="G3984" s="432"/>
      <c r="H3984" s="432"/>
    </row>
    <row r="3985" spans="1:8" s="429" customFormat="1" ht="11.25">
      <c r="A3985" s="431"/>
      <c r="B3985" s="431"/>
      <c r="C3985" s="431"/>
      <c r="D3985" s="432"/>
      <c r="E3985" s="432"/>
      <c r="F3985" s="432"/>
      <c r="G3985" s="432"/>
      <c r="H3985" s="432"/>
    </row>
    <row r="3986" spans="1:8" s="429" customFormat="1" ht="12.75" customHeight="1">
      <c r="A3986" s="431"/>
      <c r="B3986" s="431"/>
      <c r="C3986" s="431"/>
      <c r="D3986" s="432"/>
      <c r="E3986" s="432"/>
      <c r="F3986" s="432"/>
      <c r="G3986" s="432"/>
      <c r="H3986" s="432"/>
    </row>
    <row r="3987" spans="1:8" s="429" customFormat="1" ht="11.25" hidden="1" customHeight="1">
      <c r="A3987" s="431"/>
      <c r="B3987" s="431"/>
      <c r="C3987" s="431"/>
      <c r="D3987" s="432"/>
      <c r="E3987" s="432"/>
      <c r="F3987" s="432"/>
      <c r="G3987" s="432"/>
      <c r="H3987" s="432"/>
    </row>
    <row r="3988" spans="1:8" s="422" customFormat="1" ht="3" customHeight="1"/>
    <row r="3989" spans="1:8" s="422" customFormat="1" ht="11.25" customHeight="1"/>
    <row r="3990" spans="1:8" s="422" customFormat="1" ht="12" customHeight="1">
      <c r="A3990" s="421" t="s">
        <v>591</v>
      </c>
      <c r="B3990" s="421"/>
      <c r="C3990" s="421"/>
    </row>
    <row r="3991" spans="1:8" s="429" customFormat="1" ht="11.25">
      <c r="A3991" s="428"/>
      <c r="B3991" s="428"/>
      <c r="C3991" s="428"/>
    </row>
    <row r="3992" spans="1:8" s="429" customFormat="1" ht="11.25">
      <c r="A3992" s="428"/>
      <c r="B3992" s="428"/>
      <c r="C3992" s="428"/>
    </row>
    <row r="3993" spans="1:8" s="429" customFormat="1" ht="11.25">
      <c r="A3993" s="428"/>
      <c r="B3993" s="428"/>
      <c r="C3993" s="428"/>
    </row>
    <row r="3994" spans="1:8" s="429" customFormat="1" ht="11.25">
      <c r="A3994" s="428"/>
      <c r="B3994" s="428"/>
      <c r="C3994" s="428"/>
    </row>
    <row r="3995" spans="1:8" s="429" customFormat="1" ht="11.25">
      <c r="A3995" s="428"/>
      <c r="B3995" s="428"/>
      <c r="C3995" s="428"/>
    </row>
    <row r="3996" spans="1:8" s="429" customFormat="1" ht="11.25">
      <c r="A3996" s="428"/>
      <c r="B3996" s="428"/>
      <c r="C3996" s="428"/>
    </row>
    <row r="3997" spans="1:8" s="429" customFormat="1" ht="10.5" customHeight="1">
      <c r="A3997" s="428"/>
      <c r="B3997" s="428"/>
      <c r="C3997" s="428"/>
    </row>
    <row r="3998" spans="1:8" s="429" customFormat="1" ht="11.25">
      <c r="A3998" s="428"/>
      <c r="B3998" s="428"/>
      <c r="C3998" s="428"/>
    </row>
    <row r="3999" spans="1:8" s="429" customFormat="1" ht="11.25">
      <c r="A3999" s="428"/>
      <c r="B3999" s="428"/>
      <c r="C3999" s="428"/>
    </row>
    <row r="4000" spans="1:8" s="429" customFormat="1" ht="11.25" hidden="1">
      <c r="A4000" s="428"/>
      <c r="B4000" s="428"/>
      <c r="C4000" s="428"/>
    </row>
    <row r="4001" spans="1:8" s="429" customFormat="1" ht="11.25" hidden="1" customHeight="1">
      <c r="A4001" s="428"/>
      <c r="B4001" s="428"/>
      <c r="C4001" s="428"/>
    </row>
    <row r="4002" spans="1:8" s="422" customFormat="1" ht="11.25" customHeight="1"/>
    <row r="4003" spans="1:8" s="422" customFormat="1" ht="11.25" customHeight="1">
      <c r="A4003" s="433" t="s">
        <v>592</v>
      </c>
      <c r="B4003" s="434"/>
      <c r="C4003" s="434"/>
      <c r="D4003" s="434"/>
      <c r="E4003" s="434"/>
      <c r="F4003" s="434"/>
      <c r="G4003" s="434"/>
      <c r="H4003" s="434"/>
    </row>
    <row r="4004" spans="1:8" s="429" customFormat="1" ht="11.25">
      <c r="A4004" s="435"/>
      <c r="B4004" s="436"/>
      <c r="C4004" s="436"/>
      <c r="D4004" s="436"/>
      <c r="E4004" s="436"/>
      <c r="F4004" s="436"/>
      <c r="G4004" s="436"/>
      <c r="H4004" s="436"/>
    </row>
    <row r="4005" spans="1:8" s="429" customFormat="1" ht="20.25" customHeight="1">
      <c r="A4005" s="435"/>
      <c r="B4005" s="436"/>
      <c r="C4005" s="436"/>
      <c r="D4005" s="436"/>
      <c r="E4005" s="436"/>
      <c r="F4005" s="436"/>
      <c r="G4005" s="436"/>
      <c r="H4005" s="436"/>
    </row>
    <row r="4006" spans="1:8" s="422" customFormat="1" ht="9" customHeight="1">
      <c r="A4006" s="437"/>
      <c r="B4006" s="437"/>
      <c r="C4006" s="437"/>
      <c r="D4006" s="437"/>
      <c r="E4006" s="437"/>
      <c r="F4006" s="437"/>
      <c r="G4006" s="437"/>
      <c r="H4006" s="437"/>
    </row>
    <row r="4007" spans="1:8" s="422" customFormat="1" ht="11.25" customHeight="1">
      <c r="A4007" s="437"/>
      <c r="B4007" s="437"/>
      <c r="C4007" s="437"/>
      <c r="D4007" s="437"/>
      <c r="E4007" s="437"/>
      <c r="F4007" s="437"/>
      <c r="G4007" s="437"/>
      <c r="H4007" s="437"/>
    </row>
    <row r="4008" spans="1:8" s="422" customFormat="1" ht="11.25" customHeight="1">
      <c r="A4008" s="437"/>
      <c r="B4008" s="437"/>
      <c r="C4008" s="437"/>
      <c r="D4008" s="437"/>
      <c r="E4008" s="437"/>
      <c r="F4008" s="437"/>
      <c r="G4008" s="437"/>
      <c r="H4008" s="437"/>
    </row>
    <row r="4009" spans="1:8" s="422" customFormat="1" ht="15" customHeight="1">
      <c r="A4009" s="421" t="s">
        <v>593</v>
      </c>
      <c r="B4009" s="421"/>
      <c r="C4009" s="421"/>
    </row>
    <row r="4010" spans="1:8" s="422" customFormat="1" ht="11.25">
      <c r="A4010" s="438"/>
      <c r="B4010" s="439" t="s">
        <v>132</v>
      </c>
      <c r="C4010" s="439" t="s">
        <v>473</v>
      </c>
      <c r="D4010" s="439" t="s">
        <v>474</v>
      </c>
      <c r="E4010" s="439" t="s">
        <v>375</v>
      </c>
      <c r="F4010" s="439" t="s">
        <v>9</v>
      </c>
      <c r="G4010" s="439" t="s">
        <v>131</v>
      </c>
      <c r="H4010" s="439" t="s">
        <v>424</v>
      </c>
    </row>
    <row r="4011" spans="1:8" s="422" customFormat="1" ht="11.25">
      <c r="A4011" s="439" t="s">
        <v>394</v>
      </c>
      <c r="B4011" s="438">
        <v>5591125.4400000004</v>
      </c>
      <c r="C4011" s="438">
        <v>9896783.4100000001</v>
      </c>
      <c r="D4011" s="438">
        <v>9990245.370000001</v>
      </c>
      <c r="E4011" s="438">
        <v>9449347.9919000007</v>
      </c>
      <c r="F4011" s="438">
        <v>9456037.9919000007</v>
      </c>
      <c r="G4011" s="438">
        <v>9521668.662560001</v>
      </c>
      <c r="H4011" s="438">
        <v>9576182.4735100009</v>
      </c>
    </row>
    <row r="4012" spans="1:8" s="422" customFormat="1" ht="11.25">
      <c r="A4012" s="439" t="s">
        <v>395</v>
      </c>
      <c r="B4012" s="438">
        <v>-224617.58000000002</v>
      </c>
      <c r="C4012" s="438">
        <v>-126723.63999999998</v>
      </c>
      <c r="D4012" s="438">
        <v>-110531.07</v>
      </c>
      <c r="E4012" s="438">
        <v>-110531.07</v>
      </c>
      <c r="F4012" s="438">
        <v>-110531.07</v>
      </c>
      <c r="G4012" s="438">
        <v>-110531.07</v>
      </c>
      <c r="H4012" s="438">
        <v>-110531.07</v>
      </c>
    </row>
    <row r="4013" spans="1:8" s="422" customFormat="1" ht="11.25">
      <c r="A4013" s="439" t="s">
        <v>396</v>
      </c>
      <c r="B4013" s="438">
        <v>5366507.8600000003</v>
      </c>
      <c r="C4013" s="438">
        <v>9770059.7699999996</v>
      </c>
      <c r="D4013" s="438">
        <v>9879714.3000000007</v>
      </c>
      <c r="E4013" s="438">
        <v>9338816.9219000004</v>
      </c>
      <c r="F4013" s="438">
        <v>9345506.9219000004</v>
      </c>
      <c r="G4013" s="438">
        <v>9411137.5925600007</v>
      </c>
      <c r="H4013" s="438">
        <v>9465651.4035100006</v>
      </c>
    </row>
    <row r="4014" spans="1:8" s="442" customFormat="1" ht="11.25">
      <c r="A4014" s="440" t="s">
        <v>397</v>
      </c>
      <c r="B4014" s="441">
        <v>4.0173947519231479E-2</v>
      </c>
      <c r="C4014" s="441">
        <v>1.2804527971376508E-2</v>
      </c>
      <c r="D4014" s="441">
        <v>1.1063899424524345E-2</v>
      </c>
      <c r="E4014" s="441">
        <v>1.1697216579889686E-2</v>
      </c>
      <c r="F4014" s="441">
        <v>1.1688940980850587E-2</v>
      </c>
      <c r="G4014" s="441">
        <v>1.1608371800902654E-2</v>
      </c>
      <c r="H4014" s="441">
        <v>1.1542289456759544E-2</v>
      </c>
    </row>
    <row r="4015" spans="1:8" s="422" customFormat="1" ht="11.25" customHeight="1"/>
    <row r="4016" spans="1:8" s="422" customFormat="1" ht="11.25">
      <c r="A4016" s="443" t="s">
        <v>594</v>
      </c>
      <c r="B4016" s="443"/>
      <c r="C4016" s="444"/>
    </row>
    <row r="4017" spans="1:8" s="422" customFormat="1" ht="11.25">
      <c r="A4017" s="445" t="s">
        <v>595</v>
      </c>
      <c r="B4017" s="446"/>
      <c r="C4017" s="447"/>
      <c r="D4017" s="439" t="s">
        <v>474</v>
      </c>
      <c r="E4017" s="439" t="s">
        <v>375</v>
      </c>
      <c r="F4017" s="439" t="s">
        <v>9</v>
      </c>
      <c r="G4017" s="439" t="s">
        <v>131</v>
      </c>
      <c r="H4017" s="439" t="s">
        <v>424</v>
      </c>
    </row>
    <row r="4018" spans="1:8" s="422" customFormat="1" ht="11.25">
      <c r="A4018" s="448" t="s">
        <v>1033</v>
      </c>
      <c r="B4018" s="449"/>
      <c r="C4018" s="449"/>
      <c r="D4018" s="438">
        <v>8500</v>
      </c>
      <c r="E4018" s="438">
        <v>8500</v>
      </c>
      <c r="F4018" s="438">
        <v>8500</v>
      </c>
      <c r="G4018" s="438">
        <v>8500</v>
      </c>
      <c r="H4018" s="438">
        <v>8500</v>
      </c>
    </row>
    <row r="4019" spans="1:8" s="422" customFormat="1" ht="11.25">
      <c r="A4019" s="448" t="s">
        <v>1034</v>
      </c>
      <c r="B4019" s="449"/>
      <c r="C4019" s="449"/>
      <c r="D4019" s="438">
        <v>10500</v>
      </c>
      <c r="E4019" s="438">
        <v>10500</v>
      </c>
      <c r="F4019" s="438">
        <v>10500</v>
      </c>
      <c r="G4019" s="438">
        <v>10500</v>
      </c>
      <c r="H4019" s="438">
        <v>10500</v>
      </c>
    </row>
    <row r="4020" spans="1:8" s="422" customFormat="1" ht="11.25">
      <c r="A4020" s="448" t="s">
        <v>1035</v>
      </c>
      <c r="B4020" s="449"/>
      <c r="C4020" s="449"/>
      <c r="D4020" s="438">
        <v>10500</v>
      </c>
      <c r="E4020" s="438">
        <v>10500</v>
      </c>
      <c r="F4020" s="438">
        <v>10500</v>
      </c>
      <c r="G4020" s="438">
        <v>10500</v>
      </c>
      <c r="H4020" s="438">
        <v>10500</v>
      </c>
    </row>
    <row r="4021" spans="1:8" s="422" customFormat="1" ht="11.25" customHeight="1"/>
    <row r="4022" spans="1:8" s="422" customFormat="1" ht="11.25">
      <c r="A4022" s="421" t="s">
        <v>423</v>
      </c>
      <c r="B4022" s="421"/>
      <c r="C4022" s="421"/>
    </row>
    <row r="4023" spans="1:8" s="422" customFormat="1" ht="11.25">
      <c r="A4023" s="450"/>
      <c r="B4023" s="439" t="s">
        <v>132</v>
      </c>
      <c r="C4023" s="439" t="s">
        <v>473</v>
      </c>
      <c r="D4023" s="439" t="s">
        <v>474</v>
      </c>
      <c r="E4023" s="439" t="s">
        <v>375</v>
      </c>
      <c r="F4023" s="439" t="s">
        <v>9</v>
      </c>
      <c r="G4023" s="439" t="s">
        <v>131</v>
      </c>
      <c r="H4023" s="439" t="s">
        <v>424</v>
      </c>
    </row>
    <row r="4024" spans="1:8" s="422" customFormat="1" ht="11.25">
      <c r="A4024" s="451" t="s">
        <v>398</v>
      </c>
      <c r="B4024" s="438">
        <v>0</v>
      </c>
      <c r="C4024" s="438">
        <v>0</v>
      </c>
      <c r="D4024" s="438">
        <v>0</v>
      </c>
      <c r="E4024" s="438">
        <v>0</v>
      </c>
      <c r="F4024" s="438">
        <v>0</v>
      </c>
      <c r="G4024" s="438">
        <v>0</v>
      </c>
      <c r="H4024" s="438">
        <v>0</v>
      </c>
    </row>
    <row r="4025" spans="1:8" s="422" customFormat="1" ht="11.25">
      <c r="A4025" s="451" t="s">
        <v>399</v>
      </c>
      <c r="B4025" s="438">
        <v>0</v>
      </c>
      <c r="C4025" s="438">
        <v>0</v>
      </c>
      <c r="D4025" s="438">
        <v>0</v>
      </c>
      <c r="E4025" s="438">
        <v>0</v>
      </c>
      <c r="F4025" s="438">
        <v>0</v>
      </c>
      <c r="G4025" s="438">
        <v>0</v>
      </c>
      <c r="H4025" s="438">
        <v>0</v>
      </c>
    </row>
    <row r="4026" spans="1:8" s="422" customFormat="1" ht="11.25">
      <c r="A4026" s="451" t="s">
        <v>400</v>
      </c>
      <c r="B4026" s="438">
        <v>0</v>
      </c>
      <c r="C4026" s="438">
        <v>0</v>
      </c>
      <c r="D4026" s="438">
        <v>0</v>
      </c>
      <c r="E4026" s="438">
        <v>0</v>
      </c>
      <c r="F4026" s="438">
        <v>0</v>
      </c>
      <c r="G4026" s="438">
        <v>0</v>
      </c>
      <c r="H4026" s="438">
        <v>0</v>
      </c>
    </row>
    <row r="4027" spans="1:8" s="422" customFormat="1" ht="11.25">
      <c r="A4027" s="451" t="s">
        <v>401</v>
      </c>
      <c r="B4027" s="438">
        <v>0</v>
      </c>
      <c r="C4027" s="438">
        <v>0</v>
      </c>
      <c r="D4027" s="438">
        <v>0</v>
      </c>
      <c r="E4027" s="438">
        <v>0</v>
      </c>
      <c r="F4027" s="438">
        <v>0</v>
      </c>
      <c r="G4027" s="438">
        <v>0</v>
      </c>
      <c r="H4027" s="438">
        <v>0</v>
      </c>
    </row>
    <row r="4028" spans="1:8" s="422" customFormat="1" ht="11.25" customHeight="1"/>
    <row r="4029" spans="1:8" s="422" customFormat="1" ht="11.25">
      <c r="A4029" s="421" t="s">
        <v>597</v>
      </c>
      <c r="B4029" s="421"/>
      <c r="C4029" s="421"/>
    </row>
    <row r="4030" spans="1:8" s="429" customFormat="1" ht="11.25" hidden="1">
      <c r="A4030" s="428"/>
      <c r="B4030" s="428"/>
      <c r="C4030" s="428"/>
    </row>
    <row r="4031" spans="1:8" s="429" customFormat="1" ht="11.25">
      <c r="A4031" s="428"/>
      <c r="B4031" s="428"/>
      <c r="C4031" s="428"/>
    </row>
    <row r="4032" spans="1:8" s="429" customFormat="1" ht="11.25">
      <c r="A4032" s="428"/>
      <c r="B4032" s="428"/>
      <c r="C4032" s="428"/>
    </row>
    <row r="4033" spans="1:8" s="422" customFormat="1" ht="11.25" customHeight="1"/>
    <row r="4034" spans="1:8" s="422" customFormat="1" ht="11.25">
      <c r="A4034" s="421" t="s">
        <v>598</v>
      </c>
      <c r="B4034" s="421"/>
      <c r="C4034" s="421"/>
    </row>
    <row r="4035" spans="1:8" s="422" customFormat="1" ht="11.25">
      <c r="A4035" s="452" t="s">
        <v>599</v>
      </c>
      <c r="B4035" s="447"/>
      <c r="C4035" s="447"/>
      <c r="D4035" s="447"/>
      <c r="E4035" s="439" t="s">
        <v>375</v>
      </c>
      <c r="F4035" s="439" t="s">
        <v>9</v>
      </c>
      <c r="G4035" s="439" t="s">
        <v>131</v>
      </c>
      <c r="H4035" s="439" t="s">
        <v>424</v>
      </c>
    </row>
    <row r="4036" spans="1:8" s="422" customFormat="1" ht="11.25">
      <c r="A4036" s="448"/>
      <c r="B4036" s="449"/>
      <c r="C4036" s="449"/>
      <c r="D4036" s="449"/>
      <c r="E4036" s="438">
        <v>0</v>
      </c>
      <c r="F4036" s="438">
        <v>0</v>
      </c>
      <c r="G4036" s="438">
        <v>0</v>
      </c>
      <c r="H4036" s="438">
        <v>0</v>
      </c>
    </row>
    <row r="4037" spans="1:8" s="422" customFormat="1" ht="11.25">
      <c r="A4037" s="448" t="s">
        <v>442</v>
      </c>
      <c r="B4037" s="449"/>
      <c r="C4037" s="449"/>
      <c r="D4037" s="449"/>
      <c r="E4037" s="438">
        <v>40000</v>
      </c>
      <c r="F4037" s="438">
        <v>40000</v>
      </c>
      <c r="G4037" s="438">
        <v>40000</v>
      </c>
      <c r="H4037" s="438">
        <v>40000</v>
      </c>
    </row>
    <row r="4038" spans="1:8" s="422" customFormat="1" ht="11.25">
      <c r="A4038" s="448"/>
      <c r="B4038" s="449"/>
      <c r="C4038" s="449"/>
      <c r="D4038" s="449"/>
      <c r="E4038" s="438">
        <v>0</v>
      </c>
      <c r="F4038" s="438">
        <v>0</v>
      </c>
      <c r="G4038" s="438">
        <v>0</v>
      </c>
      <c r="H4038" s="438">
        <v>0</v>
      </c>
    </row>
    <row r="4039" spans="1:8" s="421" customFormat="1" ht="11.25">
      <c r="A4039" s="421" t="s">
        <v>391</v>
      </c>
      <c r="D4039" s="421" t="s">
        <v>472</v>
      </c>
    </row>
    <row r="4040" spans="1:8" s="422" customFormat="1" ht="11.25"/>
    <row r="4041" spans="1:8" s="421" customFormat="1" ht="11.25" customHeight="1">
      <c r="A4041" s="423" t="s">
        <v>392</v>
      </c>
      <c r="D4041" s="421" t="s">
        <v>150</v>
      </c>
    </row>
    <row r="4042" spans="1:8" s="421" customFormat="1" ht="7.5" customHeight="1">
      <c r="A4042" s="423"/>
    </row>
    <row r="4043" spans="1:8" s="421" customFormat="1" ht="11.25">
      <c r="A4043" s="424" t="s">
        <v>393</v>
      </c>
      <c r="D4043" s="583" t="s">
        <v>154</v>
      </c>
      <c r="E4043" s="583"/>
      <c r="F4043" s="583"/>
      <c r="G4043" s="583"/>
      <c r="H4043" s="583"/>
    </row>
    <row r="4044" spans="1:8" s="421" customFormat="1" ht="7.5" customHeight="1"/>
    <row r="4045" spans="1:8" s="422" customFormat="1" ht="11.25">
      <c r="A4045" s="421" t="s">
        <v>170</v>
      </c>
      <c r="B4045" s="421"/>
      <c r="C4045" s="421"/>
      <c r="D4045" s="422" t="s">
        <v>261</v>
      </c>
      <c r="E4045" s="422" t="s">
        <v>262</v>
      </c>
    </row>
    <row r="4046" spans="1:8" s="422" customFormat="1" ht="7.5" customHeight="1"/>
    <row r="4047" spans="1:8" s="427" customFormat="1" ht="11.25">
      <c r="A4047" s="425" t="s">
        <v>587</v>
      </c>
      <c r="B4047" s="425"/>
      <c r="C4047" s="425"/>
      <c r="D4047" s="426" t="s">
        <v>1036</v>
      </c>
      <c r="E4047" s="584" t="s">
        <v>1037</v>
      </c>
      <c r="F4047" s="584"/>
      <c r="G4047" s="584"/>
      <c r="H4047" s="584"/>
    </row>
    <row r="4048" spans="1:8" s="427" customFormat="1" ht="11.25" customHeight="1">
      <c r="A4048" s="425"/>
      <c r="B4048" s="425"/>
      <c r="C4048" s="425"/>
      <c r="D4048" s="426" t="s">
        <v>1038</v>
      </c>
      <c r="E4048" s="584" t="s">
        <v>1039</v>
      </c>
      <c r="F4048" s="584"/>
      <c r="G4048" s="584"/>
      <c r="H4048" s="584"/>
    </row>
    <row r="4049" spans="1:8" s="427" customFormat="1" ht="11.25" customHeight="1">
      <c r="A4049" s="425"/>
      <c r="B4049" s="425"/>
      <c r="C4049" s="425"/>
      <c r="D4049" s="426" t="s">
        <v>1040</v>
      </c>
      <c r="E4049" s="584" t="s">
        <v>1041</v>
      </c>
      <c r="F4049" s="584"/>
      <c r="G4049" s="584"/>
      <c r="H4049" s="584"/>
    </row>
    <row r="4050" spans="1:8" s="427" customFormat="1" ht="11.25" customHeight="1">
      <c r="A4050" s="425"/>
      <c r="B4050" s="425"/>
      <c r="C4050" s="425"/>
      <c r="D4050" s="426" t="s">
        <v>1042</v>
      </c>
      <c r="E4050" s="584" t="s">
        <v>1043</v>
      </c>
      <c r="F4050" s="584"/>
      <c r="G4050" s="584"/>
      <c r="H4050" s="584"/>
    </row>
    <row r="4051" spans="1:8" s="427" customFormat="1" ht="11.25" customHeight="1">
      <c r="A4051" s="425"/>
      <c r="B4051" s="425"/>
      <c r="C4051" s="425"/>
      <c r="D4051" s="426" t="s">
        <v>1044</v>
      </c>
      <c r="E4051" s="584" t="s">
        <v>1045</v>
      </c>
      <c r="F4051" s="584"/>
      <c r="G4051" s="584"/>
      <c r="H4051" s="584"/>
    </row>
    <row r="4052" spans="1:8" s="427" customFormat="1" ht="11.25">
      <c r="A4052" s="425"/>
      <c r="B4052" s="425"/>
      <c r="C4052" s="425"/>
      <c r="D4052" s="426"/>
      <c r="E4052" s="453"/>
      <c r="F4052" s="453"/>
      <c r="G4052" s="453"/>
      <c r="H4052" s="453"/>
    </row>
    <row r="4053" spans="1:8" s="427" customFormat="1" ht="11.25">
      <c r="A4053" s="425"/>
      <c r="B4053" s="425"/>
      <c r="C4053" s="425"/>
      <c r="D4053" s="426"/>
      <c r="E4053" s="453"/>
      <c r="F4053" s="453"/>
      <c r="G4053" s="453"/>
      <c r="H4053" s="453"/>
    </row>
    <row r="4054" spans="1:8" s="427" customFormat="1" ht="11.25">
      <c r="A4054" s="425"/>
      <c r="B4054" s="425"/>
      <c r="C4054" s="425"/>
      <c r="D4054" s="426"/>
      <c r="E4054" s="584"/>
      <c r="F4054" s="584"/>
      <c r="G4054" s="584"/>
      <c r="H4054" s="584"/>
    </row>
    <row r="4055" spans="1:8" s="427" customFormat="1" ht="11.25" hidden="1">
      <c r="A4055" s="425"/>
      <c r="B4055" s="425"/>
      <c r="C4055" s="425"/>
      <c r="D4055" s="426"/>
      <c r="E4055" s="584"/>
      <c r="F4055" s="584"/>
      <c r="G4055" s="584"/>
      <c r="H4055" s="584"/>
    </row>
    <row r="4056" spans="1:8" s="427" customFormat="1" ht="11.25" hidden="1">
      <c r="A4056" s="425"/>
      <c r="B4056" s="425"/>
      <c r="C4056" s="425"/>
      <c r="D4056" s="426"/>
      <c r="E4056" s="584"/>
      <c r="F4056" s="584"/>
      <c r="G4056" s="584"/>
      <c r="H4056" s="584"/>
    </row>
    <row r="4057" spans="1:8" s="427" customFormat="1" ht="11.25" hidden="1"/>
    <row r="4058" spans="1:8" s="422" customFormat="1" ht="11.25" hidden="1"/>
    <row r="4059" spans="1:8" s="422" customFormat="1" ht="11.25">
      <c r="A4059" s="421" t="s">
        <v>589</v>
      </c>
      <c r="B4059" s="421"/>
      <c r="C4059" s="421"/>
    </row>
    <row r="4060" spans="1:8" s="429" customFormat="1" ht="11.25">
      <c r="A4060" s="428"/>
      <c r="B4060" s="428"/>
      <c r="C4060" s="428"/>
    </row>
    <row r="4061" spans="1:8" s="429" customFormat="1" ht="11.25">
      <c r="A4061" s="428"/>
      <c r="B4061" s="428"/>
      <c r="C4061" s="428"/>
    </row>
    <row r="4062" spans="1:8" s="429" customFormat="1" ht="11.25">
      <c r="A4062" s="428"/>
      <c r="B4062" s="428"/>
      <c r="C4062" s="428"/>
    </row>
    <row r="4063" spans="1:8" s="429" customFormat="1" ht="11.25">
      <c r="A4063" s="428"/>
      <c r="B4063" s="428"/>
      <c r="C4063" s="428"/>
    </row>
    <row r="4064" spans="1:8" s="429" customFormat="1" ht="4.9000000000000004" customHeight="1">
      <c r="A4064" s="428"/>
      <c r="B4064" s="428"/>
      <c r="C4064" s="428"/>
    </row>
    <row r="4065" spans="1:8" s="422" customFormat="1" ht="11.25" customHeight="1">
      <c r="A4065" s="430"/>
      <c r="B4065" s="430"/>
      <c r="C4065" s="430"/>
      <c r="D4065" s="430"/>
      <c r="E4065" s="430"/>
      <c r="F4065" s="430"/>
      <c r="G4065" s="430"/>
      <c r="H4065" s="430"/>
    </row>
    <row r="4066" spans="1:8" s="422" customFormat="1" ht="22.5" customHeight="1">
      <c r="A4066" s="585" t="s">
        <v>590</v>
      </c>
      <c r="B4066" s="585"/>
      <c r="C4066" s="585"/>
      <c r="D4066" s="586"/>
      <c r="E4066" s="586"/>
      <c r="F4066" s="586"/>
      <c r="G4066" s="586"/>
      <c r="H4066" s="586"/>
    </row>
    <row r="4067" spans="1:8" s="429" customFormat="1" ht="11.25">
      <c r="A4067" s="431"/>
      <c r="B4067" s="431"/>
      <c r="C4067" s="431"/>
      <c r="D4067" s="432"/>
      <c r="E4067" s="432"/>
      <c r="F4067" s="432"/>
      <c r="G4067" s="432"/>
      <c r="H4067" s="432"/>
    </row>
    <row r="4068" spans="1:8" s="429" customFormat="1" ht="11.25">
      <c r="A4068" s="431"/>
      <c r="B4068" s="431"/>
      <c r="C4068" s="431"/>
      <c r="D4068" s="432"/>
      <c r="E4068" s="432"/>
      <c r="F4068" s="432"/>
      <c r="G4068" s="432"/>
      <c r="H4068" s="432"/>
    </row>
    <row r="4069" spans="1:8" s="429" customFormat="1" ht="11.25">
      <c r="A4069" s="431"/>
      <c r="B4069" s="431"/>
      <c r="C4069" s="431"/>
      <c r="D4069" s="432"/>
      <c r="E4069" s="432"/>
      <c r="F4069" s="432"/>
      <c r="G4069" s="432"/>
      <c r="H4069" s="432"/>
    </row>
    <row r="4070" spans="1:8" s="429" customFormat="1" ht="11.25">
      <c r="A4070" s="431"/>
      <c r="B4070" s="431"/>
      <c r="C4070" s="431"/>
      <c r="D4070" s="432"/>
      <c r="E4070" s="432"/>
      <c r="F4070" s="432"/>
      <c r="G4070" s="432"/>
      <c r="H4070" s="432"/>
    </row>
    <row r="4071" spans="1:8" s="429" customFormat="1" ht="4.9000000000000004" customHeight="1">
      <c r="A4071" s="431"/>
      <c r="B4071" s="431"/>
      <c r="C4071" s="431"/>
      <c r="D4071" s="432"/>
      <c r="E4071" s="432"/>
      <c r="F4071" s="432"/>
      <c r="G4071" s="432"/>
      <c r="H4071" s="432"/>
    </row>
    <row r="4072" spans="1:8" s="422" customFormat="1" ht="11.25" customHeight="1"/>
    <row r="4073" spans="1:8" s="422" customFormat="1" ht="11.25" customHeight="1">
      <c r="A4073" s="421" t="s">
        <v>591</v>
      </c>
      <c r="B4073" s="421"/>
      <c r="C4073" s="421"/>
    </row>
    <row r="4074" spans="1:8" s="429" customFormat="1" ht="11.25">
      <c r="A4074" s="428"/>
      <c r="B4074" s="428"/>
      <c r="C4074" s="428"/>
    </row>
    <row r="4075" spans="1:8" s="429" customFormat="1" ht="11.25" hidden="1">
      <c r="A4075" s="428"/>
      <c r="B4075" s="428"/>
      <c r="C4075" s="428"/>
    </row>
    <row r="4076" spans="1:8" s="429" customFormat="1" ht="11.25" hidden="1">
      <c r="A4076" s="428"/>
      <c r="B4076" s="428"/>
      <c r="C4076" s="428"/>
    </row>
    <row r="4077" spans="1:8" s="429" customFormat="1" ht="11.25">
      <c r="A4077" s="428"/>
      <c r="B4077" s="428"/>
      <c r="C4077" s="428"/>
    </row>
    <row r="4078" spans="1:8" s="429" customFormat="1" ht="11.25" hidden="1">
      <c r="A4078" s="428"/>
      <c r="B4078" s="428"/>
      <c r="C4078" s="428"/>
    </row>
    <row r="4079" spans="1:8" s="422" customFormat="1" ht="11.25" customHeight="1"/>
    <row r="4080" spans="1:8" s="422" customFormat="1" ht="11.25">
      <c r="A4080" s="433" t="s">
        <v>592</v>
      </c>
      <c r="B4080" s="434"/>
      <c r="C4080" s="434"/>
      <c r="D4080" s="434"/>
      <c r="E4080" s="434"/>
      <c r="F4080" s="434"/>
      <c r="G4080" s="434"/>
      <c r="H4080" s="434"/>
    </row>
    <row r="4081" spans="1:8" s="429" customFormat="1" ht="11.25">
      <c r="A4081" s="435"/>
      <c r="B4081" s="436"/>
      <c r="C4081" s="436"/>
      <c r="D4081" s="436"/>
      <c r="E4081" s="436"/>
      <c r="F4081" s="436"/>
      <c r="G4081" s="436"/>
      <c r="H4081" s="436"/>
    </row>
    <row r="4082" spans="1:8" s="429" customFormat="1" ht="11.25">
      <c r="A4082" s="435"/>
      <c r="B4082" s="436"/>
      <c r="C4082" s="436"/>
      <c r="D4082" s="436"/>
      <c r="E4082" s="436"/>
      <c r="F4082" s="436"/>
      <c r="G4082" s="436"/>
      <c r="H4082" s="436"/>
    </row>
    <row r="4083" spans="1:8" s="422" customFormat="1" ht="11.25" customHeight="1">
      <c r="A4083" s="437"/>
      <c r="B4083" s="437"/>
      <c r="C4083" s="437"/>
      <c r="D4083" s="437"/>
      <c r="E4083" s="437"/>
      <c r="F4083" s="437"/>
      <c r="G4083" s="437"/>
      <c r="H4083" s="437"/>
    </row>
    <row r="4084" spans="1:8" s="422" customFormat="1" ht="11.25">
      <c r="A4084" s="421" t="s">
        <v>593</v>
      </c>
      <c r="B4084" s="421"/>
      <c r="C4084" s="421"/>
    </row>
    <row r="4085" spans="1:8" s="422" customFormat="1" ht="11.25">
      <c r="A4085" s="438"/>
      <c r="B4085" s="439" t="s">
        <v>132</v>
      </c>
      <c r="C4085" s="439" t="s">
        <v>473</v>
      </c>
      <c r="D4085" s="439" t="s">
        <v>474</v>
      </c>
      <c r="E4085" s="439" t="s">
        <v>375</v>
      </c>
      <c r="F4085" s="439" t="s">
        <v>9</v>
      </c>
      <c r="G4085" s="439" t="s">
        <v>131</v>
      </c>
      <c r="H4085" s="439" t="s">
        <v>424</v>
      </c>
    </row>
    <row r="4086" spans="1:8" s="422" customFormat="1" ht="11.25">
      <c r="A4086" s="439" t="s">
        <v>394</v>
      </c>
      <c r="B4086" s="438">
        <v>3226771.9000000004</v>
      </c>
      <c r="C4086" s="438">
        <v>3303653.7399999998</v>
      </c>
      <c r="D4086" s="438">
        <v>3529579.16</v>
      </c>
      <c r="E4086" s="438">
        <v>3550884.7687999997</v>
      </c>
      <c r="F4086" s="438">
        <v>3550884.7687999997</v>
      </c>
      <c r="G4086" s="438">
        <v>3590792.6771200001</v>
      </c>
      <c r="H4086" s="438">
        <v>3605045.5015199995</v>
      </c>
    </row>
    <row r="4087" spans="1:8" s="422" customFormat="1" ht="11.25">
      <c r="A4087" s="439" t="s">
        <v>395</v>
      </c>
      <c r="B4087" s="438">
        <v>-56127.07</v>
      </c>
      <c r="C4087" s="438">
        <v>-71157.34</v>
      </c>
      <c r="D4087" s="438">
        <v>-69244.600000000006</v>
      </c>
      <c r="E4087" s="438">
        <v>-69244.600000000006</v>
      </c>
      <c r="F4087" s="438">
        <v>-69244.600000000006</v>
      </c>
      <c r="G4087" s="438">
        <v>-69244.600000000006</v>
      </c>
      <c r="H4087" s="438">
        <v>-69244.600000000006</v>
      </c>
    </row>
    <row r="4088" spans="1:8" s="422" customFormat="1" ht="11.25">
      <c r="A4088" s="439" t="s">
        <v>396</v>
      </c>
      <c r="B4088" s="438">
        <v>3170644.8300000005</v>
      </c>
      <c r="C4088" s="438">
        <v>3232496.4</v>
      </c>
      <c r="D4088" s="438">
        <v>3460334.56</v>
      </c>
      <c r="E4088" s="438">
        <v>3481640.1687999996</v>
      </c>
      <c r="F4088" s="438">
        <v>3481640.1687999996</v>
      </c>
      <c r="G4088" s="438">
        <v>3521548.07712</v>
      </c>
      <c r="H4088" s="438">
        <v>3535800.9015199994</v>
      </c>
    </row>
    <row r="4089" spans="1:8" s="442" customFormat="1" ht="11.25">
      <c r="A4089" s="440" t="s">
        <v>397</v>
      </c>
      <c r="B4089" s="441">
        <v>1.7394185811522654E-2</v>
      </c>
      <c r="C4089" s="441">
        <v>2.1538982472176397E-2</v>
      </c>
      <c r="D4089" s="441">
        <v>1.9618372860066412E-2</v>
      </c>
      <c r="E4089" s="441">
        <v>1.9500660964394179E-2</v>
      </c>
      <c r="F4089" s="441">
        <v>1.9500660964394179E-2</v>
      </c>
      <c r="G4089" s="441">
        <v>1.9283931495465152E-2</v>
      </c>
      <c r="H4089" s="441">
        <v>1.9207690990531E-2</v>
      </c>
    </row>
    <row r="4090" spans="1:8" s="422" customFormat="1" ht="11.25" customHeight="1"/>
    <row r="4091" spans="1:8" s="422" customFormat="1" ht="11.25" customHeight="1">
      <c r="A4091" s="443" t="s">
        <v>594</v>
      </c>
      <c r="B4091" s="443"/>
      <c r="C4091" s="444"/>
    </row>
    <row r="4092" spans="1:8" s="422" customFormat="1" ht="11.25">
      <c r="A4092" s="445" t="s">
        <v>595</v>
      </c>
      <c r="B4092" s="446"/>
      <c r="C4092" s="447"/>
      <c r="D4092" s="439" t="s">
        <v>474</v>
      </c>
      <c r="E4092" s="439" t="s">
        <v>375</v>
      </c>
      <c r="F4092" s="439" t="s">
        <v>9</v>
      </c>
      <c r="G4092" s="439" t="s">
        <v>131</v>
      </c>
      <c r="H4092" s="439" t="s">
        <v>424</v>
      </c>
    </row>
    <row r="4093" spans="1:8" s="422" customFormat="1" ht="11.25">
      <c r="A4093" s="448" t="s">
        <v>1046</v>
      </c>
      <c r="B4093" s="449"/>
      <c r="C4093" s="449"/>
      <c r="D4093" s="438">
        <v>0</v>
      </c>
      <c r="E4093" s="438">
        <v>0</v>
      </c>
      <c r="F4093" s="438">
        <v>0</v>
      </c>
      <c r="G4093" s="438">
        <v>0</v>
      </c>
      <c r="H4093" s="438">
        <v>0</v>
      </c>
    </row>
    <row r="4094" spans="1:8" s="422" customFormat="1" ht="11.25">
      <c r="A4094" s="448" t="s">
        <v>1047</v>
      </c>
      <c r="B4094" s="449"/>
      <c r="C4094" s="449"/>
      <c r="D4094" s="457">
        <v>1</v>
      </c>
      <c r="E4094" s="457">
        <v>1</v>
      </c>
      <c r="F4094" s="457">
        <v>1</v>
      </c>
      <c r="G4094" s="457">
        <v>1</v>
      </c>
      <c r="H4094" s="457">
        <v>1</v>
      </c>
    </row>
    <row r="4095" spans="1:8" s="422" customFormat="1" ht="11.25" hidden="1">
      <c r="A4095" s="448"/>
      <c r="B4095" s="449"/>
      <c r="C4095" s="449"/>
      <c r="D4095" s="438"/>
      <c r="E4095" s="438"/>
      <c r="F4095" s="438"/>
      <c r="G4095" s="438"/>
      <c r="H4095" s="438"/>
    </row>
    <row r="4096" spans="1:8" s="422" customFormat="1" ht="11.25" customHeight="1"/>
    <row r="4097" spans="1:8" s="422" customFormat="1" ht="11.25">
      <c r="A4097" s="421" t="s">
        <v>423</v>
      </c>
      <c r="B4097" s="421"/>
      <c r="C4097" s="421"/>
    </row>
    <row r="4098" spans="1:8" s="422" customFormat="1" ht="11.25">
      <c r="A4098" s="450"/>
      <c r="B4098" s="439" t="s">
        <v>132</v>
      </c>
      <c r="C4098" s="439" t="s">
        <v>473</v>
      </c>
      <c r="D4098" s="439" t="s">
        <v>474</v>
      </c>
      <c r="E4098" s="439" t="s">
        <v>375</v>
      </c>
      <c r="F4098" s="439" t="s">
        <v>9</v>
      </c>
      <c r="G4098" s="439" t="s">
        <v>131</v>
      </c>
      <c r="H4098" s="439" t="s">
        <v>424</v>
      </c>
    </row>
    <row r="4099" spans="1:8" s="422" customFormat="1" ht="11.25">
      <c r="A4099" s="451" t="s">
        <v>398</v>
      </c>
      <c r="B4099" s="438">
        <v>0</v>
      </c>
      <c r="C4099" s="438">
        <v>0</v>
      </c>
      <c r="D4099" s="438">
        <v>0</v>
      </c>
      <c r="E4099" s="438">
        <v>0</v>
      </c>
      <c r="F4099" s="438">
        <v>0</v>
      </c>
      <c r="G4099" s="438">
        <v>0</v>
      </c>
      <c r="H4099" s="438">
        <v>0</v>
      </c>
    </row>
    <row r="4100" spans="1:8" s="422" customFormat="1" ht="11.25">
      <c r="A4100" s="451" t="s">
        <v>399</v>
      </c>
      <c r="B4100" s="438">
        <v>0</v>
      </c>
      <c r="C4100" s="438">
        <v>0</v>
      </c>
      <c r="D4100" s="438">
        <v>0</v>
      </c>
      <c r="E4100" s="438">
        <v>0</v>
      </c>
      <c r="F4100" s="438">
        <v>0</v>
      </c>
      <c r="G4100" s="438">
        <v>0</v>
      </c>
      <c r="H4100" s="438">
        <v>0</v>
      </c>
    </row>
    <row r="4101" spans="1:8" s="422" customFormat="1" ht="11.25">
      <c r="A4101" s="451" t="s">
        <v>400</v>
      </c>
      <c r="B4101" s="438">
        <v>0</v>
      </c>
      <c r="C4101" s="438">
        <v>0</v>
      </c>
      <c r="D4101" s="438">
        <v>0</v>
      </c>
      <c r="E4101" s="438">
        <v>0</v>
      </c>
      <c r="F4101" s="438">
        <v>0</v>
      </c>
      <c r="G4101" s="438">
        <v>0</v>
      </c>
      <c r="H4101" s="438">
        <v>0</v>
      </c>
    </row>
    <row r="4102" spans="1:8" s="422" customFormat="1" ht="11.25">
      <c r="A4102" s="451" t="s">
        <v>401</v>
      </c>
      <c r="B4102" s="438">
        <v>0</v>
      </c>
      <c r="C4102" s="438">
        <v>0</v>
      </c>
      <c r="D4102" s="438">
        <v>0</v>
      </c>
      <c r="E4102" s="438">
        <v>0</v>
      </c>
      <c r="F4102" s="438">
        <v>0</v>
      </c>
      <c r="G4102" s="438">
        <v>0</v>
      </c>
      <c r="H4102" s="438">
        <v>0</v>
      </c>
    </row>
    <row r="4103" spans="1:8" s="422" customFormat="1" ht="11.25" customHeight="1"/>
    <row r="4104" spans="1:8" s="422" customFormat="1" ht="11.25">
      <c r="A4104" s="421" t="s">
        <v>597</v>
      </c>
      <c r="B4104" s="421"/>
      <c r="C4104" s="421"/>
    </row>
    <row r="4105" spans="1:8" s="429" customFormat="1" ht="11.25" customHeight="1">
      <c r="A4105" s="428"/>
      <c r="B4105" s="428"/>
      <c r="C4105" s="428"/>
    </row>
    <row r="4106" spans="1:8" s="429" customFormat="1" ht="11.25" hidden="1" customHeight="1">
      <c r="A4106" s="428"/>
      <c r="B4106" s="428"/>
      <c r="C4106" s="428"/>
    </row>
    <row r="4107" spans="1:8" s="429" customFormat="1" ht="11.25" customHeight="1">
      <c r="A4107" s="428"/>
      <c r="B4107" s="428"/>
      <c r="C4107" s="428"/>
    </row>
    <row r="4108" spans="1:8" s="422" customFormat="1" ht="11.25" customHeight="1"/>
    <row r="4109" spans="1:8" s="422" customFormat="1" ht="11.25">
      <c r="A4109" s="421" t="s">
        <v>598</v>
      </c>
      <c r="B4109" s="421"/>
      <c r="C4109" s="421"/>
    </row>
    <row r="4110" spans="1:8" s="422" customFormat="1" ht="11.25">
      <c r="A4110" s="452" t="s">
        <v>599</v>
      </c>
      <c r="B4110" s="447"/>
      <c r="C4110" s="447"/>
      <c r="D4110" s="447"/>
      <c r="E4110" s="439" t="s">
        <v>375</v>
      </c>
      <c r="F4110" s="439" t="s">
        <v>9</v>
      </c>
      <c r="G4110" s="439" t="s">
        <v>131</v>
      </c>
      <c r="H4110" s="439" t="s">
        <v>424</v>
      </c>
    </row>
    <row r="4111" spans="1:8" s="422" customFormat="1" ht="11.25">
      <c r="A4111" s="448"/>
      <c r="B4111" s="449"/>
      <c r="C4111" s="449"/>
      <c r="D4111" s="449"/>
      <c r="E4111" s="438">
        <v>0</v>
      </c>
      <c r="F4111" s="438">
        <v>0</v>
      </c>
      <c r="G4111" s="438">
        <v>0</v>
      </c>
      <c r="H4111" s="438">
        <v>0</v>
      </c>
    </row>
    <row r="4112" spans="1:8" s="422" customFormat="1" ht="11.25">
      <c r="A4112" s="448"/>
      <c r="B4112" s="449"/>
      <c r="C4112" s="449"/>
      <c r="D4112" s="449"/>
      <c r="E4112" s="438">
        <v>0</v>
      </c>
      <c r="F4112" s="438">
        <v>0</v>
      </c>
      <c r="G4112" s="438">
        <v>0</v>
      </c>
      <c r="H4112" s="438">
        <v>0</v>
      </c>
    </row>
    <row r="4113" spans="1:8" s="422" customFormat="1" ht="11.25">
      <c r="A4113" s="448"/>
      <c r="B4113" s="449"/>
      <c r="C4113" s="449"/>
      <c r="D4113" s="449"/>
      <c r="E4113" s="438">
        <v>0</v>
      </c>
      <c r="F4113" s="438">
        <v>0</v>
      </c>
      <c r="G4113" s="438">
        <v>0</v>
      </c>
      <c r="H4113" s="438">
        <v>0</v>
      </c>
    </row>
    <row r="4114" spans="1:8" s="421" customFormat="1" ht="11.25">
      <c r="A4114" s="421" t="s">
        <v>391</v>
      </c>
      <c r="D4114" s="421" t="s">
        <v>472</v>
      </c>
    </row>
    <row r="4115" spans="1:8" s="422" customFormat="1" ht="11.25"/>
    <row r="4116" spans="1:8" s="421" customFormat="1" ht="11.25" customHeight="1">
      <c r="A4116" s="423" t="s">
        <v>392</v>
      </c>
      <c r="D4116" s="421" t="s">
        <v>150</v>
      </c>
    </row>
    <row r="4117" spans="1:8" s="421" customFormat="1" ht="7.5" customHeight="1">
      <c r="A4117" s="423"/>
    </row>
    <row r="4118" spans="1:8" s="421" customFormat="1" ht="11.25">
      <c r="A4118" s="424" t="s">
        <v>393</v>
      </c>
      <c r="D4118" s="583" t="s">
        <v>154</v>
      </c>
      <c r="E4118" s="583"/>
      <c r="F4118" s="583"/>
      <c r="G4118" s="583"/>
      <c r="H4118" s="583"/>
    </row>
    <row r="4119" spans="1:8" s="421" customFormat="1" ht="7.5" customHeight="1"/>
    <row r="4120" spans="1:8" s="422" customFormat="1" ht="11.25">
      <c r="A4120" s="421" t="s">
        <v>170</v>
      </c>
      <c r="B4120" s="421"/>
      <c r="C4120" s="421"/>
      <c r="D4120" s="422" t="s">
        <v>263</v>
      </c>
      <c r="E4120" s="422" t="s">
        <v>1048</v>
      </c>
    </row>
    <row r="4121" spans="1:8" s="422" customFormat="1" ht="2.25" customHeight="1"/>
    <row r="4122" spans="1:8" s="427" customFormat="1" ht="11.25">
      <c r="A4122" s="425" t="s">
        <v>587</v>
      </c>
      <c r="B4122" s="425"/>
      <c r="C4122" s="425"/>
      <c r="D4122" s="426" t="s">
        <v>1049</v>
      </c>
      <c r="E4122" s="584" t="s">
        <v>1050</v>
      </c>
      <c r="F4122" s="584"/>
      <c r="G4122" s="584"/>
      <c r="H4122" s="584"/>
    </row>
    <row r="4123" spans="1:8" s="427" customFormat="1" ht="11.25">
      <c r="A4123" s="425"/>
      <c r="B4123" s="425"/>
      <c r="C4123" s="425"/>
      <c r="D4123" s="426" t="s">
        <v>1051</v>
      </c>
      <c r="E4123" s="584" t="s">
        <v>1052</v>
      </c>
      <c r="F4123" s="584"/>
      <c r="G4123" s="584"/>
      <c r="H4123" s="584"/>
    </row>
    <row r="4124" spans="1:8" s="427" customFormat="1" ht="11.25">
      <c r="A4124" s="425"/>
      <c r="B4124" s="425"/>
      <c r="C4124" s="425"/>
      <c r="D4124" s="426" t="s">
        <v>1053</v>
      </c>
      <c r="E4124" s="584" t="s">
        <v>1054</v>
      </c>
      <c r="F4124" s="584"/>
      <c r="G4124" s="584"/>
      <c r="H4124" s="584"/>
    </row>
    <row r="4125" spans="1:8" s="427" customFormat="1" ht="11.25">
      <c r="A4125" s="425"/>
      <c r="B4125" s="425"/>
      <c r="C4125" s="425"/>
      <c r="D4125" s="426" t="s">
        <v>1055</v>
      </c>
      <c r="E4125" s="584" t="s">
        <v>1056</v>
      </c>
      <c r="F4125" s="584"/>
      <c r="G4125" s="584"/>
      <c r="H4125" s="584"/>
    </row>
    <row r="4126" spans="1:8" s="427" customFormat="1" ht="11.25">
      <c r="A4126" s="425"/>
      <c r="B4126" s="425"/>
      <c r="C4126" s="425"/>
      <c r="D4126" s="426" t="s">
        <v>1057</v>
      </c>
      <c r="E4126" s="584" t="s">
        <v>1058</v>
      </c>
      <c r="F4126" s="584"/>
      <c r="G4126" s="584"/>
      <c r="H4126" s="584"/>
    </row>
    <row r="4127" spans="1:8" s="427" customFormat="1" ht="11.25">
      <c r="A4127" s="425"/>
      <c r="B4127" s="425"/>
      <c r="C4127" s="425"/>
      <c r="D4127" s="426"/>
      <c r="E4127" s="584"/>
      <c r="F4127" s="584"/>
      <c r="G4127" s="584"/>
      <c r="H4127" s="584"/>
    </row>
    <row r="4128" spans="1:8" s="427" customFormat="1" ht="11.25"/>
    <row r="4129" spans="1:8" s="422" customFormat="1" ht="11.25"/>
    <row r="4130" spans="1:8" s="422" customFormat="1" ht="11.25">
      <c r="A4130" s="421" t="s">
        <v>589</v>
      </c>
      <c r="B4130" s="421"/>
      <c r="C4130" s="421"/>
    </row>
    <row r="4131" spans="1:8" s="429" customFormat="1" ht="11.25">
      <c r="A4131" s="428"/>
      <c r="B4131" s="428"/>
      <c r="C4131" s="428"/>
    </row>
    <row r="4132" spans="1:8" s="429" customFormat="1" ht="11.25" hidden="1">
      <c r="A4132" s="428"/>
      <c r="B4132" s="428"/>
      <c r="C4132" s="428"/>
    </row>
    <row r="4133" spans="1:8" s="429" customFormat="1" ht="11.25" hidden="1">
      <c r="A4133" s="428"/>
      <c r="B4133" s="428"/>
      <c r="C4133" s="428"/>
    </row>
    <row r="4134" spans="1:8" s="429" customFormat="1" ht="11.25">
      <c r="A4134" s="428"/>
      <c r="B4134" s="428"/>
      <c r="C4134" s="428"/>
    </row>
    <row r="4135" spans="1:8" s="422" customFormat="1" ht="11.25" customHeight="1">
      <c r="A4135" s="430"/>
      <c r="B4135" s="430"/>
      <c r="C4135" s="430"/>
      <c r="D4135" s="430"/>
      <c r="E4135" s="430"/>
      <c r="F4135" s="430"/>
      <c r="G4135" s="430"/>
      <c r="H4135" s="430"/>
    </row>
    <row r="4136" spans="1:8" s="422" customFormat="1" ht="22.5" customHeight="1">
      <c r="A4136" s="585" t="s">
        <v>590</v>
      </c>
      <c r="B4136" s="585"/>
      <c r="C4136" s="585"/>
      <c r="D4136" s="586"/>
      <c r="E4136" s="586"/>
      <c r="F4136" s="586"/>
      <c r="G4136" s="586"/>
      <c r="H4136" s="586"/>
    </row>
    <row r="4137" spans="1:8" s="429" customFormat="1" ht="11.25">
      <c r="A4137" s="431"/>
      <c r="B4137" s="431"/>
      <c r="C4137" s="431"/>
      <c r="D4137" s="432"/>
      <c r="E4137" s="432"/>
      <c r="F4137" s="432"/>
      <c r="G4137" s="432"/>
      <c r="H4137" s="432"/>
    </row>
    <row r="4138" spans="1:8" s="429" customFormat="1" ht="11.25">
      <c r="A4138" s="431"/>
      <c r="B4138" s="431"/>
      <c r="C4138" s="431"/>
      <c r="D4138" s="432"/>
      <c r="E4138" s="432"/>
      <c r="F4138" s="432"/>
      <c r="G4138" s="432"/>
      <c r="H4138" s="432"/>
    </row>
    <row r="4139" spans="1:8" s="429" customFormat="1" ht="11.25">
      <c r="A4139" s="431"/>
      <c r="B4139" s="431"/>
      <c r="C4139" s="431"/>
      <c r="D4139" s="432"/>
      <c r="E4139" s="432"/>
      <c r="F4139" s="432"/>
      <c r="G4139" s="432"/>
      <c r="H4139" s="432"/>
    </row>
    <row r="4140" spans="1:8" s="429" customFormat="1" ht="11.25">
      <c r="A4140" s="431"/>
      <c r="B4140" s="431"/>
      <c r="C4140" s="431"/>
      <c r="D4140" s="432"/>
      <c r="E4140" s="432"/>
      <c r="F4140" s="432"/>
      <c r="G4140" s="432"/>
      <c r="H4140" s="432"/>
    </row>
    <row r="4141" spans="1:8" s="429" customFormat="1" ht="5.25" hidden="1" customHeight="1">
      <c r="A4141" s="431"/>
      <c r="B4141" s="431"/>
      <c r="C4141" s="431"/>
      <c r="D4141" s="432"/>
      <c r="E4141" s="432"/>
      <c r="F4141" s="432"/>
      <c r="G4141" s="432"/>
      <c r="H4141" s="432"/>
    </row>
    <row r="4142" spans="1:8" s="422" customFormat="1" ht="7.5" hidden="1" customHeight="1"/>
    <row r="4143" spans="1:8" s="422" customFormat="1" ht="11.25" customHeight="1"/>
    <row r="4144" spans="1:8" s="422" customFormat="1" ht="11.25">
      <c r="A4144" s="421" t="s">
        <v>591</v>
      </c>
      <c r="B4144" s="421"/>
      <c r="C4144" s="421"/>
    </row>
    <row r="4145" spans="1:8" s="429" customFormat="1" ht="11.25">
      <c r="A4145" s="428"/>
      <c r="B4145" s="428"/>
      <c r="C4145" s="428"/>
    </row>
    <row r="4146" spans="1:8" s="429" customFormat="1" ht="11.25">
      <c r="A4146" s="428"/>
      <c r="B4146" s="428"/>
      <c r="C4146" s="428"/>
    </row>
    <row r="4147" spans="1:8" s="429" customFormat="1" ht="11.25" hidden="1">
      <c r="A4147" s="428"/>
      <c r="B4147" s="428"/>
      <c r="C4147" s="428"/>
    </row>
    <row r="4148" spans="1:8" s="429" customFormat="1" ht="11.25" hidden="1">
      <c r="A4148" s="428"/>
      <c r="B4148" s="428"/>
      <c r="C4148" s="428"/>
    </row>
    <row r="4149" spans="1:8" s="422" customFormat="1" ht="11.25" customHeight="1"/>
    <row r="4150" spans="1:8" s="422" customFormat="1" ht="11.25">
      <c r="A4150" s="433" t="s">
        <v>592</v>
      </c>
      <c r="B4150" s="434"/>
      <c r="C4150" s="434"/>
      <c r="D4150" s="434"/>
      <c r="E4150" s="434"/>
      <c r="F4150" s="434"/>
      <c r="G4150" s="434"/>
      <c r="H4150" s="434"/>
    </row>
    <row r="4151" spans="1:8" s="429" customFormat="1" ht="11.25">
      <c r="A4151" s="435"/>
      <c r="B4151" s="436"/>
      <c r="C4151" s="436"/>
      <c r="D4151" s="436"/>
      <c r="E4151" s="436"/>
      <c r="F4151" s="436"/>
      <c r="G4151" s="436"/>
      <c r="H4151" s="436"/>
    </row>
    <row r="4152" spans="1:8" s="429" customFormat="1" ht="11.25">
      <c r="A4152" s="435"/>
      <c r="B4152" s="436"/>
      <c r="C4152" s="436"/>
      <c r="D4152" s="436"/>
      <c r="E4152" s="436"/>
      <c r="F4152" s="436"/>
      <c r="G4152" s="436"/>
      <c r="H4152" s="436"/>
    </row>
    <row r="4153" spans="1:8" s="429" customFormat="1" ht="11.25">
      <c r="A4153" s="435"/>
      <c r="B4153" s="436"/>
      <c r="C4153" s="436"/>
      <c r="D4153" s="436"/>
      <c r="E4153" s="436"/>
      <c r="F4153" s="436"/>
      <c r="G4153" s="436"/>
      <c r="H4153" s="436"/>
    </row>
    <row r="4154" spans="1:8" s="422" customFormat="1" ht="11.25" customHeight="1">
      <c r="A4154" s="437"/>
      <c r="B4154" s="437"/>
      <c r="C4154" s="437"/>
      <c r="D4154" s="437"/>
      <c r="E4154" s="437"/>
      <c r="F4154" s="437"/>
      <c r="G4154" s="437"/>
      <c r="H4154" s="437"/>
    </row>
    <row r="4155" spans="1:8" s="422" customFormat="1" ht="11.25">
      <c r="A4155" s="421" t="s">
        <v>593</v>
      </c>
      <c r="B4155" s="421"/>
      <c r="C4155" s="421"/>
    </row>
    <row r="4156" spans="1:8" s="422" customFormat="1" ht="11.25">
      <c r="A4156" s="438"/>
      <c r="B4156" s="439" t="s">
        <v>132</v>
      </c>
      <c r="C4156" s="439" t="s">
        <v>473</v>
      </c>
      <c r="D4156" s="439" t="s">
        <v>474</v>
      </c>
      <c r="E4156" s="439" t="s">
        <v>375</v>
      </c>
      <c r="F4156" s="439" t="s">
        <v>9</v>
      </c>
      <c r="G4156" s="439" t="s">
        <v>131</v>
      </c>
      <c r="H4156" s="439" t="s">
        <v>424</v>
      </c>
    </row>
    <row r="4157" spans="1:8" s="422" customFormat="1" ht="11.25">
      <c r="A4157" s="439" t="s">
        <v>394</v>
      </c>
      <c r="B4157" s="438">
        <v>6495208.8499999996</v>
      </c>
      <c r="C4157" s="438">
        <v>6569074.4399999995</v>
      </c>
      <c r="D4157" s="438">
        <v>6885221.6900000004</v>
      </c>
      <c r="E4157" s="438">
        <v>6921177.6549000004</v>
      </c>
      <c r="F4157" s="438">
        <v>6921177.6549000004</v>
      </c>
      <c r="G4157" s="438">
        <v>6993916.0057600001</v>
      </c>
      <c r="H4157" s="438">
        <v>7019893.9882100001</v>
      </c>
    </row>
    <row r="4158" spans="1:8" s="422" customFormat="1" ht="11.25">
      <c r="A4158" s="439" t="s">
        <v>395</v>
      </c>
      <c r="B4158" s="438">
        <v>-6326630.9000000004</v>
      </c>
      <c r="C4158" s="438">
        <v>-6580484.54</v>
      </c>
      <c r="D4158" s="438">
        <v>-6885221.6900000004</v>
      </c>
      <c r="E4158" s="438">
        <v>-6921177.6900000004</v>
      </c>
      <c r="F4158" s="438">
        <v>-6921177.6900000004</v>
      </c>
      <c r="G4158" s="438">
        <v>-6993915.6900000004</v>
      </c>
      <c r="H4158" s="438">
        <v>-7019893.6900000004</v>
      </c>
    </row>
    <row r="4159" spans="1:8" s="422" customFormat="1" ht="11.25">
      <c r="A4159" s="439" t="s">
        <v>396</v>
      </c>
      <c r="B4159" s="438">
        <v>168577.94999999925</v>
      </c>
      <c r="C4159" s="438">
        <v>-11410.100000000559</v>
      </c>
      <c r="D4159" s="438">
        <v>0</v>
      </c>
      <c r="E4159" s="438">
        <v>-3.5099999979138374E-2</v>
      </c>
      <c r="F4159" s="438">
        <v>-3.5099999979138374E-2</v>
      </c>
      <c r="G4159" s="438">
        <v>0.31575999967753887</v>
      </c>
      <c r="H4159" s="438">
        <v>0.29820999968796968</v>
      </c>
    </row>
    <row r="4160" spans="1:8" s="442" customFormat="1" ht="11.25">
      <c r="A4160" s="440" t="s">
        <v>397</v>
      </c>
      <c r="B4160" s="441">
        <v>0.97404579992835805</v>
      </c>
      <c r="C4160" s="441">
        <v>1.0017369418027178</v>
      </c>
      <c r="D4160" s="441">
        <v>1</v>
      </c>
      <c r="E4160" s="441">
        <v>1.0000000050713913</v>
      </c>
      <c r="F4160" s="441">
        <v>1.0000000050713913</v>
      </c>
      <c r="G4160" s="441">
        <v>0.99999995485218873</v>
      </c>
      <c r="H4160" s="441">
        <v>0.9999999575193016</v>
      </c>
    </row>
    <row r="4161" spans="1:8" s="422" customFormat="1" ht="11.25" customHeight="1"/>
    <row r="4162" spans="1:8" s="422" customFormat="1" ht="11.25">
      <c r="A4162" s="443" t="s">
        <v>594</v>
      </c>
      <c r="B4162" s="443"/>
      <c r="C4162" s="444"/>
    </row>
    <row r="4163" spans="1:8" s="422" customFormat="1" ht="11.25">
      <c r="A4163" s="445" t="s">
        <v>595</v>
      </c>
      <c r="B4163" s="446"/>
      <c r="C4163" s="447"/>
      <c r="D4163" s="439" t="s">
        <v>474</v>
      </c>
      <c r="E4163" s="439" t="s">
        <v>375</v>
      </c>
      <c r="F4163" s="439" t="s">
        <v>9</v>
      </c>
      <c r="G4163" s="439" t="s">
        <v>131</v>
      </c>
      <c r="H4163" s="439" t="s">
        <v>424</v>
      </c>
    </row>
    <row r="4164" spans="1:8" s="422" customFormat="1" ht="11.25">
      <c r="A4164" s="448" t="s">
        <v>1059</v>
      </c>
      <c r="B4164" s="449"/>
      <c r="C4164" s="449"/>
      <c r="D4164" s="438">
        <v>54</v>
      </c>
      <c r="E4164" s="438">
        <v>54</v>
      </c>
      <c r="F4164" s="438">
        <v>54</v>
      </c>
      <c r="G4164" s="438">
        <v>54</v>
      </c>
      <c r="H4164" s="438">
        <v>54</v>
      </c>
    </row>
    <row r="4165" spans="1:8" s="422" customFormat="1" ht="11.25">
      <c r="A4165" s="448" t="s">
        <v>1060</v>
      </c>
      <c r="B4165" s="449"/>
      <c r="C4165" s="449"/>
      <c r="D4165" s="458" t="s">
        <v>1061</v>
      </c>
      <c r="E4165" s="458" t="s">
        <v>1061</v>
      </c>
      <c r="F4165" s="458" t="s">
        <v>1061</v>
      </c>
      <c r="G4165" s="458" t="s">
        <v>1061</v>
      </c>
      <c r="H4165" s="458" t="s">
        <v>1061</v>
      </c>
    </row>
    <row r="4166" spans="1:8" s="422" customFormat="1" ht="11.25">
      <c r="A4166" s="448" t="s">
        <v>1062</v>
      </c>
      <c r="B4166" s="449"/>
      <c r="C4166" s="449"/>
      <c r="D4166" s="458" t="s">
        <v>1063</v>
      </c>
      <c r="E4166" s="458" t="s">
        <v>1063</v>
      </c>
      <c r="F4166" s="458" t="s">
        <v>1063</v>
      </c>
      <c r="G4166" s="458" t="s">
        <v>1063</v>
      </c>
      <c r="H4166" s="458" t="s">
        <v>1063</v>
      </c>
    </row>
    <row r="4167" spans="1:8" s="422" customFormat="1" ht="11.25" customHeight="1"/>
    <row r="4168" spans="1:8" s="422" customFormat="1" ht="11.25">
      <c r="A4168" s="421" t="s">
        <v>423</v>
      </c>
      <c r="B4168" s="421"/>
      <c r="C4168" s="421"/>
    </row>
    <row r="4169" spans="1:8" s="422" customFormat="1" ht="11.25">
      <c r="A4169" s="450"/>
      <c r="B4169" s="439" t="s">
        <v>132</v>
      </c>
      <c r="C4169" s="439" t="s">
        <v>473</v>
      </c>
      <c r="D4169" s="439" t="s">
        <v>474</v>
      </c>
      <c r="E4169" s="439" t="s">
        <v>375</v>
      </c>
      <c r="F4169" s="439" t="s">
        <v>9</v>
      </c>
      <c r="G4169" s="439" t="s">
        <v>131</v>
      </c>
      <c r="H4169" s="439" t="s">
        <v>424</v>
      </c>
    </row>
    <row r="4170" spans="1:8" s="422" customFormat="1" ht="11.25">
      <c r="A4170" s="451" t="s">
        <v>398</v>
      </c>
      <c r="B4170" s="438">
        <v>0</v>
      </c>
      <c r="C4170" s="438">
        <v>0</v>
      </c>
      <c r="D4170" s="438">
        <v>0</v>
      </c>
      <c r="E4170" s="438">
        <v>0</v>
      </c>
      <c r="F4170" s="438">
        <v>0</v>
      </c>
      <c r="G4170" s="438">
        <v>0</v>
      </c>
      <c r="H4170" s="438">
        <v>0</v>
      </c>
    </row>
    <row r="4171" spans="1:8" s="422" customFormat="1" ht="11.25">
      <c r="A4171" s="451" t="s">
        <v>399</v>
      </c>
      <c r="B4171" s="438">
        <v>0</v>
      </c>
      <c r="C4171" s="438">
        <v>0</v>
      </c>
      <c r="D4171" s="438">
        <v>0</v>
      </c>
      <c r="E4171" s="438">
        <v>0</v>
      </c>
      <c r="F4171" s="438">
        <v>0</v>
      </c>
      <c r="G4171" s="438">
        <v>0</v>
      </c>
      <c r="H4171" s="438">
        <v>0</v>
      </c>
    </row>
    <row r="4172" spans="1:8" s="422" customFormat="1" ht="11.25">
      <c r="A4172" s="451" t="s">
        <v>400</v>
      </c>
      <c r="B4172" s="438">
        <v>0</v>
      </c>
      <c r="C4172" s="438">
        <v>0</v>
      </c>
      <c r="D4172" s="438">
        <v>0</v>
      </c>
      <c r="E4172" s="438">
        <v>0</v>
      </c>
      <c r="F4172" s="438">
        <v>0</v>
      </c>
      <c r="G4172" s="438">
        <v>0</v>
      </c>
      <c r="H4172" s="438">
        <v>0</v>
      </c>
    </row>
    <row r="4173" spans="1:8" s="422" customFormat="1" ht="11.25">
      <c r="A4173" s="451" t="s">
        <v>401</v>
      </c>
      <c r="B4173" s="438">
        <v>0</v>
      </c>
      <c r="C4173" s="438">
        <v>0</v>
      </c>
      <c r="D4173" s="438">
        <v>0</v>
      </c>
      <c r="E4173" s="438">
        <v>0</v>
      </c>
      <c r="F4173" s="438">
        <v>0</v>
      </c>
      <c r="G4173" s="438">
        <v>0</v>
      </c>
      <c r="H4173" s="438">
        <v>0</v>
      </c>
    </row>
    <row r="4174" spans="1:8" s="422" customFormat="1" ht="11.25" customHeight="1"/>
    <row r="4175" spans="1:8" s="422" customFormat="1" ht="11.25">
      <c r="A4175" s="421" t="s">
        <v>597</v>
      </c>
      <c r="B4175" s="421"/>
      <c r="C4175" s="421"/>
    </row>
    <row r="4176" spans="1:8" s="429" customFormat="1" ht="11.25">
      <c r="A4176" s="428">
        <v>59</v>
      </c>
      <c r="B4176" s="428"/>
      <c r="C4176" s="428"/>
    </row>
    <row r="4177" spans="1:8" s="429" customFormat="1" ht="11.25" hidden="1">
      <c r="A4177" s="428"/>
      <c r="B4177" s="428"/>
      <c r="C4177" s="428"/>
    </row>
    <row r="4178" spans="1:8" s="429" customFormat="1" ht="11.25">
      <c r="A4178" s="428"/>
      <c r="B4178" s="428"/>
      <c r="C4178" s="428"/>
    </row>
    <row r="4179" spans="1:8" s="422" customFormat="1" ht="11.25" customHeight="1"/>
    <row r="4180" spans="1:8" s="422" customFormat="1" ht="11.25">
      <c r="A4180" s="421" t="s">
        <v>598</v>
      </c>
      <c r="B4180" s="421"/>
      <c r="C4180" s="421"/>
    </row>
    <row r="4181" spans="1:8" s="422" customFormat="1" ht="11.25">
      <c r="A4181" s="452" t="s">
        <v>599</v>
      </c>
      <c r="B4181" s="447"/>
      <c r="C4181" s="447"/>
      <c r="D4181" s="447"/>
      <c r="E4181" s="439" t="s">
        <v>375</v>
      </c>
      <c r="F4181" s="439" t="s">
        <v>9</v>
      </c>
      <c r="G4181" s="439" t="s">
        <v>131</v>
      </c>
      <c r="H4181" s="439" t="s">
        <v>424</v>
      </c>
    </row>
    <row r="4182" spans="1:8" s="422" customFormat="1" ht="11.25">
      <c r="A4182" s="448"/>
      <c r="B4182" s="449"/>
      <c r="C4182" s="449"/>
      <c r="D4182" s="449"/>
      <c r="E4182" s="438">
        <v>0</v>
      </c>
      <c r="F4182" s="438">
        <v>0</v>
      </c>
      <c r="G4182" s="438">
        <v>0</v>
      </c>
      <c r="H4182" s="438">
        <v>0</v>
      </c>
    </row>
    <row r="4183" spans="1:8" s="422" customFormat="1" ht="11.25">
      <c r="A4183" s="448"/>
      <c r="B4183" s="449"/>
      <c r="C4183" s="449"/>
      <c r="D4183" s="449"/>
      <c r="E4183" s="438">
        <v>0</v>
      </c>
      <c r="F4183" s="438">
        <v>0</v>
      </c>
      <c r="G4183" s="438">
        <v>0</v>
      </c>
      <c r="H4183" s="438">
        <v>0</v>
      </c>
    </row>
    <row r="4184" spans="1:8" s="422" customFormat="1" ht="11.25">
      <c r="A4184" s="448"/>
      <c r="B4184" s="449"/>
      <c r="C4184" s="449"/>
      <c r="D4184" s="449"/>
      <c r="E4184" s="438">
        <v>0</v>
      </c>
      <c r="F4184" s="438">
        <v>0</v>
      </c>
      <c r="G4184" s="438">
        <v>0</v>
      </c>
      <c r="H4184" s="438">
        <v>0</v>
      </c>
    </row>
    <row r="4185" spans="1:8" s="421" customFormat="1" ht="11.25">
      <c r="A4185" s="421" t="s">
        <v>391</v>
      </c>
      <c r="D4185" s="421" t="s">
        <v>472</v>
      </c>
    </row>
    <row r="4186" spans="1:8" s="422" customFormat="1" ht="11.25"/>
    <row r="4187" spans="1:8" s="421" customFormat="1" ht="11.25" customHeight="1">
      <c r="A4187" s="423" t="s">
        <v>392</v>
      </c>
      <c r="D4187" s="421" t="s">
        <v>150</v>
      </c>
    </row>
    <row r="4188" spans="1:8" s="421" customFormat="1" ht="7.5" customHeight="1">
      <c r="A4188" s="423"/>
    </row>
    <row r="4189" spans="1:8" s="421" customFormat="1" ht="11.25">
      <c r="A4189" s="424" t="s">
        <v>393</v>
      </c>
      <c r="D4189" s="583" t="s">
        <v>154</v>
      </c>
      <c r="E4189" s="583"/>
      <c r="F4189" s="583"/>
      <c r="G4189" s="583"/>
      <c r="H4189" s="583"/>
    </row>
    <row r="4190" spans="1:8" s="421" customFormat="1" ht="7.5" customHeight="1"/>
    <row r="4191" spans="1:8" s="422" customFormat="1" ht="11.25">
      <c r="A4191" s="421" t="s">
        <v>170</v>
      </c>
      <c r="B4191" s="421"/>
      <c r="C4191" s="421"/>
      <c r="D4191" s="422" t="s">
        <v>264</v>
      </c>
      <c r="E4191" s="422" t="s">
        <v>16</v>
      </c>
    </row>
    <row r="4192" spans="1:8" s="422" customFormat="1" ht="2.25" customHeight="1"/>
    <row r="4193" spans="1:8" s="427" customFormat="1" ht="11.25" customHeight="1">
      <c r="A4193" s="425" t="s">
        <v>587</v>
      </c>
      <c r="B4193" s="425"/>
      <c r="C4193" s="425"/>
      <c r="D4193" s="426" t="s">
        <v>1064</v>
      </c>
      <c r="E4193" s="584" t="s">
        <v>1065</v>
      </c>
      <c r="F4193" s="584"/>
      <c r="G4193" s="584"/>
      <c r="H4193" s="584"/>
    </row>
    <row r="4194" spans="1:8" s="427" customFormat="1" ht="11.25">
      <c r="A4194" s="425"/>
      <c r="B4194" s="425"/>
      <c r="C4194" s="425"/>
      <c r="D4194" s="426" t="s">
        <v>1066</v>
      </c>
      <c r="E4194" s="584" t="s">
        <v>1067</v>
      </c>
      <c r="F4194" s="584"/>
      <c r="G4194" s="584"/>
      <c r="H4194" s="584"/>
    </row>
    <row r="4195" spans="1:8" s="427" customFormat="1" ht="5.25" customHeight="1">
      <c r="A4195" s="425"/>
      <c r="B4195" s="425"/>
      <c r="C4195" s="425"/>
      <c r="D4195" s="426"/>
      <c r="E4195" s="584"/>
      <c r="F4195" s="584"/>
      <c r="G4195" s="584"/>
      <c r="H4195" s="584"/>
    </row>
    <row r="4196" spans="1:8" s="427" customFormat="1" ht="6" customHeight="1"/>
    <row r="4197" spans="1:8" s="422" customFormat="1" ht="6" customHeight="1"/>
    <row r="4198" spans="1:8" s="422" customFormat="1" ht="11.25">
      <c r="A4198" s="421" t="s">
        <v>589</v>
      </c>
      <c r="B4198" s="421"/>
      <c r="C4198" s="421"/>
    </row>
    <row r="4199" spans="1:8" s="429" customFormat="1" ht="11.25">
      <c r="A4199" s="428"/>
      <c r="B4199" s="428"/>
      <c r="C4199" s="428"/>
    </row>
    <row r="4200" spans="1:8" s="429" customFormat="1" ht="11.25">
      <c r="A4200" s="428"/>
      <c r="B4200" s="428"/>
      <c r="C4200" s="428"/>
    </row>
    <row r="4201" spans="1:8" s="429" customFormat="1" ht="5.0999999999999996" hidden="1" customHeight="1">
      <c r="A4201" s="428"/>
      <c r="B4201" s="428"/>
      <c r="C4201" s="428"/>
    </row>
    <row r="4202" spans="1:8" s="429" customFormat="1" ht="11.25">
      <c r="A4202" s="428"/>
      <c r="B4202" s="428"/>
      <c r="C4202" s="428"/>
    </row>
    <row r="4203" spans="1:8" s="429" customFormat="1" ht="3" hidden="1" customHeight="1">
      <c r="A4203" s="428"/>
      <c r="B4203" s="428"/>
      <c r="C4203" s="428"/>
    </row>
    <row r="4204" spans="1:8" s="422" customFormat="1" ht="11.25" customHeight="1">
      <c r="A4204" s="430"/>
      <c r="B4204" s="430"/>
      <c r="C4204" s="430"/>
      <c r="D4204" s="430"/>
      <c r="E4204" s="430"/>
      <c r="F4204" s="430"/>
      <c r="G4204" s="430"/>
      <c r="H4204" s="430"/>
    </row>
    <row r="4205" spans="1:8" s="422" customFormat="1" ht="22.5" customHeight="1">
      <c r="A4205" s="585" t="s">
        <v>590</v>
      </c>
      <c r="B4205" s="585"/>
      <c r="C4205" s="585"/>
      <c r="D4205" s="586"/>
      <c r="E4205" s="586"/>
      <c r="F4205" s="586"/>
      <c r="G4205" s="586"/>
      <c r="H4205" s="586"/>
    </row>
    <row r="4206" spans="1:8" s="429" customFormat="1" ht="10.15" customHeight="1">
      <c r="A4206" s="431"/>
      <c r="B4206" s="431"/>
      <c r="C4206" s="431"/>
      <c r="D4206" s="432"/>
      <c r="E4206" s="432"/>
      <c r="F4206" s="432"/>
      <c r="G4206" s="432"/>
      <c r="H4206" s="432"/>
    </row>
    <row r="4207" spans="1:8" s="429" customFormat="1" ht="10.15" customHeight="1">
      <c r="A4207" s="431"/>
      <c r="B4207" s="431"/>
      <c r="C4207" s="431"/>
      <c r="D4207" s="432"/>
      <c r="E4207" s="432"/>
      <c r="F4207" s="432"/>
      <c r="G4207" s="432"/>
      <c r="H4207" s="432"/>
    </row>
    <row r="4208" spans="1:8" s="429" customFormat="1" ht="10.15" customHeight="1">
      <c r="A4208" s="431"/>
      <c r="B4208" s="431"/>
      <c r="C4208" s="431"/>
      <c r="D4208" s="432"/>
      <c r="E4208" s="432"/>
      <c r="F4208" s="432"/>
      <c r="G4208" s="432"/>
      <c r="H4208" s="432"/>
    </row>
    <row r="4209" spans="1:8" s="429" customFormat="1" ht="10.15" customHeight="1">
      <c r="A4209" s="431"/>
      <c r="B4209" s="431"/>
      <c r="C4209" s="431"/>
      <c r="D4209" s="432"/>
      <c r="E4209" s="432"/>
      <c r="F4209" s="432"/>
      <c r="G4209" s="432"/>
      <c r="H4209" s="432"/>
    </row>
    <row r="4210" spans="1:8" s="429" customFormat="1" ht="10.15" customHeight="1">
      <c r="A4210" s="431"/>
      <c r="B4210" s="431"/>
      <c r="C4210" s="431"/>
      <c r="D4210" s="432"/>
      <c r="E4210" s="432"/>
      <c r="F4210" s="432"/>
      <c r="G4210" s="432"/>
      <c r="H4210" s="432"/>
    </row>
    <row r="4211" spans="1:8" s="429" customFormat="1" ht="10.15" customHeight="1">
      <c r="A4211" s="431"/>
      <c r="B4211" s="431"/>
      <c r="C4211" s="431"/>
      <c r="D4211" s="432"/>
      <c r="E4211" s="432"/>
      <c r="F4211" s="432"/>
      <c r="G4211" s="432"/>
      <c r="H4211" s="432"/>
    </row>
    <row r="4212" spans="1:8" s="429" customFormat="1" ht="10.15" customHeight="1">
      <c r="A4212" s="431"/>
      <c r="B4212" s="431"/>
      <c r="C4212" s="431"/>
      <c r="D4212" s="432"/>
      <c r="E4212" s="432"/>
      <c r="F4212" s="432"/>
      <c r="G4212" s="432"/>
      <c r="H4212" s="432"/>
    </row>
    <row r="4213" spans="1:8" s="429" customFormat="1" ht="10.15" customHeight="1">
      <c r="A4213" s="431"/>
      <c r="B4213" s="431"/>
      <c r="C4213" s="431"/>
      <c r="D4213" s="432"/>
      <c r="E4213" s="432"/>
      <c r="F4213" s="432"/>
      <c r="G4213" s="432"/>
      <c r="H4213" s="432"/>
    </row>
    <row r="4214" spans="1:8" s="429" customFormat="1" ht="10.15" hidden="1" customHeight="1">
      <c r="A4214" s="431"/>
      <c r="B4214" s="431"/>
      <c r="C4214" s="431"/>
      <c r="D4214" s="432"/>
      <c r="E4214" s="432"/>
      <c r="F4214" s="432"/>
      <c r="G4214" s="432"/>
      <c r="H4214" s="432"/>
    </row>
    <row r="4215" spans="1:8" s="422" customFormat="1" ht="11.25" customHeight="1"/>
    <row r="4216" spans="1:8" s="422" customFormat="1" ht="10.5" customHeight="1">
      <c r="A4216" s="421" t="s">
        <v>591</v>
      </c>
      <c r="B4216" s="421"/>
      <c r="C4216" s="421"/>
    </row>
    <row r="4217" spans="1:8" s="429" customFormat="1" ht="11.25">
      <c r="A4217" s="428"/>
      <c r="B4217" s="428"/>
      <c r="C4217" s="428"/>
    </row>
    <row r="4218" spans="1:8" s="429" customFormat="1" ht="11.25">
      <c r="A4218" s="428"/>
      <c r="B4218" s="428"/>
      <c r="C4218" s="428"/>
    </row>
    <row r="4219" spans="1:8" s="429" customFormat="1" ht="11.25">
      <c r="A4219" s="428"/>
      <c r="B4219" s="428"/>
      <c r="C4219" s="428"/>
    </row>
    <row r="4220" spans="1:8" s="429" customFormat="1" ht="11.25">
      <c r="A4220" s="428"/>
      <c r="B4220" s="428"/>
      <c r="C4220" s="428"/>
    </row>
    <row r="4221" spans="1:8" s="429" customFormat="1" ht="11.25">
      <c r="A4221" s="428"/>
      <c r="B4221" s="428"/>
      <c r="C4221" s="428"/>
    </row>
    <row r="4222" spans="1:8" s="429" customFormat="1" ht="11.25">
      <c r="A4222" s="428"/>
      <c r="B4222" s="428"/>
      <c r="C4222" s="428"/>
    </row>
    <row r="4223" spans="1:8" s="429" customFormat="1" ht="11.25">
      <c r="A4223" s="428"/>
      <c r="B4223" s="428"/>
      <c r="C4223" s="428"/>
    </row>
    <row r="4224" spans="1:8" s="429" customFormat="1" ht="11.25">
      <c r="A4224" s="428"/>
      <c r="B4224" s="428"/>
      <c r="C4224" s="428"/>
    </row>
    <row r="4225" spans="1:8" s="429" customFormat="1" ht="12" customHeight="1">
      <c r="A4225" s="428"/>
      <c r="B4225" s="428"/>
      <c r="C4225" s="428"/>
    </row>
    <row r="4226" spans="1:8" s="429" customFormat="1" ht="12" customHeight="1">
      <c r="A4226" s="428"/>
      <c r="B4226" s="428"/>
      <c r="C4226" s="428"/>
    </row>
    <row r="4227" spans="1:8" s="429" customFormat="1" ht="9" customHeight="1">
      <c r="A4227" s="428"/>
      <c r="B4227" s="428"/>
      <c r="C4227" s="428"/>
    </row>
    <row r="4228" spans="1:8" s="429" customFormat="1" ht="9" customHeight="1">
      <c r="A4228" s="428"/>
      <c r="B4228" s="428"/>
      <c r="C4228" s="428"/>
    </row>
    <row r="4229" spans="1:8" s="429" customFormat="1" ht="9" customHeight="1">
      <c r="A4229" s="428"/>
      <c r="B4229" s="428"/>
      <c r="C4229" s="428"/>
    </row>
    <row r="4230" spans="1:8" s="429" customFormat="1" ht="11.25" customHeight="1">
      <c r="A4230" s="428"/>
      <c r="B4230" s="428"/>
      <c r="C4230" s="428"/>
    </row>
    <row r="4231" spans="1:8" s="429" customFormat="1" ht="11.25" hidden="1">
      <c r="A4231" s="428"/>
      <c r="B4231" s="428"/>
      <c r="C4231" s="428"/>
    </row>
    <row r="4232" spans="1:8" s="429" customFormat="1" ht="11.25" hidden="1">
      <c r="A4232" s="428"/>
      <c r="B4232" s="428"/>
      <c r="C4232" s="428"/>
    </row>
    <row r="4233" spans="1:8" s="422" customFormat="1" ht="11.25" customHeight="1"/>
    <row r="4234" spans="1:8" s="422" customFormat="1" ht="11.25">
      <c r="A4234" s="433" t="s">
        <v>592</v>
      </c>
      <c r="B4234" s="434"/>
      <c r="C4234" s="434"/>
      <c r="D4234" s="434"/>
      <c r="E4234" s="434"/>
      <c r="F4234" s="434"/>
      <c r="G4234" s="434"/>
      <c r="H4234" s="434"/>
    </row>
    <row r="4235" spans="1:8" s="429" customFormat="1" ht="11.25">
      <c r="A4235" s="435"/>
      <c r="B4235" s="436"/>
      <c r="C4235" s="436"/>
      <c r="D4235" s="436"/>
      <c r="E4235" s="436"/>
      <c r="F4235" s="436"/>
      <c r="G4235" s="436"/>
      <c r="H4235" s="436"/>
    </row>
    <row r="4236" spans="1:8" s="429" customFormat="1" ht="11.25">
      <c r="A4236" s="435"/>
      <c r="B4236" s="436"/>
      <c r="C4236" s="436"/>
      <c r="D4236" s="436"/>
      <c r="E4236" s="436"/>
      <c r="F4236" s="436"/>
      <c r="G4236" s="436"/>
      <c r="H4236" s="436"/>
    </row>
    <row r="4237" spans="1:8" s="429" customFormat="1" ht="11.25">
      <c r="A4237" s="435"/>
      <c r="B4237" s="436"/>
      <c r="C4237" s="436"/>
      <c r="D4237" s="436"/>
      <c r="E4237" s="436"/>
      <c r="F4237" s="436"/>
      <c r="G4237" s="436"/>
      <c r="H4237" s="436"/>
    </row>
    <row r="4238" spans="1:8" s="422" customFormat="1" ht="11.25" customHeight="1">
      <c r="A4238" s="437"/>
      <c r="B4238" s="437"/>
      <c r="C4238" s="437"/>
      <c r="D4238" s="437"/>
      <c r="E4238" s="437"/>
      <c r="F4238" s="437"/>
      <c r="G4238" s="437"/>
      <c r="H4238" s="437"/>
    </row>
    <row r="4239" spans="1:8" s="422" customFormat="1" ht="11.25">
      <c r="A4239" s="421" t="s">
        <v>593</v>
      </c>
      <c r="B4239" s="421"/>
      <c r="C4239" s="421"/>
    </row>
    <row r="4240" spans="1:8" s="422" customFormat="1" ht="11.25">
      <c r="A4240" s="438"/>
      <c r="B4240" s="439" t="s">
        <v>132</v>
      </c>
      <c r="C4240" s="439" t="s">
        <v>473</v>
      </c>
      <c r="D4240" s="439" t="s">
        <v>474</v>
      </c>
      <c r="E4240" s="439" t="s">
        <v>375</v>
      </c>
      <c r="F4240" s="439" t="s">
        <v>9</v>
      </c>
      <c r="G4240" s="439" t="s">
        <v>131</v>
      </c>
      <c r="H4240" s="439" t="s">
        <v>424</v>
      </c>
    </row>
    <row r="4241" spans="1:8" s="422" customFormat="1" ht="11.25">
      <c r="A4241" s="439" t="s">
        <v>394</v>
      </c>
      <c r="B4241" s="438">
        <v>35946483.280000001</v>
      </c>
      <c r="C4241" s="438">
        <v>38338745.68</v>
      </c>
      <c r="D4241" s="438">
        <v>39107550.229999997</v>
      </c>
      <c r="E4241" s="438">
        <v>41754242.289999999</v>
      </c>
      <c r="F4241" s="438">
        <v>41938263.289999999</v>
      </c>
      <c r="G4241" s="438">
        <v>42393952.053999998</v>
      </c>
      <c r="H4241" s="438">
        <v>42687838.963</v>
      </c>
    </row>
    <row r="4242" spans="1:8" s="422" customFormat="1" ht="11.25">
      <c r="A4242" s="439" t="s">
        <v>395</v>
      </c>
      <c r="B4242" s="438">
        <v>-7673786.7400000002</v>
      </c>
      <c r="C4242" s="438">
        <v>-8449022.2800000012</v>
      </c>
      <c r="D4242" s="438">
        <v>-7962961.0700000003</v>
      </c>
      <c r="E4242" s="438">
        <v>-7631515.6803000001</v>
      </c>
      <c r="F4242" s="438">
        <v>-7705805.8367030006</v>
      </c>
      <c r="G4242" s="438">
        <v>-7780838.894670031</v>
      </c>
      <c r="H4242" s="438">
        <v>-7780838.894670031</v>
      </c>
    </row>
    <row r="4243" spans="1:8" s="422" customFormat="1" ht="11.25">
      <c r="A4243" s="439" t="s">
        <v>396</v>
      </c>
      <c r="B4243" s="438">
        <v>28272696.539999999</v>
      </c>
      <c r="C4243" s="438">
        <v>29889723.399999999</v>
      </c>
      <c r="D4243" s="438">
        <v>31144589.159999996</v>
      </c>
      <c r="E4243" s="438">
        <v>34122726.609700002</v>
      </c>
      <c r="F4243" s="438">
        <v>34232457.453296997</v>
      </c>
      <c r="G4243" s="438">
        <v>34613113.159329966</v>
      </c>
      <c r="H4243" s="438">
        <v>34907000.068329968</v>
      </c>
    </row>
    <row r="4244" spans="1:8" s="442" customFormat="1" ht="11.25">
      <c r="A4244" s="440" t="s">
        <v>397</v>
      </c>
      <c r="B4244" s="441">
        <v>0.21347809409410465</v>
      </c>
      <c r="C4244" s="441">
        <v>0.22037816131286644</v>
      </c>
      <c r="D4244" s="441">
        <v>0.20361697480839624</v>
      </c>
      <c r="E4244" s="441">
        <v>0.18277222293476328</v>
      </c>
      <c r="F4244" s="441">
        <v>0.18374165337791698</v>
      </c>
      <c r="G4244" s="441">
        <v>0.18353653098345393</v>
      </c>
      <c r="H4244" s="441">
        <v>0.18227296306599478</v>
      </c>
    </row>
    <row r="4245" spans="1:8" s="422" customFormat="1" ht="11.25" customHeight="1"/>
    <row r="4246" spans="1:8" s="422" customFormat="1" ht="11.25">
      <c r="A4246" s="443" t="s">
        <v>594</v>
      </c>
      <c r="B4246" s="443"/>
      <c r="C4246" s="444"/>
    </row>
    <row r="4247" spans="1:8" s="422" customFormat="1" ht="11.25">
      <c r="A4247" s="445" t="s">
        <v>595</v>
      </c>
      <c r="B4247" s="446"/>
      <c r="C4247" s="447"/>
      <c r="D4247" s="439" t="s">
        <v>474</v>
      </c>
      <c r="E4247" s="439" t="s">
        <v>375</v>
      </c>
      <c r="F4247" s="439" t="s">
        <v>9</v>
      </c>
      <c r="G4247" s="439" t="s">
        <v>131</v>
      </c>
      <c r="H4247" s="439" t="s">
        <v>424</v>
      </c>
    </row>
    <row r="4248" spans="1:8" s="422" customFormat="1" ht="11.25">
      <c r="A4248" s="448" t="s">
        <v>1059</v>
      </c>
      <c r="B4248" s="449"/>
      <c r="C4248" s="449"/>
      <c r="D4248" s="438">
        <v>1434</v>
      </c>
      <c r="E4248" s="438">
        <v>1442</v>
      </c>
      <c r="F4248" s="438" t="s">
        <v>1068</v>
      </c>
      <c r="G4248" s="438" t="s">
        <v>1068</v>
      </c>
      <c r="H4248" s="438" t="s">
        <v>1068</v>
      </c>
    </row>
    <row r="4249" spans="1:8" s="422" customFormat="1" ht="11.25">
      <c r="A4249" s="448" t="s">
        <v>1060</v>
      </c>
      <c r="B4249" s="449"/>
      <c r="C4249" s="449"/>
      <c r="D4249" s="458" t="s">
        <v>1069</v>
      </c>
      <c r="E4249" s="458" t="s">
        <v>1069</v>
      </c>
      <c r="F4249" s="473" t="s">
        <v>1068</v>
      </c>
      <c r="G4249" s="473" t="s">
        <v>1068</v>
      </c>
      <c r="H4249" s="473" t="s">
        <v>1068</v>
      </c>
    </row>
    <row r="4250" spans="1:8" s="422" customFormat="1" ht="11.25">
      <c r="A4250" s="448" t="s">
        <v>1070</v>
      </c>
      <c r="B4250" s="449"/>
      <c r="C4250" s="449"/>
      <c r="D4250" s="458" t="s">
        <v>1063</v>
      </c>
      <c r="E4250" s="458" t="s">
        <v>1063</v>
      </c>
      <c r="F4250" s="458" t="s">
        <v>1063</v>
      </c>
      <c r="G4250" s="458" t="s">
        <v>1063</v>
      </c>
      <c r="H4250" s="458" t="s">
        <v>1063</v>
      </c>
    </row>
    <row r="4251" spans="1:8" s="422" customFormat="1" ht="11.25" customHeight="1"/>
    <row r="4252" spans="1:8" s="422" customFormat="1" ht="11.25">
      <c r="A4252" s="421" t="s">
        <v>423</v>
      </c>
      <c r="B4252" s="421"/>
      <c r="C4252" s="421"/>
    </row>
    <row r="4253" spans="1:8" s="422" customFormat="1" ht="11.25">
      <c r="A4253" s="450"/>
      <c r="B4253" s="439" t="s">
        <v>132</v>
      </c>
      <c r="C4253" s="439" t="s">
        <v>473</v>
      </c>
      <c r="D4253" s="439" t="s">
        <v>474</v>
      </c>
      <c r="E4253" s="439" t="s">
        <v>375</v>
      </c>
      <c r="F4253" s="439" t="s">
        <v>9</v>
      </c>
      <c r="G4253" s="439" t="s">
        <v>131</v>
      </c>
      <c r="H4253" s="439" t="s">
        <v>424</v>
      </c>
    </row>
    <row r="4254" spans="1:8" s="422" customFormat="1" ht="11.25">
      <c r="A4254" s="451" t="s">
        <v>398</v>
      </c>
      <c r="B4254" s="438">
        <v>0</v>
      </c>
      <c r="C4254" s="438">
        <v>0</v>
      </c>
      <c r="D4254" s="438">
        <v>300000</v>
      </c>
      <c r="E4254" s="438">
        <v>285000</v>
      </c>
      <c r="F4254" s="438">
        <v>0</v>
      </c>
      <c r="G4254" s="438">
        <v>0</v>
      </c>
      <c r="H4254" s="438">
        <v>0</v>
      </c>
    </row>
    <row r="4255" spans="1:8" s="422" customFormat="1" ht="11.25">
      <c r="A4255" s="451" t="s">
        <v>399</v>
      </c>
      <c r="B4255" s="438">
        <v>0</v>
      </c>
      <c r="C4255" s="438">
        <v>0</v>
      </c>
      <c r="D4255" s="438">
        <v>0</v>
      </c>
      <c r="E4255" s="438">
        <v>0</v>
      </c>
      <c r="F4255" s="438">
        <v>0</v>
      </c>
      <c r="G4255" s="438">
        <v>0</v>
      </c>
      <c r="H4255" s="438">
        <v>0</v>
      </c>
    </row>
    <row r="4256" spans="1:8" s="422" customFormat="1" ht="11.25">
      <c r="A4256" s="451" t="s">
        <v>400</v>
      </c>
      <c r="B4256" s="438">
        <v>0</v>
      </c>
      <c r="C4256" s="438">
        <v>0</v>
      </c>
      <c r="D4256" s="438">
        <v>0</v>
      </c>
      <c r="E4256" s="438">
        <v>0</v>
      </c>
      <c r="F4256" s="438">
        <v>0</v>
      </c>
      <c r="G4256" s="438">
        <v>0</v>
      </c>
      <c r="H4256" s="438">
        <v>0</v>
      </c>
    </row>
    <row r="4257" spans="1:8" s="422" customFormat="1" ht="11.25">
      <c r="A4257" s="451" t="s">
        <v>401</v>
      </c>
      <c r="B4257" s="438">
        <v>0</v>
      </c>
      <c r="C4257" s="438">
        <v>0</v>
      </c>
      <c r="D4257" s="438">
        <v>300000</v>
      </c>
      <c r="E4257" s="438">
        <v>285000</v>
      </c>
      <c r="F4257" s="438">
        <v>0</v>
      </c>
      <c r="G4257" s="438">
        <v>0</v>
      </c>
      <c r="H4257" s="438">
        <v>0</v>
      </c>
    </row>
    <row r="4258" spans="1:8" s="422" customFormat="1" ht="11.25" customHeight="1"/>
    <row r="4259" spans="1:8" s="422" customFormat="1" ht="11.25">
      <c r="A4259" s="421" t="s">
        <v>597</v>
      </c>
      <c r="B4259" s="421"/>
      <c r="C4259" s="421"/>
    </row>
    <row r="4260" spans="1:8" s="429" customFormat="1" ht="11.25">
      <c r="A4260" s="428"/>
      <c r="B4260" s="428"/>
      <c r="C4260" s="428"/>
    </row>
    <row r="4261" spans="1:8" s="429" customFormat="1" ht="11.25" customHeight="1">
      <c r="A4261" s="428"/>
      <c r="B4261" s="428"/>
      <c r="C4261" s="428"/>
    </row>
    <row r="4262" spans="1:8" s="422" customFormat="1" ht="11.25" customHeight="1"/>
    <row r="4263" spans="1:8" s="422" customFormat="1" ht="11.25">
      <c r="A4263" s="421" t="s">
        <v>598</v>
      </c>
      <c r="B4263" s="421"/>
      <c r="C4263" s="421"/>
    </row>
    <row r="4264" spans="1:8" s="422" customFormat="1" ht="11.25">
      <c r="A4264" s="452" t="s">
        <v>599</v>
      </c>
      <c r="B4264" s="447"/>
      <c r="C4264" s="447"/>
      <c r="D4264" s="447"/>
      <c r="E4264" s="439" t="s">
        <v>375</v>
      </c>
      <c r="F4264" s="439" t="s">
        <v>9</v>
      </c>
      <c r="G4264" s="439" t="s">
        <v>131</v>
      </c>
      <c r="H4264" s="439" t="s">
        <v>424</v>
      </c>
    </row>
    <row r="4265" spans="1:8" s="422" customFormat="1" ht="11.25">
      <c r="A4265" s="448" t="s">
        <v>443</v>
      </c>
      <c r="B4265" s="449"/>
      <c r="C4265" s="449"/>
      <c r="D4265" s="449"/>
      <c r="E4265" s="438">
        <v>2300000.2999999998</v>
      </c>
      <c r="F4265" s="438">
        <v>2300000.2999999998</v>
      </c>
      <c r="G4265" s="438">
        <v>2300000.2560000001</v>
      </c>
      <c r="H4265" s="438">
        <v>2299999.8050000002</v>
      </c>
    </row>
    <row r="4266" spans="1:8" s="422" customFormat="1" ht="11.25">
      <c r="A4266" s="448" t="s">
        <v>155</v>
      </c>
      <c r="B4266" s="449"/>
      <c r="C4266" s="449"/>
      <c r="D4266" s="449"/>
      <c r="E4266" s="438">
        <v>50000</v>
      </c>
      <c r="F4266" s="438">
        <v>50000</v>
      </c>
      <c r="G4266" s="438">
        <v>50000</v>
      </c>
      <c r="H4266" s="438">
        <v>50000</v>
      </c>
    </row>
    <row r="4267" spans="1:8" s="422" customFormat="1" ht="11.25">
      <c r="A4267" s="448" t="s">
        <v>444</v>
      </c>
      <c r="B4267" s="449"/>
      <c r="C4267" s="449"/>
      <c r="D4267" s="449"/>
      <c r="E4267" s="438">
        <v>0</v>
      </c>
      <c r="F4267" s="438">
        <v>50000</v>
      </c>
      <c r="G4267" s="438">
        <v>50000</v>
      </c>
      <c r="H4267" s="438">
        <v>50000</v>
      </c>
    </row>
    <row r="4268" spans="1:8" s="422" customFormat="1" ht="11.25">
      <c r="A4268" s="448" t="s">
        <v>445</v>
      </c>
      <c r="B4268" s="449"/>
      <c r="C4268" s="449"/>
      <c r="D4268" s="449"/>
      <c r="E4268" s="438">
        <v>0</v>
      </c>
      <c r="F4268" s="438">
        <v>0</v>
      </c>
      <c r="G4268" s="438">
        <v>47000</v>
      </c>
      <c r="H4268" s="438">
        <v>47000</v>
      </c>
    </row>
    <row r="4269" spans="1:8" s="422" customFormat="1" ht="11.25">
      <c r="A4269" s="448" t="s">
        <v>446</v>
      </c>
      <c r="B4269" s="449"/>
      <c r="C4269" s="449"/>
      <c r="D4269" s="449"/>
      <c r="E4269" s="438">
        <v>0</v>
      </c>
      <c r="F4269" s="438">
        <v>0</v>
      </c>
      <c r="G4269" s="438">
        <v>0</v>
      </c>
      <c r="H4269" s="438">
        <v>60750</v>
      </c>
    </row>
    <row r="4270" spans="1:8" s="421" customFormat="1" ht="11.25">
      <c r="A4270" s="421" t="s">
        <v>391</v>
      </c>
      <c r="D4270" s="421" t="s">
        <v>472</v>
      </c>
    </row>
    <row r="4271" spans="1:8" s="422" customFormat="1" ht="11.25"/>
    <row r="4272" spans="1:8" s="421" customFormat="1" ht="11.25" customHeight="1">
      <c r="A4272" s="423" t="s">
        <v>392</v>
      </c>
      <c r="D4272" s="421" t="s">
        <v>150</v>
      </c>
    </row>
    <row r="4273" spans="1:8" s="421" customFormat="1" ht="12.75" customHeight="1">
      <c r="A4273" s="423"/>
    </row>
    <row r="4274" spans="1:8" s="421" customFormat="1" ht="11.25">
      <c r="A4274" s="424" t="s">
        <v>393</v>
      </c>
      <c r="D4274" s="583" t="s">
        <v>33</v>
      </c>
      <c r="E4274" s="583"/>
      <c r="F4274" s="583"/>
      <c r="G4274" s="583"/>
      <c r="H4274" s="583"/>
    </row>
    <row r="4275" spans="1:8" s="421" customFormat="1" ht="12" customHeight="1"/>
    <row r="4276" spans="1:8" s="422" customFormat="1" ht="11.25">
      <c r="A4276" s="421" t="s">
        <v>170</v>
      </c>
      <c r="B4276" s="421"/>
      <c r="C4276" s="421"/>
      <c r="D4276" s="422" t="s">
        <v>268</v>
      </c>
      <c r="E4276" s="422" t="s">
        <v>269</v>
      </c>
    </row>
    <row r="4277" spans="1:8" s="422" customFormat="1" ht="7.5" customHeight="1"/>
    <row r="4278" spans="1:8" s="427" customFormat="1" ht="11.25">
      <c r="A4278" s="425" t="s">
        <v>587</v>
      </c>
      <c r="B4278" s="425"/>
      <c r="C4278" s="425"/>
      <c r="D4278" s="426" t="s">
        <v>1071</v>
      </c>
      <c r="E4278" s="584" t="s">
        <v>1072</v>
      </c>
      <c r="F4278" s="584"/>
      <c r="G4278" s="584"/>
      <c r="H4278" s="584"/>
    </row>
    <row r="4279" spans="1:8" s="427" customFormat="1" ht="11.25">
      <c r="A4279" s="425"/>
      <c r="B4279" s="425"/>
      <c r="C4279" s="425"/>
      <c r="D4279" s="426" t="s">
        <v>1073</v>
      </c>
      <c r="E4279" s="584" t="s">
        <v>1074</v>
      </c>
      <c r="F4279" s="584"/>
      <c r="G4279" s="584"/>
      <c r="H4279" s="584"/>
    </row>
    <row r="4280" spans="1:8" s="427" customFormat="1" ht="11.25">
      <c r="A4280" s="425"/>
      <c r="B4280" s="425"/>
      <c r="C4280" s="425"/>
      <c r="D4280" s="426" t="s">
        <v>1075</v>
      </c>
      <c r="E4280" s="584" t="s">
        <v>1076</v>
      </c>
      <c r="F4280" s="584"/>
      <c r="G4280" s="584"/>
      <c r="H4280" s="584"/>
    </row>
    <row r="4281" spans="1:8" s="427" customFormat="1" ht="11.25">
      <c r="A4281" s="425"/>
      <c r="B4281" s="425"/>
      <c r="C4281" s="425"/>
      <c r="D4281" s="426" t="s">
        <v>1077</v>
      </c>
      <c r="E4281" s="584" t="s">
        <v>1078</v>
      </c>
      <c r="F4281" s="584"/>
      <c r="G4281" s="584"/>
      <c r="H4281" s="584"/>
    </row>
    <row r="4282" spans="1:8" s="427" customFormat="1" ht="11.25">
      <c r="A4282" s="425"/>
      <c r="B4282" s="425"/>
      <c r="C4282" s="425"/>
      <c r="D4282" s="426" t="s">
        <v>1079</v>
      </c>
      <c r="E4282" s="584" t="s">
        <v>1080</v>
      </c>
      <c r="F4282" s="584"/>
      <c r="G4282" s="584"/>
      <c r="H4282" s="584"/>
    </row>
    <row r="4283" spans="1:8" s="427" customFormat="1" ht="11.25">
      <c r="A4283" s="425"/>
      <c r="B4283" s="425"/>
      <c r="C4283" s="425"/>
      <c r="D4283" s="426"/>
      <c r="E4283" s="584"/>
      <c r="F4283" s="584"/>
      <c r="G4283" s="584"/>
      <c r="H4283" s="584"/>
    </row>
    <row r="4284" spans="1:8" s="427" customFormat="1" ht="11.25"/>
    <row r="4285" spans="1:8" s="422" customFormat="1" ht="11.25" hidden="1"/>
    <row r="4286" spans="1:8" s="422" customFormat="1" ht="11.25"/>
    <row r="4287" spans="1:8" s="422" customFormat="1" ht="12" customHeight="1">
      <c r="A4287" s="421" t="s">
        <v>589</v>
      </c>
      <c r="B4287" s="421"/>
      <c r="C4287" s="421"/>
    </row>
    <row r="4288" spans="1:8" s="422" customFormat="1" ht="15.75" customHeight="1">
      <c r="A4288" s="421"/>
      <c r="B4288" s="421"/>
      <c r="C4288" s="421"/>
    </row>
    <row r="4289" spans="1:8" s="429" customFormat="1" ht="11.25" customHeight="1">
      <c r="A4289" s="428"/>
      <c r="B4289" s="428"/>
      <c r="C4289" s="428"/>
    </row>
    <row r="4290" spans="1:8" s="429" customFormat="1" ht="3" hidden="1" customHeight="1">
      <c r="A4290" s="428"/>
      <c r="B4290" s="428"/>
      <c r="C4290" s="428"/>
    </row>
    <row r="4291" spans="1:8" s="429" customFormat="1" ht="2.25" hidden="1" customHeight="1">
      <c r="A4291" s="428"/>
      <c r="B4291" s="428"/>
      <c r="C4291" s="428"/>
    </row>
    <row r="4292" spans="1:8" s="422" customFormat="1" ht="0.75" hidden="1" customHeight="1">
      <c r="A4292" s="430"/>
      <c r="B4292" s="430"/>
      <c r="C4292" s="430"/>
      <c r="D4292" s="430"/>
      <c r="E4292" s="430"/>
      <c r="F4292" s="430"/>
      <c r="G4292" s="430"/>
      <c r="H4292" s="430"/>
    </row>
    <row r="4293" spans="1:8" s="422" customFormat="1" ht="21.95" customHeight="1">
      <c r="A4293" s="585" t="s">
        <v>590</v>
      </c>
      <c r="B4293" s="585"/>
      <c r="C4293" s="585"/>
      <c r="D4293" s="586"/>
      <c r="E4293" s="586"/>
      <c r="F4293" s="586"/>
      <c r="G4293" s="586"/>
      <c r="H4293" s="586"/>
    </row>
    <row r="4294" spans="1:8" s="429" customFormat="1" ht="11.25">
      <c r="A4294" s="431"/>
      <c r="B4294" s="431"/>
      <c r="C4294" s="431"/>
      <c r="D4294" s="432"/>
      <c r="E4294" s="432"/>
      <c r="F4294" s="432"/>
      <c r="G4294" s="432"/>
      <c r="H4294" s="432"/>
    </row>
    <row r="4295" spans="1:8" s="422" customFormat="1" ht="9" customHeight="1"/>
    <row r="4296" spans="1:8" s="422" customFormat="1" ht="9" customHeight="1"/>
    <row r="4297" spans="1:8" s="422" customFormat="1" ht="9" customHeight="1"/>
    <row r="4298" spans="1:8" s="422" customFormat="1" ht="9" customHeight="1"/>
    <row r="4299" spans="1:8" s="422" customFormat="1" ht="9" customHeight="1"/>
    <row r="4300" spans="1:8" s="422" customFormat="1" ht="9" customHeight="1"/>
    <row r="4301" spans="1:8" s="422" customFormat="1" ht="11.25" customHeight="1"/>
    <row r="4302" spans="1:8" s="422" customFormat="1" ht="9" customHeight="1"/>
    <row r="4303" spans="1:8" s="422" customFormat="1" ht="9" customHeight="1"/>
    <row r="4304" spans="1:8" s="422" customFormat="1" ht="9" customHeight="1"/>
    <row r="4305" spans="1:3" s="422" customFormat="1" ht="9" customHeight="1"/>
    <row r="4306" spans="1:3" s="422" customFormat="1" ht="11.25" customHeight="1"/>
    <row r="4307" spans="1:3" s="422" customFormat="1" ht="11.25" customHeight="1"/>
    <row r="4308" spans="1:3" s="422" customFormat="1" ht="11.25" customHeight="1"/>
    <row r="4309" spans="1:3" s="422" customFormat="1" ht="11.25" hidden="1" customHeight="1"/>
    <row r="4310" spans="1:3" s="422" customFormat="1" ht="11.25" hidden="1" customHeight="1"/>
    <row r="4311" spans="1:3" s="422" customFormat="1" ht="11.25" hidden="1" customHeight="1"/>
    <row r="4312" spans="1:3" s="422" customFormat="1" ht="11.25" hidden="1" customHeight="1"/>
    <row r="4313" spans="1:3" s="422" customFormat="1" ht="11.25" customHeight="1"/>
    <row r="4314" spans="1:3" s="422" customFormat="1" ht="13.5" hidden="1" customHeight="1"/>
    <row r="4315" spans="1:3" s="422" customFormat="1" ht="11.25" customHeight="1"/>
    <row r="4316" spans="1:3" s="422" customFormat="1" ht="11.25">
      <c r="A4316" s="421" t="s">
        <v>591</v>
      </c>
      <c r="B4316" s="421"/>
      <c r="C4316" s="421"/>
    </row>
    <row r="4317" spans="1:3" s="429" customFormat="1" ht="11.25">
      <c r="A4317" s="428"/>
      <c r="B4317" s="428"/>
      <c r="C4317" s="428"/>
    </row>
    <row r="4318" spans="1:3" s="429" customFormat="1" ht="11.25">
      <c r="A4318" s="428"/>
      <c r="B4318" s="428"/>
      <c r="C4318" s="428"/>
    </row>
    <row r="4319" spans="1:3" s="429" customFormat="1" ht="11.25">
      <c r="A4319" s="428"/>
      <c r="B4319" s="428"/>
      <c r="C4319" s="428"/>
    </row>
    <row r="4320" spans="1:3" s="429" customFormat="1" ht="11.25">
      <c r="A4320" s="428"/>
      <c r="B4320" s="428"/>
      <c r="C4320" s="428"/>
    </row>
    <row r="4321" spans="1:8" s="429" customFormat="1" ht="11.25" hidden="1">
      <c r="A4321" s="428"/>
      <c r="B4321" s="428"/>
      <c r="C4321" s="428"/>
    </row>
    <row r="4322" spans="1:8" s="422" customFormat="1" ht="11.25" customHeight="1"/>
    <row r="4323" spans="1:8" s="422" customFormat="1" ht="11.25">
      <c r="A4323" s="433" t="s">
        <v>592</v>
      </c>
      <c r="B4323" s="434"/>
      <c r="C4323" s="434"/>
      <c r="D4323" s="434"/>
      <c r="E4323" s="434"/>
      <c r="F4323" s="434"/>
      <c r="G4323" s="434"/>
      <c r="H4323" s="434"/>
    </row>
    <row r="4324" spans="1:8" s="429" customFormat="1" ht="11.25">
      <c r="A4324" s="435"/>
      <c r="B4324" s="436"/>
      <c r="C4324" s="436"/>
      <c r="D4324" s="436"/>
      <c r="E4324" s="436"/>
      <c r="F4324" s="436"/>
      <c r="G4324" s="436"/>
      <c r="H4324" s="436"/>
    </row>
    <row r="4325" spans="1:8" s="429" customFormat="1" ht="11.25">
      <c r="A4325" s="435"/>
      <c r="B4325" s="436"/>
      <c r="C4325" s="436"/>
      <c r="D4325" s="436"/>
      <c r="E4325" s="436"/>
      <c r="F4325" s="436"/>
      <c r="G4325" s="436"/>
      <c r="H4325" s="436"/>
    </row>
    <row r="4326" spans="1:8" s="422" customFormat="1" ht="11.25" customHeight="1">
      <c r="A4326" s="437"/>
      <c r="B4326" s="437"/>
      <c r="C4326" s="437"/>
      <c r="D4326" s="437"/>
      <c r="E4326" s="437"/>
      <c r="F4326" s="437"/>
      <c r="G4326" s="437"/>
      <c r="H4326" s="437"/>
    </row>
    <row r="4327" spans="1:8" s="422" customFormat="1" ht="11.25">
      <c r="A4327" s="421" t="s">
        <v>593</v>
      </c>
      <c r="B4327" s="421"/>
      <c r="C4327" s="421"/>
    </row>
    <row r="4328" spans="1:8" s="422" customFormat="1" ht="11.25">
      <c r="A4328" s="438"/>
      <c r="B4328" s="439" t="s">
        <v>132</v>
      </c>
      <c r="C4328" s="439" t="s">
        <v>473</v>
      </c>
      <c r="D4328" s="439" t="s">
        <v>474</v>
      </c>
      <c r="E4328" s="439" t="s">
        <v>375</v>
      </c>
      <c r="F4328" s="439" t="s">
        <v>9</v>
      </c>
      <c r="G4328" s="439" t="s">
        <v>131</v>
      </c>
      <c r="H4328" s="439" t="s">
        <v>424</v>
      </c>
    </row>
    <row r="4329" spans="1:8" s="422" customFormat="1" ht="11.25">
      <c r="A4329" s="439" t="s">
        <v>394</v>
      </c>
      <c r="B4329" s="438">
        <v>32873244.93</v>
      </c>
      <c r="C4329" s="438">
        <v>33706235.100000001</v>
      </c>
      <c r="D4329" s="438">
        <v>33753712</v>
      </c>
      <c r="E4329" s="438">
        <v>34569580.019199997</v>
      </c>
      <c r="F4329" s="438">
        <v>36322856.019199997</v>
      </c>
      <c r="G4329" s="438">
        <v>37537794.446079999</v>
      </c>
      <c r="H4329" s="438">
        <v>38903885.455679998</v>
      </c>
    </row>
    <row r="4330" spans="1:8" s="422" customFormat="1" ht="11.25">
      <c r="A4330" s="439" t="s">
        <v>395</v>
      </c>
      <c r="B4330" s="438">
        <v>-3321174.17</v>
      </c>
      <c r="C4330" s="438">
        <v>-3220496.84</v>
      </c>
      <c r="D4330" s="438">
        <v>-2492512.48</v>
      </c>
      <c r="E4330" s="438">
        <v>-2592512.48</v>
      </c>
      <c r="F4330" s="438">
        <v>-2592512.48</v>
      </c>
      <c r="G4330" s="438">
        <v>-2592512.48</v>
      </c>
      <c r="H4330" s="438">
        <v>-2592512.48</v>
      </c>
    </row>
    <row r="4331" spans="1:8" s="422" customFormat="1" ht="11.25">
      <c r="A4331" s="439" t="s">
        <v>396</v>
      </c>
      <c r="B4331" s="438">
        <v>29552070.759999998</v>
      </c>
      <c r="C4331" s="438">
        <v>30485738.260000002</v>
      </c>
      <c r="D4331" s="438">
        <v>31261199.52</v>
      </c>
      <c r="E4331" s="438">
        <v>31977067.539199997</v>
      </c>
      <c r="F4331" s="438">
        <v>33730343.5392</v>
      </c>
      <c r="G4331" s="438">
        <v>34945281.966080002</v>
      </c>
      <c r="H4331" s="438">
        <v>36311372.975680001</v>
      </c>
    </row>
    <row r="4332" spans="1:8" s="442" customFormat="1" ht="11.25">
      <c r="A4332" s="440" t="s">
        <v>397</v>
      </c>
      <c r="B4332" s="441">
        <v>0.10102970294146742</v>
      </c>
      <c r="C4332" s="441">
        <v>9.5546026734976391E-2</v>
      </c>
      <c r="D4332" s="441">
        <v>7.3844099872630298E-2</v>
      </c>
      <c r="E4332" s="441">
        <v>7.4994040383484978E-2</v>
      </c>
      <c r="F4332" s="441">
        <v>7.1374136401323091E-2</v>
      </c>
      <c r="G4332" s="441">
        <v>6.9064059789765597E-2</v>
      </c>
      <c r="H4332" s="441">
        <v>6.6638908932462201E-2</v>
      </c>
    </row>
    <row r="4333" spans="1:8" s="422" customFormat="1" ht="11.25" customHeight="1"/>
    <row r="4334" spans="1:8" s="422" customFormat="1" ht="11.25">
      <c r="A4334" s="443" t="s">
        <v>594</v>
      </c>
      <c r="B4334" s="443"/>
      <c r="C4334" s="444"/>
    </row>
    <row r="4335" spans="1:8" s="422" customFormat="1" ht="11.25">
      <c r="A4335" s="445" t="s">
        <v>595</v>
      </c>
      <c r="B4335" s="446"/>
      <c r="C4335" s="447"/>
      <c r="D4335" s="439" t="s">
        <v>474</v>
      </c>
      <c r="E4335" s="439" t="s">
        <v>375</v>
      </c>
      <c r="F4335" s="439" t="s">
        <v>9</v>
      </c>
      <c r="G4335" s="439" t="s">
        <v>131</v>
      </c>
      <c r="H4335" s="439" t="s">
        <v>424</v>
      </c>
    </row>
    <row r="4336" spans="1:8" s="422" customFormat="1" ht="11.25">
      <c r="A4336" s="448" t="s">
        <v>1081</v>
      </c>
      <c r="B4336" s="449"/>
      <c r="C4336" s="449"/>
      <c r="D4336" s="457">
        <v>0.9</v>
      </c>
      <c r="E4336" s="457">
        <v>0.9</v>
      </c>
      <c r="F4336" s="457">
        <v>0.9</v>
      </c>
      <c r="G4336" s="457">
        <v>0.9</v>
      </c>
      <c r="H4336" s="457">
        <v>0.9</v>
      </c>
    </row>
    <row r="4337" spans="1:8" s="422" customFormat="1" ht="11.25">
      <c r="A4337" s="448" t="s">
        <v>1082</v>
      </c>
      <c r="B4337" s="449"/>
      <c r="C4337" s="449"/>
      <c r="D4337" s="457">
        <v>0.65</v>
      </c>
      <c r="E4337" s="457">
        <v>0.65</v>
      </c>
      <c r="F4337" s="457">
        <v>0.65</v>
      </c>
      <c r="G4337" s="457">
        <v>0.65</v>
      </c>
      <c r="H4337" s="457">
        <v>0.65</v>
      </c>
    </row>
    <row r="4338" spans="1:8" s="422" customFormat="1" ht="11.25">
      <c r="A4338" s="448" t="s">
        <v>1083</v>
      </c>
      <c r="B4338" s="449"/>
      <c r="C4338" s="449"/>
      <c r="D4338" s="457">
        <v>0.87</v>
      </c>
      <c r="E4338" s="457">
        <v>0.87</v>
      </c>
      <c r="F4338" s="457">
        <v>0.87</v>
      </c>
      <c r="G4338" s="457">
        <v>0.87</v>
      </c>
      <c r="H4338" s="457">
        <v>0.87</v>
      </c>
    </row>
    <row r="4339" spans="1:8" s="422" customFormat="1" ht="11.25" customHeight="1"/>
    <row r="4340" spans="1:8" s="422" customFormat="1" ht="11.25">
      <c r="A4340" s="421" t="s">
        <v>423</v>
      </c>
      <c r="B4340" s="421"/>
      <c r="C4340" s="421"/>
    </row>
    <row r="4341" spans="1:8" s="422" customFormat="1" ht="11.25">
      <c r="A4341" s="450"/>
      <c r="B4341" s="439" t="s">
        <v>132</v>
      </c>
      <c r="C4341" s="439" t="s">
        <v>473</v>
      </c>
      <c r="D4341" s="439" t="s">
        <v>474</v>
      </c>
      <c r="E4341" s="439" t="s">
        <v>375</v>
      </c>
      <c r="F4341" s="439" t="s">
        <v>9</v>
      </c>
      <c r="G4341" s="439" t="s">
        <v>131</v>
      </c>
      <c r="H4341" s="439" t="s">
        <v>424</v>
      </c>
    </row>
    <row r="4342" spans="1:8" s="422" customFormat="1" ht="11.25">
      <c r="A4342" s="451" t="s">
        <v>398</v>
      </c>
      <c r="B4342" s="438">
        <v>0</v>
      </c>
      <c r="C4342" s="438">
        <v>0</v>
      </c>
      <c r="D4342" s="438">
        <v>0</v>
      </c>
      <c r="E4342" s="438">
        <v>0</v>
      </c>
      <c r="F4342" s="438">
        <v>0</v>
      </c>
      <c r="G4342" s="438">
        <v>0</v>
      </c>
      <c r="H4342" s="438">
        <v>0</v>
      </c>
    </row>
    <row r="4343" spans="1:8" s="422" customFormat="1" ht="11.25">
      <c r="A4343" s="451" t="s">
        <v>399</v>
      </c>
      <c r="B4343" s="438">
        <v>0</v>
      </c>
      <c r="C4343" s="438">
        <v>0</v>
      </c>
      <c r="D4343" s="438">
        <v>0</v>
      </c>
      <c r="E4343" s="438">
        <v>0</v>
      </c>
      <c r="F4343" s="438">
        <v>0</v>
      </c>
      <c r="G4343" s="438">
        <v>0</v>
      </c>
      <c r="H4343" s="438">
        <v>0</v>
      </c>
    </row>
    <row r="4344" spans="1:8" s="422" customFormat="1" ht="11.25">
      <c r="A4344" s="451" t="s">
        <v>400</v>
      </c>
      <c r="B4344" s="438">
        <v>0</v>
      </c>
      <c r="C4344" s="438">
        <v>0</v>
      </c>
      <c r="D4344" s="438">
        <v>0</v>
      </c>
      <c r="E4344" s="438">
        <v>0</v>
      </c>
      <c r="F4344" s="438">
        <v>0</v>
      </c>
      <c r="G4344" s="438">
        <v>0</v>
      </c>
      <c r="H4344" s="438">
        <v>0</v>
      </c>
    </row>
    <row r="4345" spans="1:8" s="422" customFormat="1" ht="11.25">
      <c r="A4345" s="451" t="s">
        <v>401</v>
      </c>
      <c r="B4345" s="438">
        <v>0</v>
      </c>
      <c r="C4345" s="438">
        <v>0</v>
      </c>
      <c r="D4345" s="438">
        <v>0</v>
      </c>
      <c r="E4345" s="438">
        <v>0</v>
      </c>
      <c r="F4345" s="438">
        <v>0</v>
      </c>
      <c r="G4345" s="438">
        <v>0</v>
      </c>
      <c r="H4345" s="438">
        <v>0</v>
      </c>
    </row>
    <row r="4346" spans="1:8" s="422" customFormat="1" ht="11.25" customHeight="1"/>
    <row r="4347" spans="1:8" s="422" customFormat="1" ht="11.25">
      <c r="A4347" s="421" t="s">
        <v>597</v>
      </c>
      <c r="B4347" s="421"/>
      <c r="C4347" s="421"/>
    </row>
    <row r="4348" spans="1:8" s="429" customFormat="1" ht="11.25">
      <c r="A4348" s="428"/>
      <c r="B4348" s="428"/>
      <c r="C4348" s="428"/>
    </row>
    <row r="4349" spans="1:8" s="429" customFormat="1" ht="11.25">
      <c r="A4349" s="428"/>
      <c r="B4349" s="428"/>
      <c r="C4349" s="428"/>
    </row>
    <row r="4350" spans="1:8" s="429" customFormat="1" ht="11.25" hidden="1">
      <c r="A4350" s="428"/>
      <c r="B4350" s="428"/>
      <c r="C4350" s="428"/>
    </row>
    <row r="4351" spans="1:8" s="422" customFormat="1" ht="11.25" customHeight="1"/>
    <row r="4352" spans="1:8" s="422" customFormat="1" ht="11.25">
      <c r="A4352" s="421" t="s">
        <v>598</v>
      </c>
      <c r="B4352" s="421"/>
      <c r="C4352" s="421"/>
    </row>
    <row r="4353" spans="1:8" s="422" customFormat="1" ht="11.25">
      <c r="A4353" s="452" t="s">
        <v>599</v>
      </c>
      <c r="B4353" s="447"/>
      <c r="C4353" s="447"/>
      <c r="D4353" s="447"/>
      <c r="E4353" s="439" t="s">
        <v>375</v>
      </c>
      <c r="F4353" s="439" t="s">
        <v>9</v>
      </c>
      <c r="G4353" s="439" t="s">
        <v>131</v>
      </c>
      <c r="H4353" s="439" t="s">
        <v>424</v>
      </c>
    </row>
    <row r="4354" spans="1:8" s="422" customFormat="1" ht="11.25">
      <c r="A4354" s="448"/>
      <c r="B4354" s="449"/>
      <c r="C4354" s="449"/>
      <c r="D4354" s="449"/>
      <c r="E4354" s="438">
        <v>0</v>
      </c>
      <c r="F4354" s="438">
        <v>0</v>
      </c>
      <c r="G4354" s="438">
        <v>0</v>
      </c>
      <c r="H4354" s="438">
        <v>0</v>
      </c>
    </row>
    <row r="4355" spans="1:8" s="422" customFormat="1" ht="11.25">
      <c r="A4355" s="448"/>
      <c r="B4355" s="449"/>
      <c r="C4355" s="449"/>
      <c r="D4355" s="449"/>
      <c r="E4355" s="438">
        <v>0</v>
      </c>
      <c r="F4355" s="438">
        <v>0</v>
      </c>
      <c r="G4355" s="438">
        <v>0</v>
      </c>
      <c r="H4355" s="438">
        <v>0</v>
      </c>
    </row>
    <row r="4356" spans="1:8" s="422" customFormat="1" ht="11.25">
      <c r="A4356" s="448"/>
      <c r="B4356" s="449"/>
      <c r="C4356" s="449"/>
      <c r="D4356" s="449"/>
      <c r="E4356" s="438">
        <v>0</v>
      </c>
      <c r="F4356" s="438">
        <v>0</v>
      </c>
      <c r="G4356" s="438">
        <v>0</v>
      </c>
      <c r="H4356" s="438">
        <v>0</v>
      </c>
    </row>
    <row r="4357" spans="1:8" s="421" customFormat="1" ht="11.25">
      <c r="A4357" s="421" t="s">
        <v>391</v>
      </c>
      <c r="D4357" s="421" t="s">
        <v>472</v>
      </c>
    </row>
    <row r="4358" spans="1:8" s="422" customFormat="1" ht="11.25"/>
    <row r="4359" spans="1:8" s="421" customFormat="1" ht="11.25" customHeight="1">
      <c r="A4359" s="423" t="s">
        <v>392</v>
      </c>
      <c r="D4359" s="421" t="s">
        <v>150</v>
      </c>
    </row>
    <row r="4360" spans="1:8" s="421" customFormat="1" ht="7.5" customHeight="1">
      <c r="A4360" s="423"/>
    </row>
    <row r="4361" spans="1:8" s="421" customFormat="1" ht="11.25">
      <c r="A4361" s="424" t="s">
        <v>393</v>
      </c>
      <c r="D4361" s="583" t="s">
        <v>33</v>
      </c>
      <c r="E4361" s="583"/>
      <c r="F4361" s="583"/>
      <c r="G4361" s="583"/>
      <c r="H4361" s="583"/>
    </row>
    <row r="4362" spans="1:8" s="421" customFormat="1" ht="7.5" customHeight="1"/>
    <row r="4363" spans="1:8" s="422" customFormat="1" ht="11.25">
      <c r="A4363" s="421" t="s">
        <v>170</v>
      </c>
      <c r="B4363" s="421"/>
      <c r="C4363" s="421"/>
      <c r="D4363" s="422" t="s">
        <v>270</v>
      </c>
      <c r="E4363" s="422" t="s">
        <v>390</v>
      </c>
    </row>
    <row r="4364" spans="1:8" s="422" customFormat="1" ht="7.5" customHeight="1"/>
    <row r="4365" spans="1:8" s="427" customFormat="1" ht="11.25">
      <c r="A4365" s="425" t="s">
        <v>587</v>
      </c>
      <c r="B4365" s="425"/>
      <c r="C4365" s="425"/>
      <c r="D4365" s="426" t="s">
        <v>1084</v>
      </c>
      <c r="E4365" s="584" t="s">
        <v>1085</v>
      </c>
      <c r="F4365" s="584"/>
      <c r="G4365" s="584"/>
      <c r="H4365" s="584"/>
    </row>
    <row r="4366" spans="1:8" s="427" customFormat="1" ht="11.25">
      <c r="A4366" s="425"/>
      <c r="B4366" s="425"/>
      <c r="C4366" s="425"/>
      <c r="D4366" s="426" t="s">
        <v>1086</v>
      </c>
      <c r="E4366" s="584" t="s">
        <v>1087</v>
      </c>
      <c r="F4366" s="584"/>
      <c r="G4366" s="584"/>
      <c r="H4366" s="584"/>
    </row>
    <row r="4367" spans="1:8" s="427" customFormat="1" ht="11.25">
      <c r="A4367" s="425"/>
      <c r="B4367" s="425"/>
      <c r="C4367" s="425"/>
      <c r="D4367" s="426" t="s">
        <v>1088</v>
      </c>
      <c r="E4367" s="584" t="s">
        <v>1089</v>
      </c>
      <c r="F4367" s="584"/>
      <c r="G4367" s="584"/>
      <c r="H4367" s="584"/>
    </row>
    <row r="4368" spans="1:8" s="427" customFormat="1" ht="11.25">
      <c r="A4368" s="425"/>
      <c r="B4368" s="425"/>
      <c r="C4368" s="425"/>
      <c r="D4368" s="426" t="s">
        <v>1090</v>
      </c>
      <c r="E4368" s="584" t="s">
        <v>1091</v>
      </c>
      <c r="F4368" s="584"/>
      <c r="G4368" s="584"/>
      <c r="H4368" s="584"/>
    </row>
    <row r="4369" spans="1:8" s="427" customFormat="1" ht="11.25">
      <c r="A4369" s="425"/>
      <c r="B4369" s="425"/>
      <c r="C4369" s="425"/>
      <c r="D4369" s="426" t="s">
        <v>1092</v>
      </c>
      <c r="E4369" s="584" t="s">
        <v>1093</v>
      </c>
      <c r="F4369" s="584"/>
      <c r="G4369" s="584"/>
      <c r="H4369" s="584"/>
    </row>
    <row r="4370" spans="1:8" s="427" customFormat="1" ht="11.25">
      <c r="A4370" s="425"/>
      <c r="B4370" s="425"/>
      <c r="C4370" s="425"/>
      <c r="D4370" s="426"/>
      <c r="E4370" s="584"/>
      <c r="F4370" s="584"/>
      <c r="G4370" s="584"/>
      <c r="H4370" s="584"/>
    </row>
    <row r="4371" spans="1:8" s="427" customFormat="1" ht="11.25"/>
    <row r="4372" spans="1:8" s="422" customFormat="1" ht="11.25" hidden="1"/>
    <row r="4373" spans="1:8" s="422" customFormat="1" ht="11.25">
      <c r="A4373" s="421" t="s">
        <v>589</v>
      </c>
      <c r="B4373" s="421"/>
      <c r="C4373" s="421"/>
    </row>
    <row r="4374" spans="1:8" s="429" customFormat="1" ht="11.25">
      <c r="A4374" s="428"/>
      <c r="B4374" s="428"/>
      <c r="C4374" s="428"/>
    </row>
    <row r="4375" spans="1:8" s="429" customFormat="1" ht="11.25">
      <c r="A4375" s="428"/>
      <c r="B4375" s="428"/>
      <c r="C4375" s="428"/>
    </row>
    <row r="4376" spans="1:8" s="429" customFormat="1" ht="11.25" hidden="1">
      <c r="A4376" s="428"/>
      <c r="B4376" s="428"/>
      <c r="C4376" s="428"/>
    </row>
    <row r="4377" spans="1:8" s="422" customFormat="1" ht="11.25" customHeight="1">
      <c r="A4377" s="430"/>
      <c r="B4377" s="430"/>
      <c r="C4377" s="430"/>
      <c r="D4377" s="430"/>
      <c r="E4377" s="430"/>
      <c r="F4377" s="430"/>
      <c r="G4377" s="430"/>
      <c r="H4377" s="430"/>
    </row>
    <row r="4378" spans="1:8" s="422" customFormat="1" ht="24.75" customHeight="1">
      <c r="A4378" s="585" t="s">
        <v>590</v>
      </c>
      <c r="B4378" s="585"/>
      <c r="C4378" s="585"/>
      <c r="D4378" s="586"/>
      <c r="E4378" s="586"/>
      <c r="F4378" s="586"/>
      <c r="G4378" s="586"/>
      <c r="H4378" s="586"/>
    </row>
    <row r="4379" spans="1:8" s="429" customFormat="1" ht="11.25">
      <c r="A4379" s="431"/>
      <c r="B4379" s="431"/>
      <c r="C4379" s="431"/>
      <c r="D4379" s="432"/>
      <c r="E4379" s="432"/>
      <c r="F4379" s="432"/>
      <c r="G4379" s="432"/>
      <c r="H4379" s="432"/>
    </row>
    <row r="4380" spans="1:8" s="429" customFormat="1" ht="11.25">
      <c r="A4380" s="431"/>
      <c r="B4380" s="431"/>
      <c r="C4380" s="431"/>
      <c r="D4380" s="432"/>
      <c r="E4380" s="432"/>
      <c r="F4380" s="432"/>
      <c r="G4380" s="432"/>
      <c r="H4380" s="432"/>
    </row>
    <row r="4381" spans="1:8" s="429" customFormat="1" ht="11.25">
      <c r="A4381" s="431"/>
      <c r="B4381" s="431"/>
      <c r="C4381" s="431"/>
      <c r="D4381" s="432"/>
      <c r="E4381" s="432"/>
      <c r="F4381" s="432"/>
      <c r="G4381" s="432"/>
      <c r="H4381" s="432"/>
    </row>
    <row r="4382" spans="1:8" s="429" customFormat="1" ht="11.25" hidden="1">
      <c r="A4382" s="431"/>
      <c r="B4382" s="431"/>
      <c r="C4382" s="431"/>
      <c r="D4382" s="432"/>
      <c r="E4382" s="432"/>
      <c r="F4382" s="432"/>
      <c r="G4382" s="432"/>
      <c r="H4382" s="432"/>
    </row>
    <row r="4383" spans="1:8" s="429" customFormat="1" ht="11.25" hidden="1">
      <c r="A4383" s="431"/>
      <c r="B4383" s="431"/>
      <c r="C4383" s="431"/>
      <c r="D4383" s="432"/>
      <c r="E4383" s="432"/>
      <c r="F4383" s="432"/>
      <c r="G4383" s="432"/>
      <c r="H4383" s="432"/>
    </row>
    <row r="4384" spans="1:8" s="429" customFormat="1" ht="11.25" hidden="1">
      <c r="A4384" s="431"/>
      <c r="B4384" s="431"/>
      <c r="C4384" s="431"/>
      <c r="D4384" s="432"/>
      <c r="E4384" s="432"/>
      <c r="F4384" s="432"/>
      <c r="G4384" s="432"/>
      <c r="H4384" s="432"/>
    </row>
    <row r="4385" spans="1:3" s="422" customFormat="1" ht="9" hidden="1" customHeight="1"/>
    <row r="4386" spans="1:3" s="422" customFormat="1" ht="3" hidden="1" customHeight="1">
      <c r="A4386" s="421" t="s">
        <v>591</v>
      </c>
      <c r="B4386" s="421"/>
      <c r="C4386" s="421"/>
    </row>
    <row r="4387" spans="1:3" s="429" customFormat="1" ht="11.25" hidden="1">
      <c r="A4387" s="428"/>
      <c r="B4387" s="428"/>
      <c r="C4387" s="428"/>
    </row>
    <row r="4388" spans="1:3" s="429" customFormat="1" ht="11.25" hidden="1">
      <c r="A4388" s="428"/>
      <c r="B4388" s="428"/>
      <c r="C4388" s="428"/>
    </row>
    <row r="4389" spans="1:3" s="429" customFormat="1" ht="11.25" hidden="1">
      <c r="A4389" s="428"/>
      <c r="B4389" s="428"/>
      <c r="C4389" s="428"/>
    </row>
    <row r="4390" spans="1:3" s="429" customFormat="1" ht="11.25" hidden="1">
      <c r="B4390" s="428"/>
      <c r="C4390" s="428"/>
    </row>
    <row r="4391" spans="1:3" s="429" customFormat="1" ht="11.25" hidden="1">
      <c r="A4391" s="428"/>
      <c r="B4391" s="428"/>
      <c r="C4391" s="428"/>
    </row>
    <row r="4392" spans="1:3" s="429" customFormat="1" ht="9.75" customHeight="1">
      <c r="A4392" s="428"/>
      <c r="B4392" s="428"/>
      <c r="C4392" s="428"/>
    </row>
    <row r="4393" spans="1:3" s="429" customFormat="1" ht="11.25" hidden="1">
      <c r="B4393" s="428"/>
      <c r="C4393" s="428"/>
    </row>
    <row r="4394" spans="1:3" s="429" customFormat="1" ht="11.25" hidden="1">
      <c r="A4394" s="428"/>
      <c r="B4394" s="428"/>
      <c r="C4394" s="428"/>
    </row>
    <row r="4395" spans="1:3" s="429" customFormat="1" ht="11.25" customHeight="1">
      <c r="A4395" s="428"/>
      <c r="B4395" s="428"/>
      <c r="C4395" s="428"/>
    </row>
    <row r="4396" spans="1:3" s="429" customFormat="1" ht="12.75" customHeight="1">
      <c r="A4396" s="428" t="s">
        <v>1094</v>
      </c>
      <c r="B4396" s="428"/>
      <c r="C4396" s="428"/>
    </row>
    <row r="4397" spans="1:3" s="429" customFormat="1" ht="11.25">
      <c r="A4397" s="428"/>
      <c r="B4397" s="428"/>
      <c r="C4397" s="428"/>
    </row>
    <row r="4398" spans="1:3" s="429" customFormat="1" ht="11.25" hidden="1">
      <c r="A4398" s="428"/>
      <c r="B4398" s="428"/>
      <c r="C4398" s="428"/>
    </row>
    <row r="4399" spans="1:3" s="429" customFormat="1" ht="11.25" hidden="1">
      <c r="A4399" s="428"/>
      <c r="B4399" s="428"/>
      <c r="C4399" s="428"/>
    </row>
    <row r="4400" spans="1:3" s="429" customFormat="1" ht="11.25" hidden="1">
      <c r="A4400" s="428"/>
      <c r="B4400" s="428"/>
      <c r="C4400" s="428"/>
    </row>
    <row r="4401" spans="1:8" s="429" customFormat="1" ht="11.25">
      <c r="A4401" s="428"/>
      <c r="B4401" s="428"/>
      <c r="C4401" s="428"/>
    </row>
    <row r="4402" spans="1:8" s="429" customFormat="1" ht="5.0999999999999996" hidden="1" customHeight="1">
      <c r="A4402" s="428"/>
      <c r="B4402" s="428"/>
      <c r="C4402" s="428"/>
    </row>
    <row r="4403" spans="1:8" s="429" customFormat="1" ht="11.25" hidden="1">
      <c r="A4403" s="428"/>
      <c r="B4403" s="428"/>
      <c r="C4403" s="428"/>
    </row>
    <row r="4404" spans="1:8" s="429" customFormat="1" ht="11.25" hidden="1">
      <c r="A4404" s="428"/>
      <c r="B4404" s="428"/>
      <c r="C4404" s="428"/>
    </row>
    <row r="4405" spans="1:8" s="429" customFormat="1" ht="11.25" hidden="1">
      <c r="A4405" s="428"/>
      <c r="B4405" s="428"/>
      <c r="C4405" s="428"/>
    </row>
    <row r="4406" spans="1:8" s="429" customFormat="1" ht="11.25" hidden="1">
      <c r="A4406" s="428"/>
      <c r="B4406" s="428"/>
      <c r="C4406" s="428"/>
    </row>
    <row r="4407" spans="1:8" s="429" customFormat="1" ht="11.25" customHeight="1">
      <c r="A4407" s="428"/>
      <c r="B4407" s="428"/>
      <c r="C4407" s="428"/>
    </row>
    <row r="4408" spans="1:8" s="422" customFormat="1" ht="9" hidden="1" customHeight="1"/>
    <row r="4409" spans="1:8" s="422" customFormat="1" ht="11.25">
      <c r="A4409" s="433" t="s">
        <v>592</v>
      </c>
      <c r="B4409" s="434"/>
      <c r="C4409" s="434"/>
      <c r="D4409" s="434"/>
      <c r="E4409" s="434"/>
      <c r="F4409" s="434"/>
      <c r="G4409" s="434"/>
      <c r="H4409" s="434"/>
    </row>
    <row r="4410" spans="1:8" s="429" customFormat="1" ht="11.25">
      <c r="A4410" s="435"/>
      <c r="B4410" s="436"/>
      <c r="C4410" s="436"/>
      <c r="D4410" s="436"/>
      <c r="E4410" s="436"/>
      <c r="F4410" s="436"/>
      <c r="G4410" s="436"/>
      <c r="H4410" s="436"/>
    </row>
    <row r="4411" spans="1:8" s="429" customFormat="1" ht="11.25">
      <c r="A4411" s="435"/>
      <c r="B4411" s="436"/>
      <c r="C4411" s="436"/>
      <c r="D4411" s="436"/>
      <c r="E4411" s="436"/>
      <c r="F4411" s="436"/>
      <c r="G4411" s="436"/>
      <c r="H4411" s="436"/>
    </row>
    <row r="4412" spans="1:8" s="429" customFormat="1" ht="11.25" customHeight="1">
      <c r="A4412" s="435"/>
      <c r="B4412" s="436"/>
      <c r="C4412" s="436"/>
      <c r="D4412" s="436"/>
      <c r="E4412" s="436"/>
      <c r="F4412" s="436"/>
      <c r="G4412" s="436"/>
      <c r="H4412" s="436"/>
    </row>
    <row r="4413" spans="1:8" s="422" customFormat="1" ht="11.25" hidden="1">
      <c r="A4413" s="437"/>
      <c r="B4413" s="437"/>
      <c r="C4413" s="437"/>
      <c r="D4413" s="437"/>
      <c r="E4413" s="437"/>
      <c r="F4413" s="437"/>
      <c r="G4413" s="437"/>
      <c r="H4413" s="437"/>
    </row>
    <row r="4414" spans="1:8" s="422" customFormat="1" ht="11.25">
      <c r="A4414" s="421" t="s">
        <v>593</v>
      </c>
      <c r="B4414" s="421"/>
      <c r="C4414" s="421"/>
    </row>
    <row r="4415" spans="1:8" s="422" customFormat="1" ht="11.25">
      <c r="A4415" s="438"/>
      <c r="B4415" s="439" t="s">
        <v>132</v>
      </c>
      <c r="C4415" s="439" t="s">
        <v>473</v>
      </c>
      <c r="D4415" s="439" t="s">
        <v>474</v>
      </c>
      <c r="E4415" s="439" t="s">
        <v>375</v>
      </c>
      <c r="F4415" s="439" t="s">
        <v>9</v>
      </c>
      <c r="G4415" s="439" t="s">
        <v>131</v>
      </c>
      <c r="H4415" s="439" t="s">
        <v>424</v>
      </c>
    </row>
    <row r="4416" spans="1:8" s="422" customFormat="1" ht="11.25">
      <c r="A4416" s="439" t="s">
        <v>394</v>
      </c>
      <c r="B4416" s="438">
        <v>6225194.6400000006</v>
      </c>
      <c r="C4416" s="438">
        <v>158412.39000000001</v>
      </c>
      <c r="D4416" s="438">
        <v>0</v>
      </c>
      <c r="E4416" s="438">
        <v>0</v>
      </c>
      <c r="F4416" s="438">
        <v>0</v>
      </c>
      <c r="G4416" s="438">
        <v>0</v>
      </c>
      <c r="H4416" s="438">
        <v>0</v>
      </c>
    </row>
    <row r="4417" spans="1:8" s="422" customFormat="1" ht="11.25">
      <c r="A4417" s="439" t="s">
        <v>395</v>
      </c>
      <c r="B4417" s="438">
        <v>-109781.58</v>
      </c>
      <c r="C4417" s="438">
        <v>-136391.77000000002</v>
      </c>
      <c r="D4417" s="438">
        <v>0</v>
      </c>
      <c r="E4417" s="438">
        <v>0</v>
      </c>
      <c r="F4417" s="438">
        <v>0</v>
      </c>
      <c r="G4417" s="438">
        <v>0</v>
      </c>
      <c r="H4417" s="438">
        <v>0</v>
      </c>
    </row>
    <row r="4418" spans="1:8" s="422" customFormat="1" ht="11.25">
      <c r="A4418" s="439" t="s">
        <v>396</v>
      </c>
      <c r="B4418" s="438">
        <v>6115413.0600000005</v>
      </c>
      <c r="C4418" s="438">
        <v>22020.619999999995</v>
      </c>
      <c r="D4418" s="438">
        <v>0</v>
      </c>
      <c r="E4418" s="438">
        <v>0</v>
      </c>
      <c r="F4418" s="438">
        <v>0</v>
      </c>
      <c r="G4418" s="438">
        <v>0</v>
      </c>
      <c r="H4418" s="438">
        <v>0</v>
      </c>
    </row>
    <row r="4419" spans="1:8" s="442" customFormat="1" ht="11.25">
      <c r="A4419" s="440" t="s">
        <v>397</v>
      </c>
      <c r="B4419" s="441">
        <v>1.7635043777522754E-2</v>
      </c>
      <c r="C4419" s="441">
        <v>0.86099180752212634</v>
      </c>
      <c r="D4419" s="441" t="s">
        <v>1413</v>
      </c>
      <c r="E4419" s="441" t="s">
        <v>1413</v>
      </c>
      <c r="F4419" s="441" t="s">
        <v>1413</v>
      </c>
      <c r="G4419" s="441" t="s">
        <v>1413</v>
      </c>
      <c r="H4419" s="441" t="s">
        <v>1413</v>
      </c>
    </row>
    <row r="4420" spans="1:8" s="422" customFormat="1" ht="11.25" customHeight="1"/>
    <row r="4421" spans="1:8" s="422" customFormat="1" ht="11.25">
      <c r="A4421" s="443" t="s">
        <v>594</v>
      </c>
      <c r="B4421" s="443"/>
      <c r="C4421" s="444"/>
    </row>
    <row r="4422" spans="1:8" s="422" customFormat="1" ht="11.25">
      <c r="A4422" s="445" t="s">
        <v>595</v>
      </c>
      <c r="B4422" s="446"/>
      <c r="C4422" s="447"/>
      <c r="D4422" s="439" t="s">
        <v>474</v>
      </c>
      <c r="E4422" s="439" t="s">
        <v>375</v>
      </c>
      <c r="F4422" s="439" t="s">
        <v>9</v>
      </c>
      <c r="G4422" s="439" t="s">
        <v>131</v>
      </c>
      <c r="H4422" s="439" t="s">
        <v>424</v>
      </c>
    </row>
    <row r="4423" spans="1:8" s="422" customFormat="1" ht="11.25">
      <c r="A4423" s="493" t="s">
        <v>1095</v>
      </c>
      <c r="B4423" s="446"/>
      <c r="C4423" s="447"/>
      <c r="D4423" s="465" t="s">
        <v>1096</v>
      </c>
      <c r="E4423" s="465" t="s">
        <v>1096</v>
      </c>
      <c r="F4423" s="465" t="s">
        <v>1096</v>
      </c>
      <c r="G4423" s="465" t="s">
        <v>1096</v>
      </c>
      <c r="H4423" s="465" t="s">
        <v>1096</v>
      </c>
    </row>
    <row r="4424" spans="1:8" s="422" customFormat="1" ht="11.25">
      <c r="A4424" s="448" t="s">
        <v>1097</v>
      </c>
      <c r="B4424" s="449"/>
      <c r="C4424" s="449"/>
      <c r="D4424" s="465" t="s">
        <v>1096</v>
      </c>
      <c r="E4424" s="465" t="s">
        <v>1096</v>
      </c>
      <c r="F4424" s="465" t="s">
        <v>1096</v>
      </c>
      <c r="G4424" s="465" t="s">
        <v>1096</v>
      </c>
      <c r="H4424" s="465" t="s">
        <v>1096</v>
      </c>
    </row>
    <row r="4425" spans="1:8" s="422" customFormat="1" ht="11.25">
      <c r="A4425" s="448" t="s">
        <v>1098</v>
      </c>
      <c r="B4425" s="449"/>
      <c r="C4425" s="449"/>
      <c r="D4425" s="465" t="s">
        <v>1096</v>
      </c>
      <c r="E4425" s="465" t="s">
        <v>1096</v>
      </c>
      <c r="F4425" s="465" t="s">
        <v>1096</v>
      </c>
      <c r="G4425" s="465" t="s">
        <v>1096</v>
      </c>
      <c r="H4425" s="465" t="s">
        <v>1096</v>
      </c>
    </row>
    <row r="4426" spans="1:8" s="422" customFormat="1" ht="11.25" hidden="1">
      <c r="A4426" s="448"/>
      <c r="B4426" s="449"/>
      <c r="C4426" s="449"/>
      <c r="D4426" s="438"/>
      <c r="E4426" s="438"/>
      <c r="F4426" s="438"/>
      <c r="G4426" s="438"/>
      <c r="H4426" s="438"/>
    </row>
    <row r="4427" spans="1:8" s="422" customFormat="1" ht="11.25" hidden="1"/>
    <row r="4428" spans="1:8" s="422" customFormat="1" ht="11.25" customHeight="1"/>
    <row r="4429" spans="1:8" s="422" customFormat="1" ht="11.25">
      <c r="A4429" s="421" t="s">
        <v>423</v>
      </c>
      <c r="B4429" s="421"/>
      <c r="C4429" s="421"/>
    </row>
    <row r="4430" spans="1:8" s="422" customFormat="1" ht="11.25">
      <c r="A4430" s="450"/>
      <c r="B4430" s="439" t="s">
        <v>132</v>
      </c>
      <c r="C4430" s="439" t="s">
        <v>473</v>
      </c>
      <c r="D4430" s="439" t="s">
        <v>474</v>
      </c>
      <c r="E4430" s="439" t="s">
        <v>375</v>
      </c>
      <c r="F4430" s="439" t="s">
        <v>9</v>
      </c>
      <c r="G4430" s="439" t="s">
        <v>131</v>
      </c>
      <c r="H4430" s="439" t="s">
        <v>424</v>
      </c>
    </row>
    <row r="4431" spans="1:8" s="422" customFormat="1" ht="11.25">
      <c r="A4431" s="451" t="s">
        <v>398</v>
      </c>
      <c r="B4431" s="438">
        <v>0</v>
      </c>
      <c r="C4431" s="438">
        <v>0</v>
      </c>
      <c r="D4431" s="438">
        <v>0</v>
      </c>
      <c r="E4431" s="438">
        <v>0</v>
      </c>
      <c r="F4431" s="438">
        <v>0</v>
      </c>
      <c r="G4431" s="438">
        <v>0</v>
      </c>
      <c r="H4431" s="438">
        <v>0</v>
      </c>
    </row>
    <row r="4432" spans="1:8" s="422" customFormat="1" ht="11.25">
      <c r="A4432" s="451" t="s">
        <v>399</v>
      </c>
      <c r="B4432" s="438">
        <v>0</v>
      </c>
      <c r="C4432" s="438">
        <v>0</v>
      </c>
      <c r="D4432" s="438">
        <v>0</v>
      </c>
      <c r="E4432" s="438">
        <v>0</v>
      </c>
      <c r="F4432" s="438">
        <v>0</v>
      </c>
      <c r="G4432" s="438">
        <v>0</v>
      </c>
      <c r="H4432" s="438">
        <v>0</v>
      </c>
    </row>
    <row r="4433" spans="1:8" s="422" customFormat="1" ht="11.25">
      <c r="A4433" s="451" t="s">
        <v>400</v>
      </c>
      <c r="B4433" s="438">
        <v>0</v>
      </c>
      <c r="C4433" s="438">
        <v>0</v>
      </c>
      <c r="D4433" s="438">
        <v>0</v>
      </c>
      <c r="E4433" s="438">
        <v>0</v>
      </c>
      <c r="F4433" s="438">
        <v>0</v>
      </c>
      <c r="G4433" s="438">
        <v>0</v>
      </c>
      <c r="H4433" s="438">
        <v>0</v>
      </c>
    </row>
    <row r="4434" spans="1:8" s="422" customFormat="1" ht="11.25">
      <c r="A4434" s="451" t="s">
        <v>401</v>
      </c>
      <c r="B4434" s="438">
        <v>0</v>
      </c>
      <c r="C4434" s="438">
        <v>0</v>
      </c>
      <c r="D4434" s="438">
        <v>0</v>
      </c>
      <c r="E4434" s="438">
        <v>0</v>
      </c>
      <c r="F4434" s="438">
        <v>0</v>
      </c>
      <c r="G4434" s="438">
        <v>0</v>
      </c>
      <c r="H4434" s="438">
        <v>0</v>
      </c>
    </row>
    <row r="4435" spans="1:8" s="422" customFormat="1" ht="11.25" customHeight="1"/>
    <row r="4436" spans="1:8" s="422" customFormat="1" ht="11.25">
      <c r="A4436" s="421" t="s">
        <v>597</v>
      </c>
      <c r="B4436" s="421"/>
      <c r="C4436" s="421"/>
    </row>
    <row r="4437" spans="1:8" s="429" customFormat="1" ht="11.25">
      <c r="A4437" s="428"/>
      <c r="B4437" s="428"/>
      <c r="C4437" s="428"/>
    </row>
    <row r="4438" spans="1:8" s="429" customFormat="1" ht="11.25">
      <c r="A4438" s="428"/>
      <c r="B4438" s="428"/>
      <c r="C4438" s="428"/>
    </row>
    <row r="4439" spans="1:8" s="429" customFormat="1" ht="11.25" customHeight="1">
      <c r="A4439" s="428"/>
      <c r="B4439" s="428"/>
      <c r="C4439" s="428"/>
    </row>
    <row r="4440" spans="1:8" s="429" customFormat="1" ht="11.25" hidden="1">
      <c r="A4440" s="428"/>
      <c r="B4440" s="428"/>
      <c r="C4440" s="428"/>
    </row>
    <row r="4441" spans="1:8" s="422" customFormat="1" ht="11.25" hidden="1"/>
    <row r="4442" spans="1:8" s="422" customFormat="1" ht="11.25">
      <c r="A4442" s="421" t="s">
        <v>598</v>
      </c>
      <c r="B4442" s="421"/>
      <c r="C4442" s="421"/>
    </row>
    <row r="4443" spans="1:8" s="422" customFormat="1" ht="11.25">
      <c r="A4443" s="452" t="s">
        <v>599</v>
      </c>
      <c r="B4443" s="447"/>
      <c r="C4443" s="447"/>
      <c r="D4443" s="447"/>
      <c r="E4443" s="439" t="s">
        <v>375</v>
      </c>
      <c r="F4443" s="439" t="s">
        <v>9</v>
      </c>
      <c r="G4443" s="439" t="s">
        <v>131</v>
      </c>
      <c r="H4443" s="439" t="s">
        <v>424</v>
      </c>
    </row>
    <row r="4444" spans="1:8" s="422" customFormat="1" ht="11.25">
      <c r="A4444" s="448"/>
      <c r="B4444" s="449"/>
      <c r="C4444" s="449"/>
      <c r="D4444" s="449"/>
      <c r="E4444" s="438">
        <v>0</v>
      </c>
      <c r="F4444" s="438">
        <v>0</v>
      </c>
      <c r="G4444" s="438">
        <v>0</v>
      </c>
      <c r="H4444" s="438">
        <v>0</v>
      </c>
    </row>
    <row r="4445" spans="1:8" s="422" customFormat="1" ht="11.25">
      <c r="A4445" s="448"/>
      <c r="B4445" s="449"/>
      <c r="C4445" s="449"/>
      <c r="D4445" s="449"/>
      <c r="E4445" s="438">
        <v>0</v>
      </c>
      <c r="F4445" s="438">
        <v>0</v>
      </c>
      <c r="G4445" s="438">
        <v>0</v>
      </c>
      <c r="H4445" s="438">
        <v>0</v>
      </c>
    </row>
    <row r="4446" spans="1:8" s="422" customFormat="1" ht="11.25">
      <c r="A4446" s="448"/>
      <c r="B4446" s="449"/>
      <c r="C4446" s="449"/>
      <c r="D4446" s="449"/>
      <c r="E4446" s="438">
        <v>0</v>
      </c>
      <c r="F4446" s="438">
        <v>0</v>
      </c>
      <c r="G4446" s="438">
        <v>0</v>
      </c>
      <c r="H4446" s="438">
        <v>0</v>
      </c>
    </row>
    <row r="4447" spans="1:8" s="421" customFormat="1" ht="11.25">
      <c r="A4447" s="421" t="s">
        <v>391</v>
      </c>
      <c r="D4447" s="421" t="s">
        <v>472</v>
      </c>
    </row>
    <row r="4448" spans="1:8" s="422" customFormat="1" ht="11.25"/>
    <row r="4449" spans="1:8" s="421" customFormat="1" ht="11.25" customHeight="1">
      <c r="A4449" s="423" t="s">
        <v>392</v>
      </c>
      <c r="D4449" s="421" t="s">
        <v>150</v>
      </c>
    </row>
    <row r="4450" spans="1:8" s="421" customFormat="1" ht="7.5" customHeight="1">
      <c r="A4450" s="423"/>
    </row>
    <row r="4451" spans="1:8" s="421" customFormat="1" ht="11.25">
      <c r="A4451" s="424" t="s">
        <v>393</v>
      </c>
      <c r="D4451" s="583" t="s">
        <v>33</v>
      </c>
      <c r="E4451" s="583"/>
      <c r="F4451" s="583"/>
      <c r="G4451" s="583"/>
      <c r="H4451" s="583"/>
    </row>
    <row r="4452" spans="1:8" s="421" customFormat="1" ht="7.5" customHeight="1"/>
    <row r="4453" spans="1:8" s="422" customFormat="1" ht="11.25">
      <c r="A4453" s="421" t="s">
        <v>170</v>
      </c>
      <c r="B4453" s="421"/>
      <c r="C4453" s="421"/>
      <c r="D4453" s="422" t="s">
        <v>271</v>
      </c>
      <c r="E4453" s="422" t="s">
        <v>272</v>
      </c>
    </row>
    <row r="4454" spans="1:8" s="422" customFormat="1" ht="7.5" customHeight="1"/>
    <row r="4455" spans="1:8" s="427" customFormat="1" ht="11.25">
      <c r="A4455" s="425" t="s">
        <v>587</v>
      </c>
      <c r="B4455" s="425"/>
      <c r="C4455" s="425"/>
      <c r="D4455" s="426" t="s">
        <v>1099</v>
      </c>
      <c r="E4455" s="584" t="s">
        <v>1100</v>
      </c>
      <c r="F4455" s="584"/>
      <c r="G4455" s="584"/>
      <c r="H4455" s="584"/>
    </row>
    <row r="4456" spans="1:8" s="427" customFormat="1" ht="11.25">
      <c r="A4456" s="425"/>
      <c r="B4456" s="425"/>
      <c r="C4456" s="425"/>
      <c r="D4456" s="426" t="s">
        <v>1101</v>
      </c>
      <c r="E4456" s="584" t="s">
        <v>1102</v>
      </c>
      <c r="F4456" s="584"/>
      <c r="G4456" s="584"/>
      <c r="H4456" s="584"/>
    </row>
    <row r="4457" spans="1:8" s="427" customFormat="1" ht="11.25">
      <c r="A4457" s="425"/>
      <c r="B4457" s="425"/>
      <c r="C4457" s="425"/>
      <c r="D4457" s="426" t="s">
        <v>1103</v>
      </c>
      <c r="E4457" s="584" t="s">
        <v>1104</v>
      </c>
      <c r="F4457" s="584"/>
      <c r="G4457" s="584"/>
      <c r="H4457" s="584"/>
    </row>
    <row r="4458" spans="1:8" s="427" customFormat="1" ht="11.25">
      <c r="A4458" s="425"/>
      <c r="B4458" s="425"/>
      <c r="C4458" s="425"/>
      <c r="D4458" s="426"/>
      <c r="E4458" s="584"/>
      <c r="F4458" s="584"/>
      <c r="G4458" s="584"/>
      <c r="H4458" s="584"/>
    </row>
    <row r="4459" spans="1:8" s="427" customFormat="1" ht="11.25"/>
    <row r="4460" spans="1:8" s="422" customFormat="1" ht="11.25"/>
    <row r="4461" spans="1:8" s="422" customFormat="1" ht="11.25">
      <c r="A4461" s="421" t="s">
        <v>589</v>
      </c>
      <c r="B4461" s="421"/>
      <c r="C4461" s="421"/>
    </row>
    <row r="4462" spans="1:8" s="429" customFormat="1" ht="11.25">
      <c r="A4462" s="428"/>
      <c r="B4462" s="428"/>
      <c r="C4462" s="428"/>
    </row>
    <row r="4463" spans="1:8" s="429" customFormat="1" ht="11.25" hidden="1">
      <c r="A4463" s="428"/>
      <c r="B4463" s="428"/>
      <c r="C4463" s="428"/>
    </row>
    <row r="4464" spans="1:8" s="429" customFormat="1" ht="11.25" hidden="1">
      <c r="A4464" s="428"/>
      <c r="B4464" s="428"/>
      <c r="C4464" s="428"/>
    </row>
    <row r="4465" spans="1:8" s="422" customFormat="1" ht="12.75" customHeight="1">
      <c r="A4465" s="430"/>
      <c r="B4465" s="430"/>
      <c r="C4465" s="430"/>
      <c r="D4465" s="430"/>
      <c r="E4465" s="430"/>
      <c r="F4465" s="430"/>
      <c r="G4465" s="430"/>
      <c r="H4465" s="430"/>
    </row>
    <row r="4466" spans="1:8" s="422" customFormat="1" ht="12.75" customHeight="1">
      <c r="A4466" s="430"/>
      <c r="B4466" s="430"/>
      <c r="C4466" s="430"/>
      <c r="D4466" s="430"/>
      <c r="E4466" s="430"/>
      <c r="F4466" s="430"/>
      <c r="G4466" s="430"/>
      <c r="H4466" s="430"/>
    </row>
    <row r="4467" spans="1:8" s="422" customFormat="1" ht="22.5" customHeight="1">
      <c r="A4467" s="585" t="s">
        <v>590</v>
      </c>
      <c r="B4467" s="585"/>
      <c r="C4467" s="585"/>
      <c r="D4467" s="586"/>
      <c r="E4467" s="586"/>
      <c r="F4467" s="586"/>
      <c r="G4467" s="586"/>
      <c r="H4467" s="586"/>
    </row>
    <row r="4468" spans="1:8" s="429" customFormat="1" ht="11.25">
      <c r="A4468" s="431"/>
      <c r="B4468" s="431"/>
      <c r="C4468" s="431"/>
      <c r="D4468" s="432"/>
      <c r="E4468" s="432"/>
      <c r="F4468" s="432"/>
      <c r="G4468" s="432"/>
      <c r="H4468" s="432"/>
    </row>
    <row r="4469" spans="1:8" s="429" customFormat="1" ht="11.25">
      <c r="A4469" s="431"/>
      <c r="B4469" s="431"/>
      <c r="C4469" s="431"/>
      <c r="D4469" s="432"/>
      <c r="E4469" s="432"/>
      <c r="F4469" s="432"/>
      <c r="G4469" s="432"/>
      <c r="H4469" s="432"/>
    </row>
    <row r="4470" spans="1:8" s="429" customFormat="1" ht="11.25">
      <c r="A4470" s="431"/>
      <c r="B4470" s="431"/>
      <c r="C4470" s="431"/>
      <c r="D4470" s="432"/>
      <c r="E4470" s="432"/>
      <c r="F4470" s="432"/>
      <c r="G4470" s="432"/>
      <c r="H4470" s="432"/>
    </row>
    <row r="4471" spans="1:8" s="429" customFormat="1" ht="11.25">
      <c r="A4471" s="431"/>
      <c r="B4471" s="431"/>
      <c r="C4471" s="431"/>
      <c r="D4471" s="432"/>
      <c r="E4471" s="432"/>
      <c r="F4471" s="432"/>
      <c r="G4471" s="432"/>
      <c r="H4471" s="432"/>
    </row>
    <row r="4472" spans="1:8" s="429" customFormat="1" ht="4.9000000000000004" customHeight="1">
      <c r="A4472" s="431"/>
      <c r="B4472" s="431"/>
      <c r="C4472" s="431"/>
      <c r="D4472" s="432"/>
      <c r="E4472" s="432"/>
      <c r="F4472" s="432"/>
      <c r="G4472" s="432"/>
      <c r="H4472" s="432"/>
    </row>
    <row r="4473" spans="1:8" s="429" customFormat="1" ht="9.9499999999999993" customHeight="1">
      <c r="A4473" s="431"/>
      <c r="B4473" s="431"/>
      <c r="C4473" s="431"/>
      <c r="D4473" s="432"/>
      <c r="E4473" s="432"/>
      <c r="F4473" s="432"/>
      <c r="G4473" s="432"/>
      <c r="H4473" s="432"/>
    </row>
    <row r="4474" spans="1:8" s="422" customFormat="1" ht="11.25" customHeight="1"/>
    <row r="4475" spans="1:8" s="422" customFormat="1" ht="11.25">
      <c r="A4475" s="421" t="s">
        <v>591</v>
      </c>
      <c r="B4475" s="421"/>
      <c r="C4475" s="421"/>
    </row>
    <row r="4476" spans="1:8" s="429" customFormat="1" ht="11.25">
      <c r="A4476" s="428"/>
      <c r="B4476" s="428"/>
      <c r="C4476" s="428"/>
    </row>
    <row r="4477" spans="1:8" s="429" customFormat="1" ht="11.25">
      <c r="A4477" s="428"/>
      <c r="B4477" s="428"/>
      <c r="C4477" s="428"/>
    </row>
    <row r="4478" spans="1:8" s="429" customFormat="1" ht="12.75" customHeight="1">
      <c r="A4478" s="428"/>
      <c r="B4478" s="428"/>
      <c r="C4478" s="428"/>
    </row>
    <row r="4479" spans="1:8" s="429" customFormat="1" ht="11.25" hidden="1">
      <c r="A4479" s="428"/>
      <c r="B4479" s="428"/>
      <c r="C4479" s="428"/>
    </row>
    <row r="4480" spans="1:8" s="429" customFormat="1" ht="11.25" hidden="1">
      <c r="A4480" s="428"/>
      <c r="B4480" s="428"/>
      <c r="C4480" s="428"/>
    </row>
    <row r="4481" spans="1:8" s="429" customFormat="1" ht="11.25" hidden="1">
      <c r="A4481" s="428"/>
      <c r="B4481" s="428"/>
      <c r="C4481" s="428"/>
    </row>
    <row r="4482" spans="1:8" s="429" customFormat="1" ht="11.25" hidden="1">
      <c r="A4482" s="428"/>
      <c r="B4482" s="428"/>
      <c r="C4482" s="428"/>
    </row>
    <row r="4483" spans="1:8" s="422" customFormat="1" ht="9" hidden="1" customHeight="1"/>
    <row r="4484" spans="1:8" s="422" customFormat="1" ht="9" hidden="1" customHeight="1"/>
    <row r="4485" spans="1:8" s="422" customFormat="1" ht="11.25">
      <c r="A4485" s="433" t="s">
        <v>592</v>
      </c>
      <c r="B4485" s="434"/>
      <c r="C4485" s="434"/>
      <c r="D4485" s="434"/>
      <c r="E4485" s="434"/>
      <c r="F4485" s="434"/>
      <c r="G4485" s="434"/>
      <c r="H4485" s="434"/>
    </row>
    <row r="4486" spans="1:8" s="429" customFormat="1" ht="11.25" customHeight="1">
      <c r="A4486" s="435"/>
      <c r="B4486" s="436"/>
      <c r="C4486" s="436"/>
      <c r="D4486" s="436"/>
      <c r="E4486" s="436"/>
      <c r="F4486" s="436"/>
      <c r="G4486" s="436"/>
      <c r="H4486" s="436"/>
    </row>
    <row r="4487" spans="1:8" s="429" customFormat="1" ht="11.25" customHeight="1">
      <c r="A4487" s="435"/>
      <c r="B4487" s="436"/>
      <c r="C4487" s="436"/>
      <c r="D4487" s="436"/>
      <c r="E4487" s="436"/>
      <c r="F4487" s="436"/>
      <c r="G4487" s="436"/>
      <c r="H4487" s="436"/>
    </row>
    <row r="4488" spans="1:8" s="422" customFormat="1" ht="11.25" customHeight="1">
      <c r="A4488" s="437"/>
      <c r="B4488" s="437"/>
      <c r="C4488" s="437"/>
      <c r="D4488" s="437"/>
      <c r="E4488" s="437"/>
      <c r="F4488" s="437"/>
      <c r="G4488" s="437"/>
      <c r="H4488" s="437"/>
    </row>
    <row r="4489" spans="1:8" s="422" customFormat="1" ht="11.25">
      <c r="A4489" s="421" t="s">
        <v>593</v>
      </c>
      <c r="B4489" s="421"/>
      <c r="C4489" s="421"/>
    </row>
    <row r="4490" spans="1:8" s="422" customFormat="1" ht="11.25">
      <c r="A4490" s="438"/>
      <c r="B4490" s="439" t="s">
        <v>132</v>
      </c>
      <c r="C4490" s="439" t="s">
        <v>473</v>
      </c>
      <c r="D4490" s="439" t="s">
        <v>474</v>
      </c>
      <c r="E4490" s="439" t="s">
        <v>375</v>
      </c>
      <c r="F4490" s="439" t="s">
        <v>9</v>
      </c>
      <c r="G4490" s="439" t="s">
        <v>131</v>
      </c>
      <c r="H4490" s="439" t="s">
        <v>424</v>
      </c>
    </row>
    <row r="4491" spans="1:8" s="422" customFormat="1" ht="11.25">
      <c r="A4491" s="439" t="s">
        <v>394</v>
      </c>
      <c r="B4491" s="438">
        <v>12553217.4</v>
      </c>
      <c r="C4491" s="438">
        <v>158412.29999999999</v>
      </c>
      <c r="D4491" s="438">
        <v>0</v>
      </c>
      <c r="E4491" s="438">
        <v>0</v>
      </c>
      <c r="F4491" s="438">
        <v>0</v>
      </c>
      <c r="G4491" s="438">
        <v>0</v>
      </c>
      <c r="H4491" s="438">
        <v>0</v>
      </c>
    </row>
    <row r="4492" spans="1:8" s="422" customFormat="1" ht="11.25">
      <c r="A4492" s="439" t="s">
        <v>395</v>
      </c>
      <c r="B4492" s="438">
        <v>-23759.18</v>
      </c>
      <c r="C4492" s="438">
        <v>-45965.3</v>
      </c>
      <c r="D4492" s="438">
        <v>0</v>
      </c>
      <c r="E4492" s="438">
        <v>0</v>
      </c>
      <c r="F4492" s="438">
        <v>0</v>
      </c>
      <c r="G4492" s="438">
        <v>0</v>
      </c>
      <c r="H4492" s="438">
        <v>0</v>
      </c>
    </row>
    <row r="4493" spans="1:8" s="422" customFormat="1" ht="11.25">
      <c r="A4493" s="439" t="s">
        <v>396</v>
      </c>
      <c r="B4493" s="438">
        <v>12529458.220000001</v>
      </c>
      <c r="C4493" s="438">
        <v>112446.99999999999</v>
      </c>
      <c r="D4493" s="438">
        <v>0</v>
      </c>
      <c r="E4493" s="438">
        <v>0</v>
      </c>
      <c r="F4493" s="438">
        <v>0</v>
      </c>
      <c r="G4493" s="438">
        <v>0</v>
      </c>
      <c r="H4493" s="438">
        <v>0</v>
      </c>
    </row>
    <row r="4494" spans="1:8" s="442" customFormat="1" ht="11.25">
      <c r="A4494" s="440" t="s">
        <v>397</v>
      </c>
      <c r="B4494" s="441">
        <v>1.8926765340652827E-3</v>
      </c>
      <c r="C4494" s="441">
        <v>0.29016244319412071</v>
      </c>
      <c r="D4494" s="441" t="s">
        <v>1413</v>
      </c>
      <c r="E4494" s="441" t="s">
        <v>1413</v>
      </c>
      <c r="F4494" s="441" t="s">
        <v>1413</v>
      </c>
      <c r="G4494" s="441" t="s">
        <v>1413</v>
      </c>
      <c r="H4494" s="441" t="s">
        <v>1413</v>
      </c>
    </row>
    <row r="4495" spans="1:8" s="422" customFormat="1" ht="11.25" customHeight="1"/>
    <row r="4496" spans="1:8" s="422" customFormat="1" ht="11.25">
      <c r="A4496" s="443" t="s">
        <v>594</v>
      </c>
      <c r="B4496" s="443"/>
      <c r="C4496" s="444"/>
    </row>
    <row r="4497" spans="1:8" s="422" customFormat="1" ht="11.25">
      <c r="A4497" s="445" t="s">
        <v>595</v>
      </c>
      <c r="B4497" s="446"/>
      <c r="C4497" s="447"/>
      <c r="D4497" s="439" t="s">
        <v>474</v>
      </c>
      <c r="E4497" s="439" t="s">
        <v>375</v>
      </c>
      <c r="F4497" s="439" t="s">
        <v>9</v>
      </c>
      <c r="G4497" s="439" t="s">
        <v>131</v>
      </c>
      <c r="H4497" s="439" t="s">
        <v>424</v>
      </c>
    </row>
    <row r="4498" spans="1:8" s="422" customFormat="1" ht="11.25">
      <c r="A4498" s="448" t="s">
        <v>1105</v>
      </c>
      <c r="B4498" s="449"/>
      <c r="C4498" s="449"/>
      <c r="D4498" s="466" t="s">
        <v>1096</v>
      </c>
      <c r="E4498" s="466" t="s">
        <v>1096</v>
      </c>
      <c r="F4498" s="466" t="s">
        <v>1096</v>
      </c>
      <c r="G4498" s="466" t="s">
        <v>1096</v>
      </c>
      <c r="H4498" s="466" t="s">
        <v>1096</v>
      </c>
    </row>
    <row r="4499" spans="1:8" s="422" customFormat="1" ht="11.25">
      <c r="A4499" s="448" t="s">
        <v>1106</v>
      </c>
      <c r="B4499" s="449"/>
      <c r="C4499" s="449"/>
      <c r="D4499" s="466" t="s">
        <v>1096</v>
      </c>
      <c r="E4499" s="466" t="s">
        <v>1096</v>
      </c>
      <c r="F4499" s="466" t="s">
        <v>1096</v>
      </c>
      <c r="G4499" s="466" t="s">
        <v>1096</v>
      </c>
      <c r="H4499" s="466" t="s">
        <v>1096</v>
      </c>
    </row>
    <row r="4500" spans="1:8" s="422" customFormat="1" ht="11.25">
      <c r="A4500" s="448" t="s">
        <v>1107</v>
      </c>
      <c r="B4500" s="449"/>
      <c r="C4500" s="449"/>
      <c r="D4500" s="494" t="s">
        <v>1096</v>
      </c>
      <c r="E4500" s="494" t="s">
        <v>1096</v>
      </c>
      <c r="F4500" s="494" t="s">
        <v>1096</v>
      </c>
      <c r="G4500" s="494" t="s">
        <v>1096</v>
      </c>
      <c r="H4500" s="494" t="s">
        <v>1096</v>
      </c>
    </row>
    <row r="4501" spans="1:8" s="422" customFormat="1" ht="11.25" customHeight="1"/>
    <row r="4502" spans="1:8" s="422" customFormat="1" ht="11.25">
      <c r="A4502" s="421" t="s">
        <v>423</v>
      </c>
      <c r="B4502" s="421"/>
      <c r="C4502" s="421"/>
    </row>
    <row r="4503" spans="1:8" s="422" customFormat="1" ht="11.25">
      <c r="A4503" s="450"/>
      <c r="B4503" s="439" t="s">
        <v>132</v>
      </c>
      <c r="C4503" s="439" t="s">
        <v>473</v>
      </c>
      <c r="D4503" s="439" t="s">
        <v>474</v>
      </c>
      <c r="E4503" s="439" t="s">
        <v>375</v>
      </c>
      <c r="F4503" s="439" t="s">
        <v>9</v>
      </c>
      <c r="G4503" s="439" t="s">
        <v>131</v>
      </c>
      <c r="H4503" s="439" t="s">
        <v>424</v>
      </c>
    </row>
    <row r="4504" spans="1:8" s="422" customFormat="1" ht="11.25">
      <c r="A4504" s="451" t="s">
        <v>398</v>
      </c>
      <c r="B4504" s="438">
        <v>0</v>
      </c>
      <c r="C4504" s="438">
        <v>0</v>
      </c>
      <c r="D4504" s="438">
        <v>0</v>
      </c>
      <c r="E4504" s="438">
        <v>0</v>
      </c>
      <c r="F4504" s="438">
        <v>0</v>
      </c>
      <c r="G4504" s="438">
        <v>0</v>
      </c>
      <c r="H4504" s="438">
        <v>0</v>
      </c>
    </row>
    <row r="4505" spans="1:8" s="422" customFormat="1" ht="11.25">
      <c r="A4505" s="451" t="s">
        <v>399</v>
      </c>
      <c r="B4505" s="438">
        <v>0</v>
      </c>
      <c r="C4505" s="438">
        <v>0</v>
      </c>
      <c r="D4505" s="438">
        <v>0</v>
      </c>
      <c r="E4505" s="438">
        <v>0</v>
      </c>
      <c r="F4505" s="438">
        <v>0</v>
      </c>
      <c r="G4505" s="438">
        <v>0</v>
      </c>
      <c r="H4505" s="438">
        <v>0</v>
      </c>
    </row>
    <row r="4506" spans="1:8" s="422" customFormat="1" ht="11.25">
      <c r="A4506" s="451" t="s">
        <v>400</v>
      </c>
      <c r="B4506" s="438">
        <v>0</v>
      </c>
      <c r="C4506" s="438">
        <v>0</v>
      </c>
      <c r="D4506" s="438">
        <v>0</v>
      </c>
      <c r="E4506" s="438">
        <v>0</v>
      </c>
      <c r="F4506" s="438">
        <v>0</v>
      </c>
      <c r="G4506" s="438">
        <v>0</v>
      </c>
      <c r="H4506" s="438">
        <v>0</v>
      </c>
    </row>
    <row r="4507" spans="1:8" s="422" customFormat="1" ht="11.25">
      <c r="A4507" s="451" t="s">
        <v>401</v>
      </c>
      <c r="B4507" s="438">
        <v>0</v>
      </c>
      <c r="C4507" s="438">
        <v>0</v>
      </c>
      <c r="D4507" s="438">
        <v>0</v>
      </c>
      <c r="E4507" s="438">
        <v>0</v>
      </c>
      <c r="F4507" s="438">
        <v>0</v>
      </c>
      <c r="G4507" s="438">
        <v>0</v>
      </c>
      <c r="H4507" s="438">
        <v>0</v>
      </c>
    </row>
    <row r="4508" spans="1:8" s="422" customFormat="1" ht="11.25" customHeight="1"/>
    <row r="4509" spans="1:8" s="422" customFormat="1" ht="11.25">
      <c r="A4509" s="421" t="s">
        <v>597</v>
      </c>
      <c r="B4509" s="421"/>
      <c r="C4509" s="421"/>
    </row>
    <row r="4510" spans="1:8" s="429" customFormat="1" ht="11.25">
      <c r="A4510" s="428"/>
      <c r="B4510" s="428"/>
      <c r="C4510" s="428"/>
    </row>
    <row r="4511" spans="1:8" s="429" customFormat="1" ht="11.25" hidden="1">
      <c r="A4511" s="428"/>
      <c r="B4511" s="428"/>
      <c r="C4511" s="428"/>
    </row>
    <row r="4512" spans="1:8" s="429" customFormat="1" ht="11.25">
      <c r="A4512" s="428"/>
      <c r="B4512" s="428"/>
      <c r="C4512" s="428"/>
    </row>
    <row r="4513" spans="1:8" s="422" customFormat="1" ht="11.25" customHeight="1"/>
    <row r="4514" spans="1:8" s="422" customFormat="1" ht="11.25">
      <c r="A4514" s="421" t="s">
        <v>598</v>
      </c>
      <c r="B4514" s="421"/>
      <c r="C4514" s="421"/>
    </row>
    <row r="4515" spans="1:8" s="422" customFormat="1" ht="11.25">
      <c r="A4515" s="452" t="s">
        <v>599</v>
      </c>
      <c r="B4515" s="447"/>
      <c r="C4515" s="447"/>
      <c r="D4515" s="447"/>
      <c r="E4515" s="439" t="s">
        <v>375</v>
      </c>
      <c r="F4515" s="439" t="s">
        <v>9</v>
      </c>
      <c r="G4515" s="439" t="s">
        <v>131</v>
      </c>
      <c r="H4515" s="439" t="s">
        <v>424</v>
      </c>
    </row>
    <row r="4516" spans="1:8" s="422" customFormat="1" ht="11.25">
      <c r="A4516" s="448"/>
      <c r="B4516" s="449"/>
      <c r="C4516" s="449"/>
      <c r="D4516" s="449"/>
      <c r="E4516" s="438">
        <v>0</v>
      </c>
      <c r="F4516" s="438">
        <v>0</v>
      </c>
      <c r="G4516" s="438">
        <v>0</v>
      </c>
      <c r="H4516" s="438">
        <v>0</v>
      </c>
    </row>
    <row r="4517" spans="1:8" s="422" customFormat="1" ht="11.25">
      <c r="A4517" s="448"/>
      <c r="B4517" s="449"/>
      <c r="C4517" s="449"/>
      <c r="D4517" s="449"/>
      <c r="E4517" s="438">
        <v>0</v>
      </c>
      <c r="F4517" s="438">
        <v>0</v>
      </c>
      <c r="G4517" s="438">
        <v>0</v>
      </c>
      <c r="H4517" s="438">
        <v>0</v>
      </c>
    </row>
    <row r="4518" spans="1:8" s="422" customFormat="1" ht="11.25">
      <c r="A4518" s="448"/>
      <c r="B4518" s="449"/>
      <c r="C4518" s="449"/>
      <c r="D4518" s="449"/>
      <c r="E4518" s="438">
        <v>0</v>
      </c>
      <c r="F4518" s="438">
        <v>0</v>
      </c>
      <c r="G4518" s="438">
        <v>0</v>
      </c>
      <c r="H4518" s="438">
        <v>0</v>
      </c>
    </row>
    <row r="4519" spans="1:8" s="421" customFormat="1" ht="11.25">
      <c r="A4519" s="421" t="s">
        <v>391</v>
      </c>
      <c r="D4519" s="421" t="s">
        <v>472</v>
      </c>
    </row>
    <row r="4520" spans="1:8" s="422" customFormat="1" ht="11.25"/>
    <row r="4521" spans="1:8" s="421" customFormat="1" ht="11.25" customHeight="1">
      <c r="A4521" s="423" t="s">
        <v>392</v>
      </c>
      <c r="D4521" s="421" t="s">
        <v>150</v>
      </c>
    </row>
    <row r="4522" spans="1:8" s="421" customFormat="1" ht="7.5" customHeight="1">
      <c r="A4522" s="423"/>
    </row>
    <row r="4523" spans="1:8" s="421" customFormat="1" ht="11.25">
      <c r="A4523" s="424" t="s">
        <v>393</v>
      </c>
      <c r="D4523" s="583" t="s">
        <v>33</v>
      </c>
      <c r="E4523" s="583"/>
      <c r="F4523" s="583"/>
      <c r="G4523" s="583"/>
      <c r="H4523" s="583"/>
    </row>
    <row r="4524" spans="1:8" s="421" customFormat="1" ht="7.5" customHeight="1"/>
    <row r="4525" spans="1:8" s="422" customFormat="1" ht="11.25">
      <c r="A4525" s="421" t="s">
        <v>170</v>
      </c>
      <c r="B4525" s="421"/>
      <c r="C4525" s="421"/>
      <c r="D4525" s="422" t="s">
        <v>273</v>
      </c>
      <c r="E4525" s="422" t="s">
        <v>274</v>
      </c>
    </row>
    <row r="4526" spans="1:8" s="422" customFormat="1" ht="7.5" customHeight="1"/>
    <row r="4527" spans="1:8" s="427" customFormat="1" ht="11.25">
      <c r="A4527" s="425" t="s">
        <v>587</v>
      </c>
      <c r="B4527" s="425"/>
      <c r="C4527" s="425"/>
      <c r="D4527" s="426" t="s">
        <v>1108</v>
      </c>
      <c r="E4527" s="584" t="s">
        <v>1109</v>
      </c>
      <c r="F4527" s="584"/>
      <c r="G4527" s="584"/>
      <c r="H4527" s="584"/>
    </row>
    <row r="4528" spans="1:8" s="427" customFormat="1" ht="11.25">
      <c r="A4528" s="425"/>
      <c r="B4528" s="425"/>
      <c r="C4528" s="425"/>
      <c r="D4528" s="426" t="s">
        <v>1110</v>
      </c>
      <c r="E4528" s="584" t="s">
        <v>1111</v>
      </c>
      <c r="F4528" s="584"/>
      <c r="G4528" s="584"/>
      <c r="H4528" s="584"/>
    </row>
    <row r="4529" spans="1:8" s="427" customFormat="1" ht="11.25" customHeight="1">
      <c r="A4529" s="425"/>
      <c r="B4529" s="425"/>
      <c r="C4529" s="425"/>
      <c r="D4529" s="426" t="s">
        <v>1112</v>
      </c>
      <c r="E4529" s="584" t="s">
        <v>1113</v>
      </c>
      <c r="F4529" s="584"/>
      <c r="G4529" s="584"/>
      <c r="H4529" s="584"/>
    </row>
    <row r="4530" spans="1:8" s="427" customFormat="1" ht="11.25">
      <c r="A4530" s="425"/>
      <c r="B4530" s="425"/>
      <c r="C4530" s="425"/>
      <c r="D4530" s="426" t="s">
        <v>1114</v>
      </c>
      <c r="E4530" s="584" t="s">
        <v>1115</v>
      </c>
      <c r="F4530" s="584"/>
      <c r="G4530" s="584"/>
      <c r="H4530" s="584"/>
    </row>
    <row r="4531" spans="1:8" s="427" customFormat="1" ht="11.25">
      <c r="A4531" s="425"/>
      <c r="B4531" s="425"/>
      <c r="C4531" s="425"/>
      <c r="D4531" s="426"/>
      <c r="E4531" s="426"/>
      <c r="F4531" s="453"/>
      <c r="G4531" s="453"/>
      <c r="H4531" s="453"/>
    </row>
    <row r="4532" spans="1:8" s="427" customFormat="1" ht="11.25" customHeight="1">
      <c r="A4532" s="425"/>
      <c r="B4532" s="425"/>
      <c r="C4532" s="425"/>
      <c r="D4532" s="426"/>
      <c r="E4532" s="453"/>
      <c r="F4532" s="453"/>
      <c r="G4532" s="453"/>
      <c r="H4532" s="453"/>
    </row>
    <row r="4533" spans="1:8" s="427" customFormat="1" ht="11.25" customHeight="1">
      <c r="A4533" s="425"/>
      <c r="B4533" s="425"/>
      <c r="C4533" s="425"/>
      <c r="D4533" s="426"/>
      <c r="E4533" s="584"/>
      <c r="F4533" s="584"/>
      <c r="G4533" s="584"/>
      <c r="H4533" s="584"/>
    </row>
    <row r="4534" spans="1:8" s="427" customFormat="1" ht="11.25" customHeight="1">
      <c r="A4534" s="425"/>
      <c r="B4534" s="425"/>
      <c r="C4534" s="425"/>
      <c r="D4534" s="426"/>
      <c r="E4534" s="584"/>
      <c r="F4534" s="584"/>
      <c r="G4534" s="584"/>
      <c r="H4534" s="584"/>
    </row>
    <row r="4535" spans="1:8" s="427" customFormat="1" ht="11.25" hidden="1">
      <c r="A4535" s="425"/>
      <c r="B4535" s="425"/>
      <c r="C4535" s="425"/>
      <c r="D4535" s="426"/>
      <c r="E4535" s="584"/>
      <c r="F4535" s="584"/>
      <c r="G4535" s="584"/>
      <c r="H4535" s="584"/>
    </row>
    <row r="4536" spans="1:8" s="427" customFormat="1" ht="11.25" hidden="1">
      <c r="A4536" s="425"/>
      <c r="B4536" s="425"/>
      <c r="C4536" s="425"/>
      <c r="D4536" s="426"/>
      <c r="E4536" s="584"/>
      <c r="F4536" s="584"/>
      <c r="G4536" s="584"/>
      <c r="H4536" s="584"/>
    </row>
    <row r="4537" spans="1:8" s="427" customFormat="1" ht="11.25" hidden="1">
      <c r="A4537" s="425"/>
      <c r="B4537" s="425"/>
      <c r="C4537" s="425"/>
      <c r="D4537" s="426"/>
      <c r="E4537" s="584"/>
      <c r="F4537" s="584"/>
      <c r="G4537" s="584"/>
      <c r="H4537" s="584"/>
    </row>
    <row r="4538" spans="1:8" s="427" customFormat="1" ht="11.25" hidden="1"/>
    <row r="4539" spans="1:8" s="422" customFormat="1" ht="11.25"/>
    <row r="4540" spans="1:8" s="422" customFormat="1" ht="11.25">
      <c r="A4540" s="421" t="s">
        <v>589</v>
      </c>
      <c r="B4540" s="421"/>
      <c r="C4540" s="421"/>
    </row>
    <row r="4541" spans="1:8" s="429" customFormat="1" ht="11.25">
      <c r="A4541" s="428"/>
      <c r="B4541" s="428"/>
      <c r="C4541" s="428"/>
    </row>
    <row r="4542" spans="1:8" s="429" customFormat="1" ht="11.25" hidden="1">
      <c r="A4542" s="428"/>
      <c r="B4542" s="428"/>
      <c r="C4542" s="428"/>
    </row>
    <row r="4543" spans="1:8" s="429" customFormat="1" ht="9.75" customHeight="1">
      <c r="A4543" s="428"/>
      <c r="B4543" s="428"/>
      <c r="C4543" s="428"/>
    </row>
    <row r="4544" spans="1:8" s="422" customFormat="1" ht="6.75" hidden="1" customHeight="1">
      <c r="A4544" s="430"/>
      <c r="B4544" s="430"/>
      <c r="C4544" s="430"/>
      <c r="D4544" s="430"/>
      <c r="E4544" s="430"/>
      <c r="F4544" s="430"/>
      <c r="G4544" s="430"/>
      <c r="H4544" s="430"/>
    </row>
    <row r="4545" spans="1:8" s="422" customFormat="1" ht="11.25" customHeight="1">
      <c r="A4545" s="430"/>
      <c r="B4545" s="430"/>
      <c r="C4545" s="430"/>
      <c r="D4545" s="430"/>
      <c r="E4545" s="430"/>
      <c r="F4545" s="430"/>
      <c r="G4545" s="430"/>
      <c r="H4545" s="430"/>
    </row>
    <row r="4546" spans="1:8" s="422" customFormat="1" ht="24.75" customHeight="1">
      <c r="A4546" s="585" t="s">
        <v>590</v>
      </c>
      <c r="B4546" s="585"/>
      <c r="C4546" s="585"/>
      <c r="D4546" s="586"/>
      <c r="E4546" s="586"/>
      <c r="F4546" s="586"/>
      <c r="G4546" s="586"/>
      <c r="H4546" s="586"/>
    </row>
    <row r="4547" spans="1:8" s="429" customFormat="1" ht="11.25">
      <c r="A4547" s="431"/>
      <c r="B4547" s="431"/>
      <c r="C4547" s="431"/>
      <c r="D4547" s="432"/>
      <c r="E4547" s="432"/>
      <c r="F4547" s="432"/>
      <c r="G4547" s="432"/>
      <c r="H4547" s="432"/>
    </row>
    <row r="4548" spans="1:8" s="429" customFormat="1" ht="11.25">
      <c r="A4548" s="431"/>
      <c r="B4548" s="431"/>
      <c r="C4548" s="431"/>
      <c r="D4548" s="432"/>
      <c r="E4548" s="432"/>
      <c r="F4548" s="432"/>
      <c r="G4548" s="432"/>
      <c r="H4548" s="432"/>
    </row>
    <row r="4549" spans="1:8" s="429" customFormat="1" ht="11.25">
      <c r="A4549" s="431"/>
      <c r="B4549" s="431"/>
      <c r="C4549" s="431"/>
      <c r="D4549" s="432"/>
      <c r="E4549" s="432"/>
      <c r="F4549" s="432"/>
      <c r="G4549" s="432"/>
      <c r="H4549" s="432"/>
    </row>
    <row r="4550" spans="1:8" s="422" customFormat="1" ht="4.5" customHeight="1"/>
    <row r="4551" spans="1:8" s="422" customFormat="1" ht="9.75" customHeight="1">
      <c r="A4551" s="421" t="s">
        <v>591</v>
      </c>
      <c r="B4551" s="421"/>
      <c r="C4551" s="421"/>
    </row>
    <row r="4552" spans="1:8" s="429" customFormat="1" ht="11.25" customHeight="1">
      <c r="A4552" s="428"/>
      <c r="B4552" s="428"/>
      <c r="C4552" s="428"/>
    </row>
    <row r="4553" spans="1:8" s="429" customFormat="1" ht="12.75" customHeight="1">
      <c r="A4553" s="435" t="s">
        <v>591</v>
      </c>
      <c r="B4553" s="428"/>
      <c r="C4553" s="428"/>
    </row>
    <row r="4554" spans="1:8" s="422" customFormat="1" ht="15.75" customHeight="1"/>
    <row r="4555" spans="1:8" s="422" customFormat="1" ht="9" customHeight="1"/>
    <row r="4556" spans="1:8" s="422" customFormat="1" ht="11.25" customHeight="1"/>
    <row r="4557" spans="1:8" s="422" customFormat="1" ht="11.25" customHeight="1">
      <c r="A4557" s="433" t="s">
        <v>592</v>
      </c>
      <c r="B4557" s="434"/>
      <c r="C4557" s="434"/>
      <c r="D4557" s="434"/>
      <c r="E4557" s="434"/>
      <c r="F4557" s="434"/>
      <c r="G4557" s="434"/>
      <c r="H4557" s="434"/>
    </row>
    <row r="4558" spans="1:8" s="429" customFormat="1" ht="11.25" customHeight="1">
      <c r="A4558" s="435"/>
      <c r="B4558" s="436"/>
      <c r="C4558" s="436"/>
      <c r="D4558" s="436"/>
      <c r="E4558" s="436"/>
      <c r="F4558" s="436"/>
      <c r="G4558" s="436"/>
      <c r="H4558" s="436"/>
    </row>
    <row r="4559" spans="1:8" s="429" customFormat="1" ht="11.25" customHeight="1">
      <c r="A4559" s="435"/>
      <c r="B4559" s="436"/>
      <c r="C4559" s="436"/>
      <c r="D4559" s="436"/>
      <c r="E4559" s="436"/>
      <c r="F4559" s="436"/>
      <c r="G4559" s="436"/>
      <c r="H4559" s="436"/>
    </row>
    <row r="4560" spans="1:8" s="422" customFormat="1" ht="11.25" customHeight="1">
      <c r="A4560" s="437"/>
      <c r="B4560" s="437"/>
      <c r="C4560" s="437"/>
      <c r="D4560" s="437"/>
      <c r="E4560" s="437"/>
      <c r="F4560" s="437"/>
      <c r="G4560" s="437"/>
      <c r="H4560" s="437"/>
    </row>
    <row r="4561" spans="1:8" s="422" customFormat="1" ht="11.25">
      <c r="A4561" s="421" t="s">
        <v>593</v>
      </c>
      <c r="B4561" s="421"/>
      <c r="C4561" s="421"/>
    </row>
    <row r="4562" spans="1:8" s="422" customFormat="1" ht="11.25">
      <c r="A4562" s="438"/>
      <c r="B4562" s="439" t="s">
        <v>132</v>
      </c>
      <c r="C4562" s="439" t="s">
        <v>473</v>
      </c>
      <c r="D4562" s="439" t="s">
        <v>474</v>
      </c>
      <c r="E4562" s="439" t="s">
        <v>375</v>
      </c>
      <c r="F4562" s="439" t="s">
        <v>9</v>
      </c>
      <c r="G4562" s="439" t="s">
        <v>131</v>
      </c>
      <c r="H4562" s="439" t="s">
        <v>424</v>
      </c>
    </row>
    <row r="4563" spans="1:8" s="422" customFormat="1" ht="11.25">
      <c r="A4563" s="439" t="s">
        <v>394</v>
      </c>
      <c r="B4563" s="438">
        <v>234715.88999999998</v>
      </c>
      <c r="C4563" s="438">
        <v>487509.31999999995</v>
      </c>
      <c r="D4563" s="438">
        <v>0</v>
      </c>
      <c r="E4563" s="438">
        <v>0</v>
      </c>
      <c r="F4563" s="438">
        <v>0</v>
      </c>
      <c r="G4563" s="438">
        <v>0</v>
      </c>
      <c r="H4563" s="438">
        <v>0</v>
      </c>
    </row>
    <row r="4564" spans="1:8" s="422" customFormat="1" ht="11.25">
      <c r="A4564" s="439" t="s">
        <v>395</v>
      </c>
      <c r="B4564" s="438">
        <v>-70536.45</v>
      </c>
      <c r="C4564" s="438">
        <v>-145733.03</v>
      </c>
      <c r="D4564" s="438">
        <v>0</v>
      </c>
      <c r="E4564" s="438">
        <v>0</v>
      </c>
      <c r="F4564" s="438">
        <v>0</v>
      </c>
      <c r="G4564" s="438">
        <v>0</v>
      </c>
      <c r="H4564" s="438">
        <v>0</v>
      </c>
    </row>
    <row r="4565" spans="1:8" s="422" customFormat="1" ht="11.25">
      <c r="A4565" s="439" t="s">
        <v>396</v>
      </c>
      <c r="B4565" s="438">
        <v>164179.44</v>
      </c>
      <c r="C4565" s="438">
        <v>341776.28999999992</v>
      </c>
      <c r="D4565" s="438">
        <v>0</v>
      </c>
      <c r="E4565" s="438">
        <v>0</v>
      </c>
      <c r="F4565" s="438">
        <v>0</v>
      </c>
      <c r="G4565" s="438">
        <v>0</v>
      </c>
      <c r="H4565" s="438">
        <v>0</v>
      </c>
    </row>
    <row r="4566" spans="1:8" s="442" customFormat="1" ht="11.25">
      <c r="A4566" s="440" t="s">
        <v>397</v>
      </c>
      <c r="B4566" s="441">
        <v>0.30051842676693086</v>
      </c>
      <c r="C4566" s="441">
        <v>0.29893383371624571</v>
      </c>
      <c r="D4566" s="441" t="s">
        <v>1413</v>
      </c>
      <c r="E4566" s="441" t="s">
        <v>1413</v>
      </c>
      <c r="F4566" s="441" t="s">
        <v>1413</v>
      </c>
      <c r="G4566" s="441" t="s">
        <v>1413</v>
      </c>
      <c r="H4566" s="441" t="s">
        <v>1413</v>
      </c>
    </row>
    <row r="4567" spans="1:8" s="422" customFormat="1" ht="11.25" customHeight="1"/>
    <row r="4568" spans="1:8" s="422" customFormat="1" ht="11.25">
      <c r="A4568" s="443" t="s">
        <v>594</v>
      </c>
      <c r="B4568" s="443"/>
      <c r="C4568" s="444"/>
    </row>
    <row r="4569" spans="1:8" s="422" customFormat="1" ht="11.25">
      <c r="A4569" s="445" t="s">
        <v>595</v>
      </c>
      <c r="B4569" s="446"/>
      <c r="C4569" s="447"/>
      <c r="D4569" s="439" t="s">
        <v>474</v>
      </c>
      <c r="E4569" s="439" t="s">
        <v>375</v>
      </c>
      <c r="F4569" s="439" t="s">
        <v>9</v>
      </c>
      <c r="G4569" s="439" t="s">
        <v>131</v>
      </c>
      <c r="H4569" s="439" t="s">
        <v>424</v>
      </c>
    </row>
    <row r="4570" spans="1:8" s="422" customFormat="1" ht="11.25">
      <c r="A4570" s="448" t="s">
        <v>1116</v>
      </c>
      <c r="B4570" s="449"/>
      <c r="C4570" s="449"/>
      <c r="D4570" s="465" t="s">
        <v>1096</v>
      </c>
      <c r="E4570" s="465" t="s">
        <v>1096</v>
      </c>
      <c r="F4570" s="465" t="s">
        <v>1096</v>
      </c>
      <c r="G4570" s="465" t="s">
        <v>1096</v>
      </c>
      <c r="H4570" s="465" t="s">
        <v>1096</v>
      </c>
    </row>
    <row r="4571" spans="1:8" s="422" customFormat="1" ht="11.25">
      <c r="A4571" s="448" t="s">
        <v>1117</v>
      </c>
      <c r="B4571" s="449"/>
      <c r="C4571" s="449"/>
      <c r="D4571" s="466" t="s">
        <v>1096</v>
      </c>
      <c r="E4571" s="466" t="s">
        <v>1096</v>
      </c>
      <c r="F4571" s="466" t="s">
        <v>1096</v>
      </c>
      <c r="G4571" s="466" t="s">
        <v>1096</v>
      </c>
      <c r="H4571" s="466" t="s">
        <v>1096</v>
      </c>
    </row>
    <row r="4572" spans="1:8" s="422" customFormat="1" ht="11.25">
      <c r="A4572" s="448" t="s">
        <v>1118</v>
      </c>
      <c r="B4572" s="449"/>
      <c r="C4572" s="449"/>
      <c r="D4572" s="466" t="s">
        <v>1096</v>
      </c>
      <c r="E4572" s="466" t="s">
        <v>1096</v>
      </c>
      <c r="F4572" s="466" t="s">
        <v>1096</v>
      </c>
      <c r="G4572" s="466" t="s">
        <v>1096</v>
      </c>
      <c r="H4572" s="466" t="s">
        <v>1096</v>
      </c>
    </row>
    <row r="4573" spans="1:8" s="422" customFormat="1" ht="11.25" customHeight="1"/>
    <row r="4574" spans="1:8" s="422" customFormat="1" ht="11.25">
      <c r="A4574" s="421" t="s">
        <v>423</v>
      </c>
      <c r="B4574" s="421"/>
      <c r="C4574" s="421"/>
    </row>
    <row r="4575" spans="1:8" s="422" customFormat="1" ht="11.25">
      <c r="A4575" s="450"/>
      <c r="B4575" s="439" t="s">
        <v>132</v>
      </c>
      <c r="C4575" s="439" t="s">
        <v>473</v>
      </c>
      <c r="D4575" s="439" t="s">
        <v>474</v>
      </c>
      <c r="E4575" s="439" t="s">
        <v>375</v>
      </c>
      <c r="F4575" s="439" t="s">
        <v>9</v>
      </c>
      <c r="G4575" s="439" t="s">
        <v>131</v>
      </c>
      <c r="H4575" s="439" t="s">
        <v>424</v>
      </c>
    </row>
    <row r="4576" spans="1:8" s="422" customFormat="1" ht="11.25">
      <c r="A4576" s="451" t="s">
        <v>398</v>
      </c>
      <c r="B4576" s="438">
        <v>0</v>
      </c>
      <c r="C4576" s="438">
        <v>0</v>
      </c>
      <c r="D4576" s="438">
        <v>0</v>
      </c>
      <c r="E4576" s="438">
        <v>0</v>
      </c>
      <c r="F4576" s="438">
        <v>0</v>
      </c>
      <c r="G4576" s="438">
        <v>0</v>
      </c>
      <c r="H4576" s="438">
        <v>0</v>
      </c>
    </row>
    <row r="4577" spans="1:8" s="422" customFormat="1" ht="11.25">
      <c r="A4577" s="451" t="s">
        <v>399</v>
      </c>
      <c r="B4577" s="438">
        <v>0</v>
      </c>
      <c r="C4577" s="438">
        <v>0</v>
      </c>
      <c r="D4577" s="438">
        <v>0</v>
      </c>
      <c r="E4577" s="438">
        <v>0</v>
      </c>
      <c r="F4577" s="438">
        <v>0</v>
      </c>
      <c r="G4577" s="438">
        <v>0</v>
      </c>
      <c r="H4577" s="438">
        <v>0</v>
      </c>
    </row>
    <row r="4578" spans="1:8" s="422" customFormat="1" ht="11.25">
      <c r="A4578" s="451" t="s">
        <v>400</v>
      </c>
      <c r="B4578" s="438">
        <v>0</v>
      </c>
      <c r="C4578" s="438">
        <v>0</v>
      </c>
      <c r="D4578" s="438">
        <v>0</v>
      </c>
      <c r="E4578" s="438">
        <v>0</v>
      </c>
      <c r="F4578" s="438">
        <v>0</v>
      </c>
      <c r="G4578" s="438">
        <v>0</v>
      </c>
      <c r="H4578" s="438">
        <v>0</v>
      </c>
    </row>
    <row r="4579" spans="1:8" s="422" customFormat="1" ht="11.25">
      <c r="A4579" s="451" t="s">
        <v>401</v>
      </c>
      <c r="B4579" s="438">
        <v>0</v>
      </c>
      <c r="C4579" s="438">
        <v>0</v>
      </c>
      <c r="D4579" s="438">
        <v>0</v>
      </c>
      <c r="E4579" s="438">
        <v>0</v>
      </c>
      <c r="F4579" s="438">
        <v>0</v>
      </c>
      <c r="G4579" s="438">
        <v>0</v>
      </c>
      <c r="H4579" s="438">
        <v>0</v>
      </c>
    </row>
    <row r="4580" spans="1:8" s="422" customFormat="1" ht="11.25" customHeight="1"/>
    <row r="4581" spans="1:8" s="422" customFormat="1" ht="11.25">
      <c r="A4581" s="421" t="s">
        <v>597</v>
      </c>
      <c r="B4581" s="421"/>
      <c r="C4581" s="421"/>
    </row>
    <row r="4582" spans="1:8" s="429" customFormat="1" ht="11.25">
      <c r="A4582" s="428"/>
      <c r="B4582" s="428"/>
      <c r="C4582" s="428"/>
    </row>
    <row r="4583" spans="1:8" s="429" customFormat="1" ht="11.25">
      <c r="A4583" s="428"/>
      <c r="B4583" s="428"/>
      <c r="C4583" s="428"/>
    </row>
    <row r="4584" spans="1:8" s="422" customFormat="1" ht="11.25" customHeight="1"/>
    <row r="4585" spans="1:8" s="422" customFormat="1" ht="11.25">
      <c r="A4585" s="421" t="s">
        <v>598</v>
      </c>
      <c r="B4585" s="421"/>
      <c r="C4585" s="421"/>
    </row>
    <row r="4586" spans="1:8" s="422" customFormat="1" ht="11.25">
      <c r="A4586" s="452" t="s">
        <v>599</v>
      </c>
      <c r="B4586" s="447"/>
      <c r="C4586" s="447"/>
      <c r="D4586" s="447"/>
      <c r="E4586" s="439" t="s">
        <v>375</v>
      </c>
      <c r="F4586" s="439" t="s">
        <v>9</v>
      </c>
      <c r="G4586" s="439" t="s">
        <v>131</v>
      </c>
      <c r="H4586" s="439" t="s">
        <v>424</v>
      </c>
    </row>
    <row r="4587" spans="1:8" s="422" customFormat="1" ht="11.25">
      <c r="A4587" s="448"/>
      <c r="B4587" s="449"/>
      <c r="C4587" s="449"/>
      <c r="D4587" s="449"/>
      <c r="E4587" s="438">
        <v>0</v>
      </c>
      <c r="F4587" s="438">
        <v>0</v>
      </c>
      <c r="G4587" s="438">
        <v>0</v>
      </c>
      <c r="H4587" s="438">
        <v>0</v>
      </c>
    </row>
    <row r="4588" spans="1:8" s="422" customFormat="1" ht="11.25">
      <c r="A4588" s="448"/>
      <c r="B4588" s="449"/>
      <c r="C4588" s="449"/>
      <c r="D4588" s="449"/>
      <c r="E4588" s="438">
        <v>0</v>
      </c>
      <c r="F4588" s="438">
        <v>0</v>
      </c>
      <c r="G4588" s="438">
        <v>0</v>
      </c>
      <c r="H4588" s="438">
        <v>0</v>
      </c>
    </row>
    <row r="4589" spans="1:8" s="422" customFormat="1" ht="11.25">
      <c r="A4589" s="448"/>
      <c r="B4589" s="449"/>
      <c r="C4589" s="449"/>
      <c r="D4589" s="449"/>
      <c r="E4589" s="438">
        <v>0</v>
      </c>
      <c r="F4589" s="438">
        <v>0</v>
      </c>
      <c r="G4589" s="438">
        <v>0</v>
      </c>
      <c r="H4589" s="438">
        <v>0</v>
      </c>
    </row>
    <row r="4590" spans="1:8" s="422" customFormat="1" ht="11.25">
      <c r="A4590" s="448"/>
      <c r="B4590" s="449"/>
      <c r="C4590" s="449"/>
      <c r="D4590" s="449"/>
      <c r="E4590" s="438">
        <v>0</v>
      </c>
      <c r="F4590" s="438">
        <v>0</v>
      </c>
      <c r="G4590" s="438">
        <v>0</v>
      </c>
      <c r="H4590" s="438">
        <v>0</v>
      </c>
    </row>
    <row r="4591" spans="1:8" s="421" customFormat="1" ht="11.25">
      <c r="A4591" s="421" t="s">
        <v>391</v>
      </c>
      <c r="D4591" s="421" t="s">
        <v>472</v>
      </c>
    </row>
    <row r="4592" spans="1:8" s="422" customFormat="1" ht="11.25"/>
    <row r="4593" spans="1:8" s="421" customFormat="1" ht="11.25" customHeight="1">
      <c r="A4593" s="423" t="s">
        <v>392</v>
      </c>
      <c r="D4593" s="421" t="s">
        <v>150</v>
      </c>
    </row>
    <row r="4594" spans="1:8" s="421" customFormat="1" ht="7.5" customHeight="1">
      <c r="A4594" s="423"/>
    </row>
    <row r="4595" spans="1:8" s="421" customFormat="1" ht="11.25">
      <c r="A4595" s="424" t="s">
        <v>393</v>
      </c>
      <c r="D4595" s="583" t="s">
        <v>33</v>
      </c>
      <c r="E4595" s="583"/>
      <c r="F4595" s="583"/>
      <c r="G4595" s="583"/>
      <c r="H4595" s="583"/>
    </row>
    <row r="4596" spans="1:8" s="421" customFormat="1" ht="7.5" customHeight="1"/>
    <row r="4597" spans="1:8" s="422" customFormat="1" ht="11.25">
      <c r="A4597" s="421" t="s">
        <v>170</v>
      </c>
      <c r="B4597" s="421"/>
      <c r="C4597" s="421"/>
      <c r="D4597" s="422" t="s">
        <v>447</v>
      </c>
      <c r="E4597" s="422" t="s">
        <v>500</v>
      </c>
    </row>
    <row r="4598" spans="1:8" s="422" customFormat="1" ht="7.5" customHeight="1"/>
    <row r="4599" spans="1:8" s="427" customFormat="1" ht="11.25">
      <c r="A4599" s="425" t="s">
        <v>587</v>
      </c>
      <c r="B4599" s="425"/>
      <c r="C4599" s="425"/>
      <c r="D4599" s="426" t="s">
        <v>1119</v>
      </c>
      <c r="E4599" s="584" t="s">
        <v>1120</v>
      </c>
      <c r="F4599" s="584"/>
      <c r="G4599" s="584"/>
      <c r="H4599" s="584"/>
    </row>
    <row r="4600" spans="1:8" s="427" customFormat="1" ht="11.25">
      <c r="A4600" s="425"/>
      <c r="B4600" s="425"/>
      <c r="C4600" s="425"/>
      <c r="D4600" s="426" t="s">
        <v>1121</v>
      </c>
      <c r="E4600" s="584" t="s">
        <v>1122</v>
      </c>
      <c r="F4600" s="584"/>
      <c r="G4600" s="584"/>
      <c r="H4600" s="584"/>
    </row>
    <row r="4601" spans="1:8" s="427" customFormat="1" ht="11.25" customHeight="1">
      <c r="A4601" s="425"/>
      <c r="B4601" s="425"/>
      <c r="C4601" s="425"/>
      <c r="D4601" s="426" t="s">
        <v>1123</v>
      </c>
      <c r="E4601" s="584" t="s">
        <v>1124</v>
      </c>
      <c r="F4601" s="584"/>
      <c r="G4601" s="584"/>
      <c r="H4601" s="584"/>
    </row>
    <row r="4602" spans="1:8" s="427" customFormat="1" ht="11.25">
      <c r="A4602" s="425"/>
      <c r="B4602" s="425"/>
      <c r="C4602" s="425"/>
      <c r="D4602" s="426"/>
      <c r="E4602" s="426"/>
      <c r="F4602" s="453"/>
      <c r="G4602" s="453"/>
      <c r="H4602" s="453"/>
    </row>
    <row r="4603" spans="1:8" s="422" customFormat="1" ht="11.25"/>
    <row r="4604" spans="1:8" s="422" customFormat="1" ht="11.25">
      <c r="A4604" s="421" t="s">
        <v>589</v>
      </c>
      <c r="B4604" s="421"/>
      <c r="C4604" s="421"/>
    </row>
    <row r="4605" spans="1:8" s="429" customFormat="1" ht="11.25">
      <c r="A4605" s="428"/>
      <c r="B4605" s="428"/>
      <c r="C4605" s="428"/>
    </row>
    <row r="4606" spans="1:8" s="429" customFormat="1" ht="11.25">
      <c r="A4606" s="428"/>
      <c r="B4606" s="428"/>
      <c r="C4606" s="428"/>
    </row>
    <row r="4607" spans="1:8" s="429" customFormat="1" ht="9.75" customHeight="1">
      <c r="A4607" s="428"/>
      <c r="B4607" s="428"/>
      <c r="C4607" s="428"/>
    </row>
    <row r="4608" spans="1:8" s="422" customFormat="1" ht="6.75" customHeight="1">
      <c r="A4608" s="430"/>
      <c r="B4608" s="430"/>
      <c r="C4608" s="430"/>
      <c r="D4608" s="430"/>
      <c r="E4608" s="430"/>
      <c r="F4608" s="430"/>
      <c r="G4608" s="430"/>
      <c r="H4608" s="430"/>
    </row>
    <row r="4609" spans="1:8" s="422" customFormat="1" ht="11.25" customHeight="1">
      <c r="A4609" s="430"/>
      <c r="B4609" s="430"/>
      <c r="C4609" s="430"/>
      <c r="D4609" s="430"/>
      <c r="E4609" s="430"/>
      <c r="F4609" s="430"/>
      <c r="G4609" s="430"/>
      <c r="H4609" s="430"/>
    </row>
    <row r="4610" spans="1:8" s="422" customFormat="1" ht="22.5" customHeight="1">
      <c r="A4610" s="585" t="s">
        <v>590</v>
      </c>
      <c r="B4610" s="585"/>
      <c r="C4610" s="585"/>
      <c r="D4610" s="586"/>
      <c r="E4610" s="586"/>
      <c r="F4610" s="586"/>
      <c r="G4610" s="586"/>
      <c r="H4610" s="586"/>
    </row>
    <row r="4611" spans="1:8" s="429" customFormat="1" ht="11.25">
      <c r="A4611" s="431"/>
      <c r="B4611" s="431"/>
      <c r="C4611" s="431"/>
      <c r="D4611" s="432"/>
      <c r="E4611" s="432"/>
      <c r="F4611" s="432"/>
      <c r="G4611" s="432"/>
      <c r="H4611" s="432"/>
    </row>
    <row r="4612" spans="1:8" s="429" customFormat="1" ht="11.25" customHeight="1">
      <c r="A4612" s="431"/>
      <c r="B4612" s="431"/>
      <c r="C4612" s="431"/>
      <c r="D4612" s="432"/>
      <c r="E4612" s="432"/>
      <c r="F4612" s="432"/>
      <c r="G4612" s="432"/>
      <c r="H4612" s="432"/>
    </row>
    <row r="4613" spans="1:8" s="429" customFormat="1" ht="11.25" customHeight="1">
      <c r="A4613" s="431"/>
      <c r="B4613" s="431"/>
      <c r="C4613" s="431"/>
      <c r="D4613" s="432"/>
      <c r="E4613" s="432"/>
      <c r="F4613" s="432"/>
      <c r="G4613" s="432"/>
      <c r="H4613" s="432"/>
    </row>
    <row r="4614" spans="1:8" s="429" customFormat="1" ht="11.25" customHeight="1">
      <c r="A4614" s="431"/>
      <c r="B4614" s="431"/>
      <c r="C4614" s="431"/>
      <c r="D4614" s="432"/>
      <c r="E4614" s="432"/>
      <c r="F4614" s="432"/>
      <c r="G4614" s="432"/>
      <c r="H4614" s="432"/>
    </row>
    <row r="4615" spans="1:8" s="429" customFormat="1" ht="11.25" customHeight="1">
      <c r="A4615" s="431"/>
      <c r="B4615" s="431"/>
      <c r="C4615" s="431"/>
      <c r="D4615" s="432"/>
      <c r="E4615" s="432"/>
      <c r="F4615" s="432"/>
      <c r="G4615" s="432"/>
      <c r="H4615" s="432"/>
    </row>
    <row r="4616" spans="1:8" s="429" customFormat="1" ht="11.25" customHeight="1">
      <c r="A4616" s="431"/>
      <c r="B4616" s="431"/>
      <c r="C4616" s="431"/>
      <c r="D4616" s="432"/>
      <c r="E4616" s="432"/>
      <c r="F4616" s="432"/>
      <c r="G4616" s="432"/>
      <c r="H4616" s="432"/>
    </row>
    <row r="4617" spans="1:8" s="429" customFormat="1" ht="11.25" customHeight="1">
      <c r="A4617" s="431"/>
      <c r="B4617" s="431"/>
      <c r="C4617" s="431"/>
      <c r="D4617" s="432"/>
      <c r="E4617" s="432"/>
      <c r="F4617" s="432"/>
      <c r="G4617" s="432"/>
      <c r="H4617" s="432"/>
    </row>
    <row r="4618" spans="1:8" s="429" customFormat="1" ht="11.25" customHeight="1">
      <c r="A4618" s="431"/>
      <c r="B4618" s="431"/>
      <c r="C4618" s="431"/>
      <c r="D4618" s="432"/>
      <c r="E4618" s="432"/>
      <c r="F4618" s="432"/>
      <c r="G4618" s="432"/>
      <c r="H4618" s="432"/>
    </row>
    <row r="4619" spans="1:8" s="422" customFormat="1" ht="11.25" customHeight="1"/>
    <row r="4620" spans="1:8" s="422" customFormat="1" ht="11.25" customHeight="1"/>
    <row r="4621" spans="1:8" s="422" customFormat="1" ht="11.25" customHeight="1"/>
    <row r="4622" spans="1:8" s="422" customFormat="1" ht="11.25" customHeight="1"/>
    <row r="4623" spans="1:8" s="422" customFormat="1" ht="11.25" customHeight="1"/>
    <row r="4624" spans="1:8" s="422" customFormat="1" ht="12.75" customHeight="1"/>
    <row r="4625" spans="1:8" s="422" customFormat="1" ht="4.9000000000000004" customHeight="1"/>
    <row r="4626" spans="1:8" s="422" customFormat="1" ht="4.9000000000000004" customHeight="1"/>
    <row r="4627" spans="1:8" s="422" customFormat="1" ht="11.25" customHeight="1"/>
    <row r="4628" spans="1:8" s="422" customFormat="1" ht="9.75" customHeight="1">
      <c r="A4628" s="421" t="s">
        <v>591</v>
      </c>
      <c r="B4628" s="421"/>
      <c r="C4628" s="421"/>
    </row>
    <row r="4629" spans="1:8" s="422" customFormat="1" ht="11.25" customHeight="1"/>
    <row r="4630" spans="1:8" s="422" customFormat="1" ht="11.25" customHeight="1"/>
    <row r="4631" spans="1:8" s="422" customFormat="1" ht="11.25" customHeight="1"/>
    <row r="4632" spans="1:8" s="422" customFormat="1" ht="12.75" customHeight="1">
      <c r="A4632" s="433" t="s">
        <v>592</v>
      </c>
      <c r="B4632" s="434"/>
      <c r="C4632" s="434"/>
      <c r="D4632" s="434"/>
      <c r="E4632" s="434"/>
      <c r="F4632" s="434"/>
      <c r="G4632" s="434"/>
      <c r="H4632" s="434"/>
    </row>
    <row r="4633" spans="1:8" s="429" customFormat="1" ht="11.25">
      <c r="A4633" s="435"/>
      <c r="B4633" s="436"/>
      <c r="C4633" s="436"/>
      <c r="D4633" s="436"/>
      <c r="E4633" s="436"/>
      <c r="F4633" s="436"/>
      <c r="G4633" s="436"/>
      <c r="H4633" s="436"/>
    </row>
    <row r="4634" spans="1:8" s="429" customFormat="1" ht="11.25">
      <c r="A4634" s="435"/>
      <c r="B4634" s="436"/>
      <c r="C4634" s="436"/>
      <c r="D4634" s="436"/>
      <c r="E4634" s="436"/>
      <c r="F4634" s="436"/>
      <c r="G4634" s="436"/>
      <c r="H4634" s="436"/>
    </row>
    <row r="4635" spans="1:8" s="422" customFormat="1" ht="11.25" customHeight="1">
      <c r="A4635" s="437"/>
      <c r="B4635" s="437"/>
      <c r="C4635" s="437"/>
      <c r="D4635" s="437"/>
      <c r="E4635" s="437"/>
      <c r="F4635" s="437"/>
      <c r="G4635" s="437"/>
      <c r="H4635" s="437"/>
    </row>
    <row r="4636" spans="1:8" s="422" customFormat="1" ht="11.25">
      <c r="A4636" s="421" t="s">
        <v>593</v>
      </c>
      <c r="B4636" s="421"/>
      <c r="C4636" s="421"/>
    </row>
    <row r="4637" spans="1:8" s="422" customFormat="1" ht="11.25">
      <c r="A4637" s="438"/>
      <c r="B4637" s="439" t="s">
        <v>132</v>
      </c>
      <c r="C4637" s="439" t="s">
        <v>473</v>
      </c>
      <c r="D4637" s="439" t="s">
        <v>474</v>
      </c>
      <c r="E4637" s="439" t="s">
        <v>375</v>
      </c>
      <c r="F4637" s="439" t="s">
        <v>9</v>
      </c>
      <c r="G4637" s="439" t="s">
        <v>131</v>
      </c>
      <c r="H4637" s="439" t="s">
        <v>424</v>
      </c>
    </row>
    <row r="4638" spans="1:8" s="422" customFormat="1" ht="11.25">
      <c r="A4638" s="439" t="s">
        <v>394</v>
      </c>
      <c r="B4638" s="438">
        <v>18092645.050000001</v>
      </c>
      <c r="C4638" s="438">
        <v>18606957.459999997</v>
      </c>
      <c r="D4638" s="438">
        <v>20217722.960000005</v>
      </c>
      <c r="E4638" s="438">
        <v>20341445.9496</v>
      </c>
      <c r="F4638" s="438">
        <v>20339530.9496</v>
      </c>
      <c r="G4638" s="438">
        <v>20531615.135040004</v>
      </c>
      <c r="H4638" s="438">
        <v>20599538.129839998</v>
      </c>
    </row>
    <row r="4639" spans="1:8" s="422" customFormat="1" ht="11.25">
      <c r="A4639" s="439" t="s">
        <v>395</v>
      </c>
      <c r="B4639" s="438">
        <v>-17037149.899999999</v>
      </c>
      <c r="C4639" s="438">
        <v>-18606957.460000001</v>
      </c>
      <c r="D4639" s="438">
        <v>-19148502.640000001</v>
      </c>
      <c r="E4639" s="438">
        <v>-19286860.640000001</v>
      </c>
      <c r="F4639" s="438">
        <v>-19286860.640000001</v>
      </c>
      <c r="G4639" s="438">
        <v>-19480561.640000001</v>
      </c>
      <c r="H4639" s="438">
        <v>-19454740.640000001</v>
      </c>
    </row>
    <row r="4640" spans="1:8" s="422" customFormat="1" ht="11.25">
      <c r="A4640" s="439" t="s">
        <v>396</v>
      </c>
      <c r="B4640" s="438">
        <v>1055495.1500000022</v>
      </c>
      <c r="C4640" s="438">
        <v>0</v>
      </c>
      <c r="D4640" s="438">
        <v>1069220.320000004</v>
      </c>
      <c r="E4640" s="438">
        <v>1054585.3095999993</v>
      </c>
      <c r="F4640" s="438">
        <v>1052670.3095999993</v>
      </c>
      <c r="G4640" s="438">
        <v>1051053.4950400032</v>
      </c>
      <c r="H4640" s="438">
        <v>1144797.4898399971</v>
      </c>
    </row>
    <row r="4641" spans="1:8" s="442" customFormat="1" ht="11.25">
      <c r="A4641" s="440" t="s">
        <v>397</v>
      </c>
      <c r="B4641" s="441">
        <v>0.94166164498982408</v>
      </c>
      <c r="C4641" s="441">
        <v>1.0000000000000002</v>
      </c>
      <c r="D4641" s="441">
        <v>0.94711470118987107</v>
      </c>
      <c r="E4641" s="441">
        <v>0.94815583355219957</v>
      </c>
      <c r="F4641" s="441">
        <v>0.94824510396977957</v>
      </c>
      <c r="G4641" s="441">
        <v>0.94880804612169856</v>
      </c>
      <c r="H4641" s="441">
        <v>0.94442606030172727</v>
      </c>
    </row>
    <row r="4642" spans="1:8" s="422" customFormat="1" ht="11.25" customHeight="1"/>
    <row r="4643" spans="1:8" s="422" customFormat="1" ht="11.25">
      <c r="A4643" s="443" t="s">
        <v>594</v>
      </c>
      <c r="B4643" s="443"/>
      <c r="C4643" s="444"/>
    </row>
    <row r="4644" spans="1:8" s="422" customFormat="1" ht="11.25">
      <c r="A4644" s="445" t="s">
        <v>595</v>
      </c>
      <c r="B4644" s="446"/>
      <c r="C4644" s="447"/>
      <c r="D4644" s="439" t="s">
        <v>474</v>
      </c>
      <c r="E4644" s="439" t="s">
        <v>375</v>
      </c>
      <c r="F4644" s="439" t="s">
        <v>9</v>
      </c>
      <c r="G4644" s="439" t="s">
        <v>131</v>
      </c>
      <c r="H4644" s="439" t="s">
        <v>424</v>
      </c>
    </row>
    <row r="4645" spans="1:8" s="422" customFormat="1" ht="11.25">
      <c r="A4645" s="448" t="s">
        <v>1125</v>
      </c>
      <c r="B4645" s="449"/>
      <c r="C4645" s="449"/>
      <c r="D4645" s="465">
        <v>160</v>
      </c>
      <c r="E4645" s="465">
        <v>155</v>
      </c>
      <c r="F4645" s="465">
        <v>150</v>
      </c>
      <c r="G4645" s="465">
        <v>150</v>
      </c>
      <c r="H4645" s="465">
        <v>150</v>
      </c>
    </row>
    <row r="4646" spans="1:8" s="422" customFormat="1" ht="11.25">
      <c r="A4646" s="448" t="s">
        <v>1126</v>
      </c>
      <c r="B4646" s="449"/>
      <c r="C4646" s="449"/>
      <c r="D4646" s="465" t="s">
        <v>1127</v>
      </c>
      <c r="E4646" s="465" t="s">
        <v>1127</v>
      </c>
      <c r="F4646" s="465" t="s">
        <v>1127</v>
      </c>
      <c r="G4646" s="465" t="s">
        <v>1127</v>
      </c>
      <c r="H4646" s="465" t="s">
        <v>1127</v>
      </c>
    </row>
    <row r="4647" spans="1:8" s="422" customFormat="1" ht="11.25">
      <c r="A4647" s="448" t="s">
        <v>1128</v>
      </c>
      <c r="B4647" s="449"/>
      <c r="C4647" s="449"/>
      <c r="D4647" s="466"/>
      <c r="E4647" s="466">
        <v>0.8</v>
      </c>
      <c r="F4647" s="466"/>
      <c r="G4647" s="466"/>
      <c r="H4647" s="466">
        <v>0.8</v>
      </c>
    </row>
    <row r="4648" spans="1:8" s="422" customFormat="1" ht="11.25" customHeight="1"/>
    <row r="4649" spans="1:8" s="422" customFormat="1" ht="11.25">
      <c r="A4649" s="421" t="s">
        <v>423</v>
      </c>
      <c r="B4649" s="421"/>
      <c r="C4649" s="421"/>
    </row>
    <row r="4650" spans="1:8" s="422" customFormat="1" ht="11.25">
      <c r="A4650" s="450"/>
      <c r="B4650" s="439" t="s">
        <v>132</v>
      </c>
      <c r="C4650" s="439" t="s">
        <v>473</v>
      </c>
      <c r="D4650" s="439" t="s">
        <v>474</v>
      </c>
      <c r="E4650" s="439" t="s">
        <v>375</v>
      </c>
      <c r="F4650" s="439" t="s">
        <v>9</v>
      </c>
      <c r="G4650" s="439" t="s">
        <v>131</v>
      </c>
      <c r="H4650" s="439" t="s">
        <v>424</v>
      </c>
    </row>
    <row r="4651" spans="1:8" s="422" customFormat="1" ht="11.25">
      <c r="A4651" s="451" t="s">
        <v>398</v>
      </c>
      <c r="B4651" s="438">
        <v>0</v>
      </c>
      <c r="C4651" s="438">
        <v>0</v>
      </c>
      <c r="D4651" s="438">
        <v>0</v>
      </c>
      <c r="E4651" s="438">
        <v>0</v>
      </c>
      <c r="F4651" s="438">
        <v>0</v>
      </c>
      <c r="G4651" s="438">
        <v>0</v>
      </c>
      <c r="H4651" s="438">
        <v>0</v>
      </c>
    </row>
    <row r="4652" spans="1:8" s="422" customFormat="1" ht="11.25">
      <c r="A4652" s="451" t="s">
        <v>399</v>
      </c>
      <c r="B4652" s="438">
        <v>0</v>
      </c>
      <c r="C4652" s="438">
        <v>0</v>
      </c>
      <c r="D4652" s="438">
        <v>0</v>
      </c>
      <c r="E4652" s="438">
        <v>0</v>
      </c>
      <c r="F4652" s="438">
        <v>0</v>
      </c>
      <c r="G4652" s="438">
        <v>0</v>
      </c>
      <c r="H4652" s="438">
        <v>0</v>
      </c>
    </row>
    <row r="4653" spans="1:8" s="422" customFormat="1" ht="11.25">
      <c r="A4653" s="451" t="s">
        <v>400</v>
      </c>
      <c r="B4653" s="438">
        <v>0</v>
      </c>
      <c r="C4653" s="438">
        <v>0</v>
      </c>
      <c r="D4653" s="438">
        <v>0</v>
      </c>
      <c r="E4653" s="438">
        <v>0</v>
      </c>
      <c r="F4653" s="438">
        <v>0</v>
      </c>
      <c r="G4653" s="438">
        <v>0</v>
      </c>
      <c r="H4653" s="438">
        <v>0</v>
      </c>
    </row>
    <row r="4654" spans="1:8" s="422" customFormat="1" ht="11.25">
      <c r="A4654" s="451" t="s">
        <v>401</v>
      </c>
      <c r="B4654" s="438">
        <v>0</v>
      </c>
      <c r="C4654" s="438">
        <v>0</v>
      </c>
      <c r="D4654" s="438">
        <v>0</v>
      </c>
      <c r="E4654" s="438">
        <v>0</v>
      </c>
      <c r="F4654" s="438">
        <v>0</v>
      </c>
      <c r="G4654" s="438">
        <v>0</v>
      </c>
      <c r="H4654" s="438">
        <v>0</v>
      </c>
    </row>
    <row r="4655" spans="1:8" s="422" customFormat="1" ht="11.25" customHeight="1"/>
    <row r="4656" spans="1:8" s="422" customFormat="1" ht="11.25">
      <c r="A4656" s="421" t="s">
        <v>597</v>
      </c>
      <c r="B4656" s="421"/>
      <c r="C4656" s="421"/>
    </row>
    <row r="4657" spans="1:8" s="429" customFormat="1" ht="11.25">
      <c r="A4657" s="428"/>
      <c r="B4657" s="428"/>
      <c r="C4657" s="428"/>
    </row>
    <row r="4658" spans="1:8" s="429" customFormat="1" ht="11.25">
      <c r="A4658" s="428"/>
      <c r="B4658" s="428"/>
      <c r="C4658" s="428"/>
    </row>
    <row r="4659" spans="1:8" s="422" customFormat="1" ht="11.25" customHeight="1"/>
    <row r="4660" spans="1:8" s="422" customFormat="1" ht="11.25">
      <c r="A4660" s="421" t="s">
        <v>598</v>
      </c>
      <c r="B4660" s="421"/>
      <c r="C4660" s="421"/>
    </row>
    <row r="4661" spans="1:8" s="422" customFormat="1" ht="11.25">
      <c r="A4661" s="452" t="s">
        <v>599</v>
      </c>
      <c r="B4661" s="447"/>
      <c r="C4661" s="447"/>
      <c r="D4661" s="447"/>
      <c r="E4661" s="439" t="s">
        <v>375</v>
      </c>
      <c r="F4661" s="439" t="s">
        <v>9</v>
      </c>
      <c r="G4661" s="439" t="s">
        <v>131</v>
      </c>
      <c r="H4661" s="439" t="s">
        <v>424</v>
      </c>
    </row>
    <row r="4662" spans="1:8" s="422" customFormat="1" ht="11.25">
      <c r="A4662" s="448" t="s">
        <v>448</v>
      </c>
      <c r="B4662" s="449"/>
      <c r="C4662" s="449"/>
      <c r="D4662" s="449"/>
      <c r="E4662" s="438">
        <v>0</v>
      </c>
      <c r="F4662" s="438">
        <v>0</v>
      </c>
      <c r="G4662" s="438">
        <v>0</v>
      </c>
      <c r="H4662" s="438">
        <v>97175</v>
      </c>
    </row>
    <row r="4663" spans="1:8" s="422" customFormat="1" ht="11.25">
      <c r="A4663" s="448"/>
      <c r="B4663" s="449"/>
      <c r="C4663" s="449"/>
      <c r="D4663" s="449"/>
      <c r="E4663" s="438">
        <v>0</v>
      </c>
      <c r="F4663" s="438">
        <v>0</v>
      </c>
      <c r="G4663" s="438">
        <v>0</v>
      </c>
      <c r="H4663" s="438">
        <v>0</v>
      </c>
    </row>
    <row r="4664" spans="1:8" s="422" customFormat="1" ht="11.25">
      <c r="A4664" s="448"/>
      <c r="B4664" s="449"/>
      <c r="C4664" s="449"/>
      <c r="D4664" s="449"/>
      <c r="E4664" s="438">
        <v>0</v>
      </c>
      <c r="F4664" s="438">
        <v>0</v>
      </c>
      <c r="G4664" s="438">
        <v>0</v>
      </c>
      <c r="H4664" s="438">
        <v>0</v>
      </c>
    </row>
    <row r="4665" spans="1:8" s="421" customFormat="1" ht="11.25">
      <c r="A4665" s="421" t="s">
        <v>391</v>
      </c>
      <c r="D4665" s="421" t="s">
        <v>472</v>
      </c>
    </row>
    <row r="4666" spans="1:8" s="422" customFormat="1" ht="11.25"/>
    <row r="4667" spans="1:8" s="421" customFormat="1" ht="11.25" customHeight="1">
      <c r="A4667" s="423" t="s">
        <v>392</v>
      </c>
      <c r="D4667" s="421" t="s">
        <v>150</v>
      </c>
    </row>
    <row r="4668" spans="1:8" s="421" customFormat="1" ht="11.25" customHeight="1">
      <c r="A4668" s="423"/>
    </row>
    <row r="4669" spans="1:8" s="421" customFormat="1" ht="11.25">
      <c r="A4669" s="424" t="s">
        <v>393</v>
      </c>
      <c r="D4669" s="583" t="s">
        <v>34</v>
      </c>
      <c r="E4669" s="583"/>
      <c r="F4669" s="583"/>
      <c r="G4669" s="583"/>
      <c r="H4669" s="583"/>
    </row>
    <row r="4670" spans="1:8" s="421" customFormat="1" ht="11.25" customHeight="1"/>
    <row r="4671" spans="1:8" s="422" customFormat="1" ht="11.25">
      <c r="A4671" s="421" t="s">
        <v>170</v>
      </c>
      <c r="B4671" s="421"/>
      <c r="C4671" s="421"/>
      <c r="D4671" s="422" t="s">
        <v>275</v>
      </c>
      <c r="E4671" s="422" t="s">
        <v>276</v>
      </c>
    </row>
    <row r="4672" spans="1:8" s="422" customFormat="1" ht="7.5" customHeight="1"/>
    <row r="4673" spans="1:8" s="427" customFormat="1" ht="11.25">
      <c r="A4673" s="425" t="s">
        <v>587</v>
      </c>
      <c r="B4673" s="425"/>
      <c r="C4673" s="425"/>
      <c r="D4673" s="426" t="s">
        <v>1129</v>
      </c>
      <c r="E4673" s="584" t="s">
        <v>1130</v>
      </c>
      <c r="F4673" s="584"/>
      <c r="G4673" s="584"/>
      <c r="H4673" s="584"/>
    </row>
    <row r="4674" spans="1:8" s="427" customFormat="1" ht="11.25">
      <c r="A4674" s="425"/>
      <c r="B4674" s="425"/>
      <c r="C4674" s="425"/>
      <c r="D4674" s="426" t="s">
        <v>1131</v>
      </c>
      <c r="E4674" s="584" t="s">
        <v>1132</v>
      </c>
      <c r="F4674" s="584"/>
      <c r="G4674" s="584"/>
      <c r="H4674" s="584"/>
    </row>
    <row r="4675" spans="1:8" s="427" customFormat="1" ht="11.25">
      <c r="A4675" s="425"/>
      <c r="B4675" s="425"/>
      <c r="C4675" s="425"/>
      <c r="D4675" s="426" t="s">
        <v>1133</v>
      </c>
      <c r="E4675" s="584" t="s">
        <v>1134</v>
      </c>
      <c r="F4675" s="584"/>
      <c r="G4675" s="584"/>
      <c r="H4675" s="584"/>
    </row>
    <row r="4676" spans="1:8" s="427" customFormat="1" ht="11.25">
      <c r="A4676" s="425"/>
      <c r="B4676" s="425"/>
      <c r="C4676" s="425"/>
      <c r="D4676" s="426"/>
      <c r="E4676" s="584"/>
      <c r="F4676" s="584"/>
      <c r="G4676" s="584"/>
      <c r="H4676" s="584"/>
    </row>
    <row r="4677" spans="1:8" s="427" customFormat="1" ht="11.25"/>
    <row r="4678" spans="1:8" s="422" customFormat="1" ht="11.25"/>
    <row r="4679" spans="1:8" s="422" customFormat="1" ht="11.25">
      <c r="A4679" s="421" t="s">
        <v>589</v>
      </c>
      <c r="B4679" s="421"/>
      <c r="C4679" s="421"/>
    </row>
    <row r="4680" spans="1:8" s="429" customFormat="1" ht="11.25">
      <c r="A4680" s="428"/>
      <c r="B4680" s="428"/>
      <c r="C4680" s="428"/>
    </row>
    <row r="4681" spans="1:8" s="429" customFormat="1" ht="11.25" hidden="1">
      <c r="A4681" s="428"/>
      <c r="B4681" s="428"/>
      <c r="C4681" s="428"/>
    </row>
    <row r="4682" spans="1:8" s="429" customFormat="1" ht="11.25" hidden="1">
      <c r="A4682" s="428"/>
      <c r="B4682" s="428"/>
      <c r="C4682" s="428"/>
    </row>
    <row r="4683" spans="1:8" s="429" customFormat="1" ht="11.25">
      <c r="A4683" s="428"/>
      <c r="B4683" s="428"/>
      <c r="C4683" s="428"/>
    </row>
    <row r="4684" spans="1:8" s="422" customFormat="1" ht="11.25" customHeight="1">
      <c r="A4684" s="430"/>
      <c r="B4684" s="430"/>
      <c r="C4684" s="430"/>
      <c r="D4684" s="430"/>
      <c r="E4684" s="430"/>
      <c r="F4684" s="430"/>
      <c r="G4684" s="430"/>
      <c r="H4684" s="430"/>
    </row>
    <row r="4685" spans="1:8" s="422" customFormat="1" ht="22.5" customHeight="1">
      <c r="A4685" s="585" t="s">
        <v>590</v>
      </c>
      <c r="B4685" s="585"/>
      <c r="C4685" s="585"/>
      <c r="D4685" s="586"/>
      <c r="E4685" s="586"/>
      <c r="F4685" s="586"/>
      <c r="G4685" s="586"/>
      <c r="H4685" s="586"/>
    </row>
    <row r="4686" spans="1:8" s="429" customFormat="1" ht="11.25">
      <c r="A4686" s="431"/>
      <c r="B4686" s="431"/>
      <c r="C4686" s="431"/>
      <c r="D4686" s="432"/>
      <c r="E4686" s="432"/>
      <c r="F4686" s="432"/>
      <c r="G4686" s="432"/>
      <c r="H4686" s="432"/>
    </row>
    <row r="4687" spans="1:8" s="429" customFormat="1" ht="11.25">
      <c r="A4687" s="431"/>
      <c r="B4687" s="431"/>
      <c r="C4687" s="431"/>
      <c r="D4687" s="432"/>
      <c r="E4687" s="432"/>
      <c r="F4687" s="432"/>
      <c r="G4687" s="432"/>
      <c r="H4687" s="432"/>
    </row>
    <row r="4688" spans="1:8" s="429" customFormat="1" ht="5.0999999999999996" customHeight="1">
      <c r="A4688" s="431"/>
      <c r="B4688" s="431"/>
      <c r="C4688" s="431"/>
      <c r="D4688" s="432"/>
      <c r="E4688" s="432"/>
      <c r="F4688" s="432"/>
      <c r="G4688" s="432"/>
      <c r="H4688" s="432"/>
    </row>
    <row r="4689" spans="1:8" s="429" customFormat="1" ht="11.25" hidden="1">
      <c r="A4689" s="431"/>
      <c r="B4689" s="431"/>
      <c r="C4689" s="431"/>
      <c r="D4689" s="432"/>
      <c r="E4689" s="432"/>
      <c r="F4689" s="432"/>
      <c r="G4689" s="432"/>
      <c r="H4689" s="432"/>
    </row>
    <row r="4690" spans="1:8" s="422" customFormat="1" ht="11.25" customHeight="1"/>
    <row r="4691" spans="1:8" s="422" customFormat="1" ht="11.25">
      <c r="A4691" s="421" t="s">
        <v>591</v>
      </c>
      <c r="B4691" s="421"/>
      <c r="C4691" s="421"/>
    </row>
    <row r="4692" spans="1:8" s="422" customFormat="1" ht="11.25">
      <c r="A4692" s="421"/>
      <c r="B4692" s="421"/>
      <c r="C4692" s="421"/>
    </row>
    <row r="4693" spans="1:8" s="422" customFormat="1" ht="11.25">
      <c r="A4693" s="421"/>
      <c r="B4693" s="421"/>
      <c r="C4693" s="421"/>
    </row>
    <row r="4694" spans="1:8" s="422" customFormat="1" ht="11.25">
      <c r="A4694" s="421"/>
      <c r="B4694" s="421"/>
      <c r="C4694" s="421"/>
    </row>
    <row r="4695" spans="1:8" s="422" customFormat="1" ht="1.9" customHeight="1">
      <c r="A4695" s="421"/>
      <c r="B4695" s="421"/>
      <c r="C4695" s="421"/>
    </row>
    <row r="4696" spans="1:8" s="429" customFormat="1" ht="11.25" hidden="1" customHeight="1">
      <c r="A4696" s="428"/>
      <c r="B4696" s="428"/>
      <c r="C4696" s="428"/>
    </row>
    <row r="4697" spans="1:8" s="429" customFormat="1" ht="11.25" hidden="1">
      <c r="A4697" s="428"/>
      <c r="B4697" s="428"/>
      <c r="C4697" s="428"/>
    </row>
    <row r="4698" spans="1:8" s="422" customFormat="1" ht="11.25" customHeight="1"/>
    <row r="4699" spans="1:8" s="422" customFormat="1" ht="11.25">
      <c r="A4699" s="433" t="s">
        <v>592</v>
      </c>
      <c r="B4699" s="434"/>
      <c r="C4699" s="434"/>
      <c r="D4699" s="434"/>
      <c r="E4699" s="434"/>
      <c r="F4699" s="434"/>
      <c r="G4699" s="434"/>
      <c r="H4699" s="434"/>
    </row>
    <row r="4700" spans="1:8" s="429" customFormat="1" ht="11.25">
      <c r="A4700" s="435"/>
      <c r="B4700" s="436"/>
      <c r="C4700" s="436"/>
      <c r="D4700" s="436"/>
      <c r="E4700" s="436"/>
      <c r="F4700" s="436"/>
      <c r="G4700" s="436"/>
      <c r="H4700" s="436"/>
    </row>
    <row r="4701" spans="1:8" s="429" customFormat="1" ht="11.25">
      <c r="A4701" s="435"/>
      <c r="B4701" s="436"/>
      <c r="C4701" s="436"/>
      <c r="D4701" s="436"/>
      <c r="E4701" s="436"/>
      <c r="F4701" s="436"/>
      <c r="G4701" s="436"/>
      <c r="H4701" s="436"/>
    </row>
    <row r="4702" spans="1:8" s="429" customFormat="1" ht="11.25">
      <c r="A4702" s="435"/>
      <c r="B4702" s="436"/>
      <c r="C4702" s="436"/>
      <c r="D4702" s="436"/>
      <c r="E4702" s="436"/>
      <c r="F4702" s="436"/>
      <c r="G4702" s="436"/>
      <c r="H4702" s="436"/>
    </row>
    <row r="4703" spans="1:8" s="422" customFormat="1" ht="9" customHeight="1">
      <c r="A4703" s="437"/>
      <c r="B4703" s="437"/>
      <c r="C4703" s="437"/>
      <c r="D4703" s="437"/>
      <c r="E4703" s="437"/>
      <c r="F4703" s="437"/>
      <c r="G4703" s="437"/>
      <c r="H4703" s="437"/>
    </row>
    <row r="4704" spans="1:8" s="422" customFormat="1" ht="11.25">
      <c r="A4704" s="421" t="s">
        <v>593</v>
      </c>
      <c r="B4704" s="421"/>
      <c r="C4704" s="421"/>
    </row>
    <row r="4705" spans="1:8" s="422" customFormat="1" ht="11.25">
      <c r="A4705" s="438"/>
      <c r="B4705" s="439" t="s">
        <v>132</v>
      </c>
      <c r="C4705" s="439" t="s">
        <v>473</v>
      </c>
      <c r="D4705" s="439" t="s">
        <v>474</v>
      </c>
      <c r="E4705" s="439" t="s">
        <v>375</v>
      </c>
      <c r="F4705" s="439" t="s">
        <v>9</v>
      </c>
      <c r="G4705" s="439" t="s">
        <v>131</v>
      </c>
      <c r="H4705" s="439" t="s">
        <v>424</v>
      </c>
    </row>
    <row r="4706" spans="1:8" s="422" customFormat="1" ht="11.25">
      <c r="A4706" s="439" t="s">
        <v>394</v>
      </c>
      <c r="B4706" s="438">
        <v>866943.96</v>
      </c>
      <c r="C4706" s="438">
        <v>828279.61999999988</v>
      </c>
      <c r="D4706" s="438">
        <v>998791.24</v>
      </c>
      <c r="E4706" s="438">
        <v>999144.35960000008</v>
      </c>
      <c r="F4706" s="438">
        <v>997398.35960000008</v>
      </c>
      <c r="G4706" s="438">
        <v>1004041.4310399999</v>
      </c>
      <c r="H4706" s="438">
        <v>1006883.67084</v>
      </c>
    </row>
    <row r="4707" spans="1:8" s="422" customFormat="1" ht="11.25">
      <c r="A4707" s="439" t="s">
        <v>395</v>
      </c>
      <c r="B4707" s="438">
        <v>-7194.52</v>
      </c>
      <c r="C4707" s="438">
        <v>-6091.34</v>
      </c>
      <c r="D4707" s="438">
        <v>-505101.56</v>
      </c>
      <c r="E4707" s="438">
        <v>-504989.36</v>
      </c>
      <c r="F4707" s="438">
        <v>-504989.36</v>
      </c>
      <c r="G4707" s="438">
        <v>-254989.36</v>
      </c>
      <c r="H4707" s="438">
        <v>-254989.36</v>
      </c>
    </row>
    <row r="4708" spans="1:8" s="422" customFormat="1" ht="11.25">
      <c r="A4708" s="439" t="s">
        <v>396</v>
      </c>
      <c r="B4708" s="438">
        <v>859749.44</v>
      </c>
      <c r="C4708" s="438">
        <v>822188.27999999991</v>
      </c>
      <c r="D4708" s="438">
        <v>493689.68</v>
      </c>
      <c r="E4708" s="438">
        <v>494154.9996000001</v>
      </c>
      <c r="F4708" s="438">
        <v>492408.9996000001</v>
      </c>
      <c r="G4708" s="438">
        <v>749052.07103999995</v>
      </c>
      <c r="H4708" s="438">
        <v>751894.31084000005</v>
      </c>
    </row>
    <row r="4709" spans="1:8" s="442" customFormat="1" ht="11.25">
      <c r="A4709" s="440" t="s">
        <v>397</v>
      </c>
      <c r="B4709" s="441">
        <v>8.2987140252987063E-3</v>
      </c>
      <c r="C4709" s="441">
        <v>7.3542072663818547E-3</v>
      </c>
      <c r="D4709" s="441">
        <v>0.50571284545907713</v>
      </c>
      <c r="E4709" s="441">
        <v>0.50542181932765817</v>
      </c>
      <c r="F4709" s="441">
        <v>0.50630658767327685</v>
      </c>
      <c r="G4709" s="441">
        <v>0.25396298610494439</v>
      </c>
      <c r="H4709" s="441">
        <v>0.25324609722518715</v>
      </c>
    </row>
    <row r="4710" spans="1:8" s="422" customFormat="1" ht="11.25" customHeight="1"/>
    <row r="4711" spans="1:8" s="422" customFormat="1" ht="11.25">
      <c r="A4711" s="443" t="s">
        <v>594</v>
      </c>
      <c r="B4711" s="443"/>
      <c r="C4711" s="444"/>
    </row>
    <row r="4712" spans="1:8" s="422" customFormat="1" ht="11.25">
      <c r="A4712" s="445" t="s">
        <v>595</v>
      </c>
      <c r="B4712" s="446"/>
      <c r="C4712" s="447"/>
      <c r="D4712" s="439" t="s">
        <v>474</v>
      </c>
      <c r="E4712" s="439" t="s">
        <v>375</v>
      </c>
      <c r="F4712" s="439" t="s">
        <v>9</v>
      </c>
      <c r="G4712" s="439" t="s">
        <v>131</v>
      </c>
      <c r="H4712" s="439" t="s">
        <v>424</v>
      </c>
    </row>
    <row r="4713" spans="1:8" s="422" customFormat="1" ht="11.25">
      <c r="A4713" s="495" t="s">
        <v>1135</v>
      </c>
      <c r="B4713" s="496"/>
      <c r="C4713" s="496"/>
      <c r="D4713" s="497" t="s">
        <v>1136</v>
      </c>
      <c r="E4713" s="462" t="s">
        <v>1136</v>
      </c>
      <c r="F4713" s="462" t="s">
        <v>1136</v>
      </c>
      <c r="G4713" s="462" t="s">
        <v>1136</v>
      </c>
      <c r="H4713" s="462" t="s">
        <v>1136</v>
      </c>
    </row>
    <row r="4714" spans="1:8" s="422" customFormat="1" ht="11.25">
      <c r="A4714" s="495" t="s">
        <v>1137</v>
      </c>
      <c r="B4714" s="496"/>
      <c r="C4714" s="496"/>
      <c r="D4714" s="498">
        <v>1</v>
      </c>
      <c r="E4714" s="457">
        <v>1</v>
      </c>
      <c r="F4714" s="457">
        <v>1</v>
      </c>
      <c r="G4714" s="457">
        <v>1</v>
      </c>
      <c r="H4714" s="457">
        <v>1</v>
      </c>
    </row>
    <row r="4715" spans="1:8" s="422" customFormat="1" ht="11.25">
      <c r="A4715" s="495" t="s">
        <v>1138</v>
      </c>
      <c r="B4715" s="496"/>
      <c r="C4715" s="496"/>
      <c r="D4715" s="498">
        <v>1</v>
      </c>
      <c r="E4715" s="457">
        <v>1</v>
      </c>
      <c r="F4715" s="457">
        <v>1</v>
      </c>
      <c r="G4715" s="457">
        <v>1</v>
      </c>
      <c r="H4715" s="457">
        <v>1</v>
      </c>
    </row>
    <row r="4716" spans="1:8" s="422" customFormat="1" ht="5.25" hidden="1" customHeight="1">
      <c r="A4716" s="499"/>
      <c r="B4716" s="499"/>
      <c r="C4716" s="499"/>
      <c r="D4716" s="499"/>
      <c r="E4716" s="500"/>
      <c r="F4716" s="500"/>
      <c r="G4716" s="500"/>
      <c r="H4716" s="459"/>
    </row>
    <row r="4717" spans="1:8" s="422" customFormat="1" ht="11.25" hidden="1">
      <c r="A4717" s="499"/>
      <c r="B4717" s="499"/>
      <c r="C4717" s="499"/>
      <c r="D4717" s="499"/>
      <c r="E4717" s="500"/>
      <c r="F4717" s="500"/>
      <c r="G4717" s="500"/>
      <c r="H4717" s="459"/>
    </row>
    <row r="4718" spans="1:8" s="422" customFormat="1" ht="11.25" hidden="1">
      <c r="A4718" s="499"/>
      <c r="B4718" s="499"/>
      <c r="C4718" s="499"/>
      <c r="D4718" s="499"/>
      <c r="E4718" s="500"/>
      <c r="F4718" s="500"/>
      <c r="G4718" s="500"/>
      <c r="H4718" s="459"/>
    </row>
    <row r="4719" spans="1:8" s="422" customFormat="1" ht="9" customHeight="1">
      <c r="A4719" s="459"/>
      <c r="B4719" s="459"/>
      <c r="C4719" s="459"/>
      <c r="D4719" s="459"/>
      <c r="E4719" s="459"/>
      <c r="F4719" s="459"/>
      <c r="G4719" s="459"/>
      <c r="H4719" s="459"/>
    </row>
    <row r="4720" spans="1:8" s="422" customFormat="1" ht="11.25">
      <c r="A4720" s="421" t="s">
        <v>423</v>
      </c>
      <c r="B4720" s="421"/>
      <c r="C4720" s="421"/>
    </row>
    <row r="4721" spans="1:8" s="422" customFormat="1" ht="11.25">
      <c r="A4721" s="450"/>
      <c r="B4721" s="439" t="s">
        <v>132</v>
      </c>
      <c r="C4721" s="439" t="s">
        <v>473</v>
      </c>
      <c r="D4721" s="439" t="s">
        <v>474</v>
      </c>
      <c r="E4721" s="439" t="s">
        <v>375</v>
      </c>
      <c r="F4721" s="439" t="s">
        <v>9</v>
      </c>
      <c r="G4721" s="439" t="s">
        <v>131</v>
      </c>
      <c r="H4721" s="439" t="s">
        <v>424</v>
      </c>
    </row>
    <row r="4722" spans="1:8" s="422" customFormat="1" ht="11.25">
      <c r="A4722" s="451" t="s">
        <v>398</v>
      </c>
      <c r="B4722" s="438">
        <v>0</v>
      </c>
      <c r="C4722" s="438">
        <v>0</v>
      </c>
      <c r="D4722" s="438">
        <v>0</v>
      </c>
      <c r="E4722" s="438">
        <v>0</v>
      </c>
      <c r="F4722" s="438">
        <v>0</v>
      </c>
      <c r="G4722" s="438">
        <v>0</v>
      </c>
      <c r="H4722" s="438">
        <v>0</v>
      </c>
    </row>
    <row r="4723" spans="1:8" s="422" customFormat="1" ht="11.25">
      <c r="A4723" s="451" t="s">
        <v>399</v>
      </c>
      <c r="B4723" s="438">
        <v>0</v>
      </c>
      <c r="C4723" s="438">
        <v>0</v>
      </c>
      <c r="D4723" s="438">
        <v>0</v>
      </c>
      <c r="E4723" s="438">
        <v>0</v>
      </c>
      <c r="F4723" s="438">
        <v>0</v>
      </c>
      <c r="G4723" s="438">
        <v>0</v>
      </c>
      <c r="H4723" s="438">
        <v>0</v>
      </c>
    </row>
    <row r="4724" spans="1:8" s="422" customFormat="1" ht="11.25">
      <c r="A4724" s="451" t="s">
        <v>400</v>
      </c>
      <c r="B4724" s="438">
        <v>0</v>
      </c>
      <c r="C4724" s="438">
        <v>0</v>
      </c>
      <c r="D4724" s="438">
        <v>0</v>
      </c>
      <c r="E4724" s="438">
        <v>0</v>
      </c>
      <c r="F4724" s="438">
        <v>0</v>
      </c>
      <c r="G4724" s="438">
        <v>0</v>
      </c>
      <c r="H4724" s="438">
        <v>0</v>
      </c>
    </row>
    <row r="4725" spans="1:8" s="422" customFormat="1" ht="11.25">
      <c r="A4725" s="451" t="s">
        <v>401</v>
      </c>
      <c r="B4725" s="438">
        <v>0</v>
      </c>
      <c r="C4725" s="438">
        <v>0</v>
      </c>
      <c r="D4725" s="438">
        <v>0</v>
      </c>
      <c r="E4725" s="438">
        <v>0</v>
      </c>
      <c r="F4725" s="438">
        <v>0</v>
      </c>
      <c r="G4725" s="438">
        <v>0</v>
      </c>
      <c r="H4725" s="438">
        <v>0</v>
      </c>
    </row>
    <row r="4726" spans="1:8" s="422" customFormat="1" ht="9" customHeight="1"/>
    <row r="4727" spans="1:8" s="422" customFormat="1" ht="11.25">
      <c r="A4727" s="421" t="s">
        <v>597</v>
      </c>
      <c r="B4727" s="421"/>
      <c r="C4727" s="421"/>
    </row>
    <row r="4728" spans="1:8" s="429" customFormat="1" ht="11.25">
      <c r="A4728" s="428"/>
      <c r="B4728" s="428"/>
      <c r="C4728" s="428"/>
    </row>
    <row r="4729" spans="1:8" s="429" customFormat="1" ht="11.25">
      <c r="A4729" s="428"/>
      <c r="B4729" s="428"/>
      <c r="C4729" s="428"/>
    </row>
    <row r="4730" spans="1:8" s="429" customFormat="1" ht="11.25" hidden="1">
      <c r="A4730" s="428"/>
      <c r="B4730" s="428"/>
      <c r="C4730" s="428"/>
    </row>
    <row r="4731" spans="1:8" s="422" customFormat="1" ht="11.25" customHeight="1"/>
    <row r="4732" spans="1:8" s="422" customFormat="1" ht="11.25">
      <c r="A4732" s="421" t="s">
        <v>598</v>
      </c>
      <c r="B4732" s="421"/>
      <c r="C4732" s="421"/>
    </row>
    <row r="4733" spans="1:8" s="422" customFormat="1" ht="11.25">
      <c r="A4733" s="452" t="s">
        <v>599</v>
      </c>
      <c r="B4733" s="447"/>
      <c r="C4733" s="447"/>
      <c r="D4733" s="447"/>
      <c r="E4733" s="439" t="s">
        <v>375</v>
      </c>
      <c r="F4733" s="439" t="s">
        <v>9</v>
      </c>
      <c r="G4733" s="439" t="s">
        <v>131</v>
      </c>
      <c r="H4733" s="439" t="s">
        <v>424</v>
      </c>
    </row>
    <row r="4734" spans="1:8" s="422" customFormat="1" ht="11.25">
      <c r="A4734" s="448"/>
      <c r="B4734" s="449"/>
      <c r="C4734" s="449"/>
      <c r="D4734" s="449"/>
      <c r="E4734" s="438">
        <v>0</v>
      </c>
      <c r="F4734" s="438">
        <v>0</v>
      </c>
      <c r="G4734" s="438">
        <v>0</v>
      </c>
      <c r="H4734" s="438">
        <v>0</v>
      </c>
    </row>
    <row r="4735" spans="1:8" s="422" customFormat="1" ht="11.25">
      <c r="A4735" s="448"/>
      <c r="B4735" s="449"/>
      <c r="C4735" s="449"/>
      <c r="D4735" s="449"/>
      <c r="E4735" s="438">
        <v>0</v>
      </c>
      <c r="F4735" s="438">
        <v>0</v>
      </c>
      <c r="G4735" s="438">
        <v>0</v>
      </c>
      <c r="H4735" s="438">
        <v>0</v>
      </c>
    </row>
    <row r="4736" spans="1:8" s="422" customFormat="1" ht="11.25">
      <c r="A4736" s="448"/>
      <c r="B4736" s="449"/>
      <c r="C4736" s="449"/>
      <c r="D4736" s="449"/>
      <c r="E4736" s="438">
        <v>0</v>
      </c>
      <c r="F4736" s="438">
        <v>0</v>
      </c>
      <c r="G4736" s="438">
        <v>0</v>
      </c>
      <c r="H4736" s="438">
        <v>0</v>
      </c>
    </row>
    <row r="4737" spans="1:8" s="421" customFormat="1" ht="11.25">
      <c r="A4737" s="421" t="s">
        <v>391</v>
      </c>
      <c r="D4737" s="421" t="s">
        <v>472</v>
      </c>
    </row>
    <row r="4738" spans="1:8" s="422" customFormat="1" ht="11.25"/>
    <row r="4739" spans="1:8" s="421" customFormat="1" ht="11.25" customHeight="1">
      <c r="A4739" s="423" t="s">
        <v>392</v>
      </c>
      <c r="D4739" s="421" t="s">
        <v>150</v>
      </c>
    </row>
    <row r="4740" spans="1:8" s="421" customFormat="1" ht="11.25" customHeight="1">
      <c r="A4740" s="423"/>
    </row>
    <row r="4741" spans="1:8" s="421" customFormat="1" ht="11.25">
      <c r="A4741" s="424" t="s">
        <v>393</v>
      </c>
      <c r="D4741" s="583" t="s">
        <v>34</v>
      </c>
      <c r="E4741" s="583"/>
      <c r="F4741" s="583"/>
      <c r="G4741" s="583"/>
      <c r="H4741" s="583"/>
    </row>
    <row r="4742" spans="1:8" s="421" customFormat="1" ht="11.25" customHeight="1"/>
    <row r="4743" spans="1:8" s="422" customFormat="1" ht="11.25">
      <c r="A4743" s="421" t="s">
        <v>170</v>
      </c>
      <c r="B4743" s="421"/>
      <c r="C4743" s="421"/>
      <c r="D4743" s="422" t="s">
        <v>277</v>
      </c>
      <c r="E4743" s="422" t="s">
        <v>278</v>
      </c>
    </row>
    <row r="4744" spans="1:8" s="422" customFormat="1" ht="7.5" customHeight="1"/>
    <row r="4745" spans="1:8" s="427" customFormat="1" ht="11.25">
      <c r="A4745" s="425" t="s">
        <v>587</v>
      </c>
      <c r="B4745" s="425"/>
      <c r="C4745" s="425"/>
      <c r="D4745" s="426" t="s">
        <v>1139</v>
      </c>
      <c r="E4745" s="584" t="s">
        <v>1140</v>
      </c>
      <c r="F4745" s="584"/>
      <c r="G4745" s="584"/>
      <c r="H4745" s="584"/>
    </row>
    <row r="4746" spans="1:8" s="427" customFormat="1" ht="11.25">
      <c r="A4746" s="425"/>
      <c r="B4746" s="425"/>
      <c r="C4746" s="425"/>
      <c r="D4746" s="426" t="s">
        <v>1141</v>
      </c>
      <c r="E4746" s="584" t="s">
        <v>1142</v>
      </c>
      <c r="F4746" s="584"/>
      <c r="G4746" s="584"/>
      <c r="H4746" s="584"/>
    </row>
    <row r="4747" spans="1:8" s="427" customFormat="1" ht="11.25">
      <c r="A4747" s="425"/>
      <c r="B4747" s="425"/>
      <c r="C4747" s="425"/>
      <c r="D4747" s="426" t="s">
        <v>1143</v>
      </c>
      <c r="E4747" s="584" t="s">
        <v>1144</v>
      </c>
      <c r="F4747" s="584"/>
      <c r="G4747" s="584"/>
      <c r="H4747" s="584"/>
    </row>
    <row r="4748" spans="1:8" s="427" customFormat="1" ht="11.25">
      <c r="A4748" s="425"/>
      <c r="B4748" s="425"/>
      <c r="C4748" s="425"/>
      <c r="D4748" s="426" t="s">
        <v>1145</v>
      </c>
      <c r="E4748" s="584" t="s">
        <v>1043</v>
      </c>
      <c r="F4748" s="584"/>
      <c r="G4748" s="584"/>
      <c r="H4748" s="584"/>
    </row>
    <row r="4749" spans="1:8" s="427" customFormat="1" ht="11.25">
      <c r="A4749" s="425"/>
      <c r="B4749" s="425"/>
      <c r="C4749" s="425"/>
      <c r="D4749" s="426"/>
      <c r="E4749" s="584"/>
      <c r="F4749" s="584"/>
      <c r="G4749" s="584"/>
      <c r="H4749" s="584"/>
    </row>
    <row r="4750" spans="1:8" s="427" customFormat="1" ht="11.25"/>
    <row r="4751" spans="1:8" s="422" customFormat="1" ht="11.25"/>
    <row r="4752" spans="1:8" s="422" customFormat="1" ht="11.25">
      <c r="A4752" s="421" t="s">
        <v>589</v>
      </c>
      <c r="B4752" s="421"/>
      <c r="C4752" s="421"/>
    </row>
    <row r="4753" spans="1:8" s="429" customFormat="1" ht="11.25">
      <c r="A4753" s="428"/>
      <c r="B4753" s="428"/>
      <c r="C4753" s="428"/>
    </row>
    <row r="4754" spans="1:8" s="429" customFormat="1" ht="11.25" hidden="1">
      <c r="A4754" s="428"/>
      <c r="B4754" s="428"/>
      <c r="C4754" s="428"/>
    </row>
    <row r="4755" spans="1:8" s="429" customFormat="1" ht="11.25" hidden="1">
      <c r="A4755" s="428"/>
      <c r="B4755" s="428"/>
      <c r="C4755" s="428"/>
    </row>
    <row r="4756" spans="1:8" s="429" customFormat="1" ht="11.25" hidden="1">
      <c r="A4756" s="428"/>
      <c r="B4756" s="428"/>
      <c r="C4756" s="428"/>
    </row>
    <row r="4757" spans="1:8" s="429" customFormat="1" ht="11.25">
      <c r="A4757" s="428"/>
      <c r="B4757" s="428"/>
      <c r="C4757" s="428"/>
    </row>
    <row r="4758" spans="1:8" s="422" customFormat="1" ht="11.25" customHeight="1">
      <c r="A4758" s="430"/>
      <c r="B4758" s="430"/>
      <c r="C4758" s="430"/>
      <c r="D4758" s="430"/>
      <c r="E4758" s="430"/>
      <c r="F4758" s="430"/>
      <c r="G4758" s="430"/>
      <c r="H4758" s="430"/>
    </row>
    <row r="4759" spans="1:8" s="422" customFormat="1" ht="22.5" customHeight="1">
      <c r="A4759" s="585" t="s">
        <v>590</v>
      </c>
      <c r="B4759" s="585"/>
      <c r="C4759" s="585"/>
      <c r="D4759" s="586"/>
      <c r="E4759" s="586"/>
      <c r="F4759" s="586"/>
      <c r="G4759" s="586"/>
      <c r="H4759" s="586"/>
    </row>
    <row r="4760" spans="1:8" s="429" customFormat="1" ht="11.25">
      <c r="A4760" s="431"/>
      <c r="B4760" s="431"/>
      <c r="C4760" s="431"/>
      <c r="D4760" s="432"/>
      <c r="E4760" s="432"/>
      <c r="F4760" s="432"/>
      <c r="G4760" s="432"/>
      <c r="H4760" s="432"/>
    </row>
    <row r="4761" spans="1:8" s="429" customFormat="1" ht="11.25">
      <c r="A4761" s="431"/>
      <c r="B4761" s="431"/>
      <c r="C4761" s="431"/>
      <c r="D4761" s="432"/>
      <c r="E4761" s="432"/>
      <c r="F4761" s="432"/>
      <c r="G4761" s="432"/>
      <c r="H4761" s="432"/>
    </row>
    <row r="4762" spans="1:8" s="429" customFormat="1" ht="11.25">
      <c r="A4762" s="431"/>
      <c r="B4762" s="431"/>
      <c r="C4762" s="431"/>
      <c r="D4762" s="432"/>
      <c r="E4762" s="432"/>
      <c r="F4762" s="432"/>
      <c r="G4762" s="432"/>
      <c r="H4762" s="432"/>
    </row>
    <row r="4763" spans="1:8" s="429" customFormat="1" ht="11.25" customHeight="1">
      <c r="A4763" s="431"/>
      <c r="B4763" s="431"/>
      <c r="C4763" s="431"/>
      <c r="D4763" s="432"/>
      <c r="E4763" s="432"/>
      <c r="F4763" s="432"/>
      <c r="G4763" s="432"/>
      <c r="H4763" s="432"/>
    </row>
    <row r="4764" spans="1:8" s="422" customFormat="1" ht="11.25" customHeight="1"/>
    <row r="4765" spans="1:8" s="422" customFormat="1" ht="11.25">
      <c r="A4765" s="421" t="s">
        <v>591</v>
      </c>
      <c r="B4765" s="421"/>
      <c r="C4765" s="421"/>
    </row>
    <row r="4766" spans="1:8" s="429" customFormat="1" ht="11.25" customHeight="1">
      <c r="A4766" s="428"/>
      <c r="B4766" s="428"/>
      <c r="C4766" s="428"/>
    </row>
    <row r="4767" spans="1:8" s="429" customFormat="1" ht="11.25" customHeight="1">
      <c r="A4767" s="428"/>
      <c r="B4767" s="428"/>
      <c r="C4767" s="428"/>
    </row>
    <row r="4768" spans="1:8" s="422" customFormat="1" ht="11.25" customHeight="1"/>
    <row r="4769" spans="1:8" s="422" customFormat="1" ht="11.25">
      <c r="A4769" s="433" t="s">
        <v>592</v>
      </c>
      <c r="B4769" s="434"/>
      <c r="C4769" s="434"/>
      <c r="D4769" s="434"/>
      <c r="E4769" s="434"/>
      <c r="F4769" s="434"/>
      <c r="G4769" s="434"/>
      <c r="H4769" s="434"/>
    </row>
    <row r="4770" spans="1:8" s="429" customFormat="1" ht="11.25">
      <c r="A4770" s="435"/>
      <c r="B4770" s="436"/>
      <c r="C4770" s="436"/>
      <c r="D4770" s="436"/>
      <c r="E4770" s="436"/>
      <c r="F4770" s="436"/>
      <c r="G4770" s="436"/>
      <c r="H4770" s="436"/>
    </row>
    <row r="4771" spans="1:8" s="429" customFormat="1" ht="11.25">
      <c r="A4771" s="435"/>
      <c r="B4771" s="436"/>
      <c r="C4771" s="436"/>
      <c r="D4771" s="436"/>
      <c r="E4771" s="436"/>
      <c r="F4771" s="436"/>
      <c r="G4771" s="436"/>
      <c r="H4771" s="436"/>
    </row>
    <row r="4772" spans="1:8" s="429" customFormat="1" ht="11.25">
      <c r="A4772" s="435"/>
      <c r="B4772" s="436"/>
      <c r="C4772" s="436"/>
      <c r="D4772" s="436"/>
      <c r="E4772" s="436"/>
      <c r="F4772" s="436"/>
      <c r="G4772" s="436"/>
      <c r="H4772" s="436"/>
    </row>
    <row r="4773" spans="1:8" s="422" customFormat="1" ht="11.25" customHeight="1">
      <c r="A4773" s="437"/>
      <c r="B4773" s="437"/>
      <c r="C4773" s="437"/>
      <c r="D4773" s="437"/>
      <c r="E4773" s="437"/>
      <c r="F4773" s="437"/>
      <c r="G4773" s="437"/>
      <c r="H4773" s="437"/>
    </row>
    <row r="4774" spans="1:8" s="422" customFormat="1" ht="11.25">
      <c r="A4774" s="421" t="s">
        <v>593</v>
      </c>
      <c r="B4774" s="421"/>
      <c r="C4774" s="421"/>
    </row>
    <row r="4775" spans="1:8" s="422" customFormat="1" ht="11.25">
      <c r="A4775" s="438"/>
      <c r="B4775" s="439" t="s">
        <v>132</v>
      </c>
      <c r="C4775" s="439" t="s">
        <v>473</v>
      </c>
      <c r="D4775" s="439" t="s">
        <v>474</v>
      </c>
      <c r="E4775" s="439" t="s">
        <v>375</v>
      </c>
      <c r="F4775" s="439" t="s">
        <v>9</v>
      </c>
      <c r="G4775" s="439" t="s">
        <v>131</v>
      </c>
      <c r="H4775" s="439" t="s">
        <v>424</v>
      </c>
    </row>
    <row r="4776" spans="1:8" s="422" customFormat="1" ht="11.25">
      <c r="A4776" s="439" t="s">
        <v>394</v>
      </c>
      <c r="B4776" s="438">
        <v>4713993.34</v>
      </c>
      <c r="C4776" s="438">
        <v>4690108.8999999994</v>
      </c>
      <c r="D4776" s="438">
        <v>4914555.6399999997</v>
      </c>
      <c r="E4776" s="438">
        <v>4891967.0111999996</v>
      </c>
      <c r="F4776" s="438">
        <v>4887693.0111999996</v>
      </c>
      <c r="G4776" s="438">
        <v>4933825.8268800005</v>
      </c>
      <c r="H4776" s="438">
        <v>4951449.8324800003</v>
      </c>
    </row>
    <row r="4777" spans="1:8" s="422" customFormat="1" ht="11.25">
      <c r="A4777" s="439" t="s">
        <v>395</v>
      </c>
      <c r="B4777" s="438">
        <v>-3438322.15</v>
      </c>
      <c r="C4777" s="438">
        <v>-3305180.5200000005</v>
      </c>
      <c r="D4777" s="438">
        <v>-3854392.84</v>
      </c>
      <c r="E4777" s="438">
        <v>-3850765.04</v>
      </c>
      <c r="F4777" s="438">
        <v>-3850765.04</v>
      </c>
      <c r="G4777" s="438">
        <v>-3850765.04</v>
      </c>
      <c r="H4777" s="438">
        <v>-3850765.04</v>
      </c>
    </row>
    <row r="4778" spans="1:8" s="422" customFormat="1" ht="11.25">
      <c r="A4778" s="439" t="s">
        <v>396</v>
      </c>
      <c r="B4778" s="438">
        <v>1275671.19</v>
      </c>
      <c r="C4778" s="438">
        <v>1384928.379999999</v>
      </c>
      <c r="D4778" s="438">
        <v>1060162.7999999998</v>
      </c>
      <c r="E4778" s="438">
        <v>1041201.9711999996</v>
      </c>
      <c r="F4778" s="438">
        <v>1036927.9711999996</v>
      </c>
      <c r="G4778" s="438">
        <v>1083060.7868800005</v>
      </c>
      <c r="H4778" s="438">
        <v>1100684.7924800003</v>
      </c>
    </row>
    <row r="4779" spans="1:8" s="442" customFormat="1" ht="11.25">
      <c r="A4779" s="440" t="s">
        <v>397</v>
      </c>
      <c r="B4779" s="441">
        <v>0.72938629777529551</v>
      </c>
      <c r="C4779" s="441">
        <v>0.70471295879718288</v>
      </c>
      <c r="D4779" s="441">
        <v>0.78428104641419827</v>
      </c>
      <c r="E4779" s="441">
        <v>0.78716087642941956</v>
      </c>
      <c r="F4779" s="441">
        <v>0.78784920230793731</v>
      </c>
      <c r="G4779" s="441">
        <v>0.78048256568373942</v>
      </c>
      <c r="H4779" s="441">
        <v>0.77770454519000798</v>
      </c>
    </row>
    <row r="4780" spans="1:8" s="422" customFormat="1" ht="11.25" customHeight="1"/>
    <row r="4781" spans="1:8" s="422" customFormat="1" ht="11.25">
      <c r="A4781" s="443" t="s">
        <v>594</v>
      </c>
      <c r="B4781" s="443"/>
      <c r="C4781" s="444"/>
    </row>
    <row r="4782" spans="1:8" s="422" customFormat="1" ht="11.25">
      <c r="A4782" s="445" t="s">
        <v>595</v>
      </c>
      <c r="B4782" s="446"/>
      <c r="C4782" s="447"/>
      <c r="D4782" s="439" t="s">
        <v>474</v>
      </c>
      <c r="E4782" s="439" t="s">
        <v>375</v>
      </c>
      <c r="F4782" s="439" t="s">
        <v>9</v>
      </c>
      <c r="G4782" s="439" t="s">
        <v>131</v>
      </c>
      <c r="H4782" s="439" t="s">
        <v>424</v>
      </c>
    </row>
    <row r="4783" spans="1:8" s="422" customFormat="1" ht="11.25">
      <c r="A4783" s="495" t="s">
        <v>826</v>
      </c>
      <c r="B4783" s="496"/>
      <c r="C4783" s="496"/>
      <c r="D4783" s="501">
        <v>0.78400000000000003</v>
      </c>
      <c r="E4783" s="501">
        <v>0.78400000000000003</v>
      </c>
      <c r="F4783" s="501">
        <v>0.78400000000000003</v>
      </c>
      <c r="G4783" s="501">
        <v>0.78400000000000003</v>
      </c>
      <c r="H4783" s="501">
        <v>0.78400000000000003</v>
      </c>
    </row>
    <row r="4784" spans="1:8" s="422" customFormat="1" ht="11.25">
      <c r="A4784" s="495" t="s">
        <v>1146</v>
      </c>
      <c r="B4784" s="496"/>
      <c r="C4784" s="496"/>
      <c r="D4784" s="501">
        <v>0.65</v>
      </c>
      <c r="E4784" s="501">
        <v>0.65</v>
      </c>
      <c r="F4784" s="501">
        <v>0.65</v>
      </c>
      <c r="G4784" s="501">
        <v>0.65</v>
      </c>
      <c r="H4784" s="501">
        <v>0.65</v>
      </c>
    </row>
    <row r="4785" spans="1:8" s="422" customFormat="1" ht="11.25">
      <c r="A4785" s="495" t="s">
        <v>1147</v>
      </c>
      <c r="B4785" s="496"/>
      <c r="C4785" s="496"/>
      <c r="D4785" s="458" t="s">
        <v>1148</v>
      </c>
      <c r="E4785" s="458" t="s">
        <v>1148</v>
      </c>
      <c r="F4785" s="458" t="s">
        <v>1148</v>
      </c>
      <c r="G4785" s="458" t="s">
        <v>1148</v>
      </c>
      <c r="H4785" s="458" t="s">
        <v>1148</v>
      </c>
    </row>
    <row r="4786" spans="1:8" s="422" customFormat="1" ht="11.25" customHeight="1"/>
    <row r="4787" spans="1:8" s="422" customFormat="1" ht="11.25">
      <c r="A4787" s="421" t="s">
        <v>423</v>
      </c>
      <c r="B4787" s="421"/>
      <c r="C4787" s="421"/>
    </row>
    <row r="4788" spans="1:8" s="422" customFormat="1" ht="11.25">
      <c r="A4788" s="450"/>
      <c r="B4788" s="439" t="s">
        <v>132</v>
      </c>
      <c r="C4788" s="439" t="s">
        <v>473</v>
      </c>
      <c r="D4788" s="439" t="s">
        <v>474</v>
      </c>
      <c r="E4788" s="439" t="s">
        <v>375</v>
      </c>
      <c r="F4788" s="439" t="s">
        <v>9</v>
      </c>
      <c r="G4788" s="439" t="s">
        <v>131</v>
      </c>
      <c r="H4788" s="439" t="s">
        <v>424</v>
      </c>
    </row>
    <row r="4789" spans="1:8" s="422" customFormat="1" ht="11.25">
      <c r="A4789" s="451" t="s">
        <v>398</v>
      </c>
      <c r="B4789" s="438">
        <v>34002.699999999997</v>
      </c>
      <c r="C4789" s="438">
        <v>62192.7</v>
      </c>
      <c r="D4789" s="438">
        <v>0</v>
      </c>
      <c r="E4789" s="438">
        <v>0</v>
      </c>
      <c r="F4789" s="438">
        <v>0</v>
      </c>
      <c r="G4789" s="438">
        <v>60000</v>
      </c>
      <c r="H4789" s="438">
        <v>60000</v>
      </c>
    </row>
    <row r="4790" spans="1:8" s="422" customFormat="1" ht="11.25">
      <c r="A4790" s="451" t="s">
        <v>399</v>
      </c>
      <c r="B4790" s="438">
        <v>0</v>
      </c>
      <c r="C4790" s="438">
        <v>0</v>
      </c>
      <c r="D4790" s="438">
        <v>0</v>
      </c>
      <c r="E4790" s="438">
        <v>0</v>
      </c>
      <c r="F4790" s="438">
        <v>0</v>
      </c>
      <c r="G4790" s="438">
        <v>0</v>
      </c>
      <c r="H4790" s="438">
        <v>0</v>
      </c>
    </row>
    <row r="4791" spans="1:8" s="422" customFormat="1" ht="11.25">
      <c r="A4791" s="451" t="s">
        <v>400</v>
      </c>
      <c r="B4791" s="438">
        <v>0</v>
      </c>
      <c r="C4791" s="438">
        <v>0</v>
      </c>
      <c r="D4791" s="438">
        <v>0</v>
      </c>
      <c r="E4791" s="438">
        <v>0</v>
      </c>
      <c r="F4791" s="438">
        <v>0</v>
      </c>
      <c r="G4791" s="438">
        <v>0</v>
      </c>
      <c r="H4791" s="438">
        <v>0</v>
      </c>
    </row>
    <row r="4792" spans="1:8" s="422" customFormat="1" ht="11.25">
      <c r="A4792" s="451" t="s">
        <v>401</v>
      </c>
      <c r="B4792" s="438">
        <v>34002.699999999997</v>
      </c>
      <c r="C4792" s="438">
        <v>62192.7</v>
      </c>
      <c r="D4792" s="438">
        <v>0</v>
      </c>
      <c r="E4792" s="438">
        <v>0</v>
      </c>
      <c r="F4792" s="438">
        <v>0</v>
      </c>
      <c r="G4792" s="438">
        <v>60000</v>
      </c>
      <c r="H4792" s="438">
        <v>60000</v>
      </c>
    </row>
    <row r="4793" spans="1:8" s="422" customFormat="1" ht="11.25" customHeight="1"/>
    <row r="4794" spans="1:8" s="422" customFormat="1" ht="11.25">
      <c r="A4794" s="421" t="s">
        <v>597</v>
      </c>
      <c r="B4794" s="421"/>
      <c r="C4794" s="421"/>
    </row>
    <row r="4795" spans="1:8" s="429" customFormat="1" ht="11.25">
      <c r="A4795" s="428"/>
      <c r="B4795" s="428"/>
      <c r="C4795" s="428"/>
    </row>
    <row r="4796" spans="1:8" s="429" customFormat="1" ht="11.25" hidden="1">
      <c r="A4796" s="428"/>
      <c r="B4796" s="428"/>
      <c r="C4796" s="428"/>
    </row>
    <row r="4797" spans="1:8" s="429" customFormat="1" ht="11.25">
      <c r="A4797" s="428"/>
      <c r="B4797" s="428"/>
      <c r="C4797" s="428"/>
    </row>
    <row r="4798" spans="1:8" s="422" customFormat="1" ht="11.25" customHeight="1"/>
    <row r="4799" spans="1:8" s="422" customFormat="1" ht="11.25">
      <c r="A4799" s="421" t="s">
        <v>598</v>
      </c>
      <c r="B4799" s="421"/>
      <c r="C4799" s="421"/>
    </row>
    <row r="4800" spans="1:8" s="422" customFormat="1" ht="11.25">
      <c r="A4800" s="452" t="s">
        <v>599</v>
      </c>
      <c r="B4800" s="447"/>
      <c r="C4800" s="447"/>
      <c r="D4800" s="447"/>
      <c r="E4800" s="439" t="s">
        <v>375</v>
      </c>
      <c r="F4800" s="439" t="s">
        <v>9</v>
      </c>
      <c r="G4800" s="439" t="s">
        <v>131</v>
      </c>
      <c r="H4800" s="439" t="s">
        <v>424</v>
      </c>
    </row>
    <row r="4801" spans="1:8" s="422" customFormat="1" ht="11.25">
      <c r="A4801" s="448"/>
      <c r="B4801" s="449"/>
      <c r="C4801" s="449"/>
      <c r="D4801" s="449"/>
      <c r="E4801" s="438">
        <v>0</v>
      </c>
      <c r="F4801" s="438">
        <v>0</v>
      </c>
      <c r="G4801" s="438">
        <v>0</v>
      </c>
      <c r="H4801" s="438">
        <v>0</v>
      </c>
    </row>
    <row r="4802" spans="1:8" s="422" customFormat="1" ht="11.25">
      <c r="A4802" s="448"/>
      <c r="B4802" s="449"/>
      <c r="C4802" s="449"/>
      <c r="D4802" s="449"/>
      <c r="E4802" s="438">
        <v>0</v>
      </c>
      <c r="F4802" s="438">
        <v>0</v>
      </c>
      <c r="G4802" s="438">
        <v>0</v>
      </c>
      <c r="H4802" s="438">
        <v>0</v>
      </c>
    </row>
    <row r="4803" spans="1:8" s="422" customFormat="1" ht="11.25">
      <c r="A4803" s="448"/>
      <c r="B4803" s="449"/>
      <c r="C4803" s="449"/>
      <c r="D4803" s="449"/>
      <c r="E4803" s="438">
        <v>0</v>
      </c>
      <c r="F4803" s="438">
        <v>0</v>
      </c>
      <c r="G4803" s="438">
        <v>0</v>
      </c>
      <c r="H4803" s="438">
        <v>0</v>
      </c>
    </row>
    <row r="4804" spans="1:8" s="421" customFormat="1" ht="11.25">
      <c r="A4804" s="421" t="s">
        <v>391</v>
      </c>
      <c r="D4804" s="421" t="s">
        <v>472</v>
      </c>
    </row>
    <row r="4805" spans="1:8" s="422" customFormat="1" ht="11.25"/>
    <row r="4806" spans="1:8" s="421" customFormat="1" ht="11.25" customHeight="1">
      <c r="A4806" s="423" t="s">
        <v>392</v>
      </c>
      <c r="D4806" s="421" t="s">
        <v>150</v>
      </c>
    </row>
    <row r="4807" spans="1:8" s="421" customFormat="1" ht="7.5" customHeight="1">
      <c r="A4807" s="423"/>
    </row>
    <row r="4808" spans="1:8" s="421" customFormat="1" ht="11.25">
      <c r="A4808" s="424" t="s">
        <v>393</v>
      </c>
      <c r="D4808" s="583" t="s">
        <v>156</v>
      </c>
      <c r="E4808" s="583"/>
      <c r="F4808" s="583"/>
      <c r="G4808" s="583"/>
      <c r="H4808" s="583"/>
    </row>
    <row r="4809" spans="1:8" s="421" customFormat="1" ht="7.5" customHeight="1"/>
    <row r="4810" spans="1:8" s="422" customFormat="1" ht="11.25">
      <c r="A4810" s="421" t="s">
        <v>170</v>
      </c>
      <c r="B4810" s="421"/>
      <c r="C4810" s="421"/>
      <c r="D4810" s="422" t="s">
        <v>279</v>
      </c>
      <c r="E4810" s="422" t="s">
        <v>387</v>
      </c>
    </row>
    <row r="4811" spans="1:8" s="422" customFormat="1" ht="7.5" customHeight="1"/>
    <row r="4812" spans="1:8" s="427" customFormat="1" ht="11.25">
      <c r="A4812" s="425" t="s">
        <v>587</v>
      </c>
      <c r="B4812" s="425"/>
      <c r="C4812" s="425"/>
      <c r="D4812" s="426" t="s">
        <v>1149</v>
      </c>
      <c r="E4812" s="584" t="s">
        <v>1150</v>
      </c>
      <c r="F4812" s="584"/>
      <c r="G4812" s="584"/>
      <c r="H4812" s="584"/>
    </row>
    <row r="4813" spans="1:8" s="427" customFormat="1" ht="11.25">
      <c r="A4813" s="425"/>
      <c r="B4813" s="425"/>
      <c r="C4813" s="425"/>
      <c r="D4813" s="426" t="s">
        <v>1151</v>
      </c>
      <c r="E4813" s="584" t="s">
        <v>1152</v>
      </c>
      <c r="F4813" s="584"/>
      <c r="G4813" s="584"/>
      <c r="H4813" s="584"/>
    </row>
    <row r="4814" spans="1:8" s="427" customFormat="1" ht="11.25">
      <c r="A4814" s="425"/>
      <c r="B4814" s="425"/>
      <c r="C4814" s="425"/>
      <c r="D4814" s="426" t="s">
        <v>1153</v>
      </c>
      <c r="E4814" s="584" t="s">
        <v>1154</v>
      </c>
      <c r="F4814" s="584"/>
      <c r="G4814" s="584"/>
      <c r="H4814" s="584"/>
    </row>
    <row r="4815" spans="1:8" s="427" customFormat="1" ht="11.25">
      <c r="A4815" s="425"/>
      <c r="B4815" s="425"/>
      <c r="C4815" s="425"/>
      <c r="D4815" s="426"/>
      <c r="E4815" s="584"/>
      <c r="F4815" s="584"/>
      <c r="G4815" s="584"/>
      <c r="H4815" s="584"/>
    </row>
    <row r="4816" spans="1:8" s="427" customFormat="1" ht="11.25" hidden="1">
      <c r="A4816" s="425"/>
      <c r="B4816" s="425"/>
      <c r="C4816" s="425"/>
      <c r="D4816" s="426"/>
      <c r="E4816" s="584"/>
      <c r="F4816" s="584"/>
      <c r="G4816" s="584"/>
      <c r="H4816" s="584"/>
    </row>
    <row r="4817" spans="1:8" s="427" customFormat="1" ht="11.25" hidden="1">
      <c r="A4817" s="425"/>
      <c r="B4817" s="425"/>
      <c r="C4817" s="425"/>
      <c r="D4817" s="426"/>
      <c r="E4817" s="584"/>
      <c r="F4817" s="584"/>
      <c r="G4817" s="584"/>
      <c r="H4817" s="584"/>
    </row>
    <row r="4818" spans="1:8" s="427" customFormat="1" ht="11.25"/>
    <row r="4819" spans="1:8" s="422" customFormat="1" ht="11.25"/>
    <row r="4820" spans="1:8" s="422" customFormat="1" ht="11.25">
      <c r="A4820" s="421" t="s">
        <v>589</v>
      </c>
      <c r="B4820" s="421"/>
      <c r="C4820" s="421"/>
    </row>
    <row r="4821" spans="1:8" s="429" customFormat="1" ht="11.25">
      <c r="A4821" s="428"/>
      <c r="B4821" s="428"/>
      <c r="C4821" s="428"/>
    </row>
    <row r="4822" spans="1:8" s="429" customFormat="1" ht="11.25">
      <c r="A4822" s="428"/>
      <c r="B4822" s="428"/>
      <c r="C4822" s="428"/>
    </row>
    <row r="4823" spans="1:8" s="429" customFormat="1" ht="11.25" hidden="1">
      <c r="A4823" s="428"/>
      <c r="B4823" s="428"/>
      <c r="C4823" s="428"/>
    </row>
    <row r="4824" spans="1:8" s="429" customFormat="1" ht="5.25" customHeight="1">
      <c r="A4824" s="428"/>
      <c r="B4824" s="428"/>
      <c r="C4824" s="428"/>
    </row>
    <row r="4825" spans="1:8" s="429" customFormat="1" ht="4.5" customHeight="1">
      <c r="A4825" s="428"/>
      <c r="B4825" s="428"/>
      <c r="C4825" s="428"/>
    </row>
    <row r="4826" spans="1:8" s="429" customFormat="1" ht="4.5" customHeight="1">
      <c r="A4826" s="428"/>
      <c r="B4826" s="428"/>
      <c r="C4826" s="428"/>
    </row>
    <row r="4827" spans="1:8" s="422" customFormat="1" ht="11.25" customHeight="1">
      <c r="A4827" s="430"/>
      <c r="B4827" s="430"/>
      <c r="C4827" s="430"/>
      <c r="D4827" s="430"/>
      <c r="E4827" s="430"/>
      <c r="F4827" s="430"/>
      <c r="G4827" s="430"/>
      <c r="H4827" s="430"/>
    </row>
    <row r="4828" spans="1:8" s="422" customFormat="1" ht="23.25" customHeight="1">
      <c r="A4828" s="585" t="s">
        <v>590</v>
      </c>
      <c r="B4828" s="585"/>
      <c r="C4828" s="585"/>
      <c r="D4828" s="586"/>
      <c r="E4828" s="586"/>
      <c r="F4828" s="586"/>
      <c r="G4828" s="586"/>
      <c r="H4828" s="586"/>
    </row>
    <row r="4829" spans="1:8" s="429" customFormat="1" ht="11.25">
      <c r="A4829" s="431"/>
      <c r="B4829" s="431"/>
      <c r="C4829" s="431"/>
      <c r="D4829" s="432"/>
      <c r="E4829" s="432"/>
      <c r="F4829" s="432"/>
      <c r="G4829" s="432"/>
      <c r="H4829" s="432"/>
    </row>
    <row r="4830" spans="1:8" s="429" customFormat="1" ht="11.25">
      <c r="A4830" s="431"/>
      <c r="B4830" s="431"/>
      <c r="C4830" s="431"/>
      <c r="D4830" s="432"/>
      <c r="E4830" s="432"/>
      <c r="F4830" s="432"/>
      <c r="G4830" s="432"/>
      <c r="H4830" s="432"/>
    </row>
    <row r="4831" spans="1:8" s="429" customFormat="1" ht="11.25">
      <c r="A4831" s="431"/>
      <c r="B4831" s="431"/>
      <c r="C4831" s="431"/>
      <c r="D4831" s="432"/>
      <c r="E4831" s="432"/>
      <c r="F4831" s="432"/>
      <c r="G4831" s="432"/>
      <c r="H4831" s="432"/>
    </row>
    <row r="4832" spans="1:8" s="429" customFormat="1" ht="11.25">
      <c r="A4832" s="431"/>
      <c r="B4832" s="431"/>
      <c r="C4832" s="431"/>
      <c r="D4832" s="432"/>
      <c r="E4832" s="432"/>
      <c r="F4832" s="432"/>
      <c r="G4832" s="432"/>
      <c r="H4832" s="432"/>
    </row>
    <row r="4833" spans="1:8" s="429" customFormat="1" ht="11.25">
      <c r="A4833" s="431"/>
      <c r="B4833" s="431"/>
      <c r="C4833" s="431"/>
      <c r="D4833" s="432"/>
      <c r="E4833" s="432"/>
      <c r="F4833" s="432"/>
      <c r="G4833" s="432"/>
      <c r="H4833" s="432"/>
    </row>
    <row r="4834" spans="1:8" s="429" customFormat="1" ht="11.25">
      <c r="A4834" s="431"/>
      <c r="B4834" s="431"/>
      <c r="C4834" s="431"/>
      <c r="D4834" s="432"/>
      <c r="E4834" s="432"/>
      <c r="F4834" s="432"/>
      <c r="G4834" s="432"/>
      <c r="H4834" s="432"/>
    </row>
    <row r="4835" spans="1:8" s="429" customFormat="1" ht="11.25">
      <c r="A4835" s="431"/>
      <c r="B4835" s="431"/>
      <c r="C4835" s="431"/>
      <c r="D4835" s="432"/>
      <c r="E4835" s="432"/>
      <c r="F4835" s="432"/>
      <c r="G4835" s="432"/>
      <c r="H4835" s="432"/>
    </row>
    <row r="4836" spans="1:8" s="429" customFormat="1" ht="11.25">
      <c r="A4836" s="431"/>
      <c r="B4836" s="431"/>
      <c r="C4836" s="431"/>
      <c r="D4836" s="432"/>
      <c r="E4836" s="432"/>
      <c r="F4836" s="432"/>
      <c r="G4836" s="432"/>
      <c r="H4836" s="432"/>
    </row>
    <row r="4837" spans="1:8" s="429" customFormat="1" ht="11.25">
      <c r="A4837" s="431"/>
      <c r="B4837" s="431"/>
      <c r="C4837" s="431"/>
      <c r="D4837" s="432"/>
      <c r="E4837" s="432"/>
      <c r="F4837" s="432"/>
      <c r="G4837" s="432"/>
      <c r="H4837" s="432"/>
    </row>
    <row r="4838" spans="1:8" s="429" customFormat="1" ht="11.25" hidden="1">
      <c r="A4838" s="431"/>
      <c r="B4838" s="431"/>
      <c r="C4838" s="431"/>
      <c r="D4838" s="432"/>
      <c r="E4838" s="432"/>
      <c r="F4838" s="432"/>
      <c r="G4838" s="432"/>
      <c r="H4838" s="432"/>
    </row>
    <row r="4839" spans="1:8" s="429" customFormat="1" ht="11.25">
      <c r="A4839" s="431"/>
      <c r="B4839" s="431"/>
      <c r="C4839" s="431"/>
      <c r="D4839" s="432"/>
      <c r="E4839" s="432"/>
      <c r="F4839" s="432"/>
      <c r="G4839" s="432"/>
      <c r="H4839" s="432"/>
    </row>
    <row r="4840" spans="1:8" s="429" customFormat="1" ht="6.75" hidden="1" customHeight="1">
      <c r="A4840" s="431"/>
      <c r="B4840" s="431"/>
      <c r="C4840" s="431"/>
      <c r="D4840" s="432"/>
      <c r="E4840" s="432"/>
      <c r="F4840" s="432"/>
      <c r="G4840" s="432"/>
      <c r="H4840" s="432"/>
    </row>
    <row r="4841" spans="1:8" s="422" customFormat="1" ht="11.25" hidden="1" customHeight="1"/>
    <row r="4842" spans="1:8" s="422" customFormat="1" ht="11.25" customHeight="1"/>
    <row r="4843" spans="1:8" s="422" customFormat="1" ht="11.25">
      <c r="A4843" s="421" t="s">
        <v>591</v>
      </c>
      <c r="B4843" s="421"/>
      <c r="C4843" s="421"/>
    </row>
    <row r="4844" spans="1:8" s="429" customFormat="1" ht="11.25">
      <c r="A4844" s="428"/>
      <c r="B4844" s="428"/>
      <c r="C4844" s="428"/>
    </row>
    <row r="4845" spans="1:8" s="429" customFormat="1" ht="11.25">
      <c r="A4845" s="428"/>
      <c r="B4845" s="428"/>
      <c r="C4845" s="428"/>
    </row>
    <row r="4846" spans="1:8" s="429" customFormat="1" ht="11.25">
      <c r="A4846" s="428"/>
      <c r="B4846" s="428"/>
      <c r="C4846" s="428"/>
    </row>
    <row r="4847" spans="1:8" s="429" customFormat="1" ht="11.25">
      <c r="A4847" s="428"/>
      <c r="B4847" s="428"/>
      <c r="C4847" s="428"/>
    </row>
    <row r="4848" spans="1:8" s="429" customFormat="1" ht="11.25">
      <c r="A4848" s="428"/>
      <c r="B4848" s="428"/>
      <c r="C4848" s="428"/>
    </row>
    <row r="4849" spans="1:8" s="422" customFormat="1" ht="11.25" customHeight="1"/>
    <row r="4850" spans="1:8" s="422" customFormat="1" ht="11.25">
      <c r="A4850" s="433" t="s">
        <v>592</v>
      </c>
      <c r="B4850" s="434"/>
      <c r="C4850" s="434"/>
      <c r="D4850" s="434"/>
      <c r="E4850" s="434"/>
      <c r="F4850" s="434"/>
      <c r="G4850" s="434"/>
      <c r="H4850" s="434"/>
    </row>
    <row r="4851" spans="1:8" s="429" customFormat="1" ht="11.25">
      <c r="A4851" s="435"/>
      <c r="B4851" s="436"/>
      <c r="C4851" s="436"/>
      <c r="D4851" s="436"/>
      <c r="E4851" s="436"/>
      <c r="F4851" s="436"/>
      <c r="G4851" s="436"/>
      <c r="H4851" s="436"/>
    </row>
    <row r="4852" spans="1:8" s="429" customFormat="1" ht="11.25">
      <c r="A4852" s="435"/>
      <c r="B4852" s="436"/>
      <c r="C4852" s="436"/>
      <c r="D4852" s="436"/>
      <c r="E4852" s="436"/>
      <c r="F4852" s="436"/>
      <c r="G4852" s="436"/>
      <c r="H4852" s="436"/>
    </row>
    <row r="4853" spans="1:8" s="422" customFormat="1" ht="11.25" customHeight="1">
      <c r="A4853" s="437"/>
      <c r="B4853" s="437"/>
      <c r="C4853" s="437"/>
      <c r="D4853" s="437"/>
      <c r="E4853" s="437"/>
      <c r="F4853" s="437"/>
      <c r="G4853" s="437"/>
      <c r="H4853" s="437"/>
    </row>
    <row r="4854" spans="1:8" s="422" customFormat="1" ht="11.25">
      <c r="A4854" s="421" t="s">
        <v>593</v>
      </c>
      <c r="B4854" s="421"/>
      <c r="C4854" s="421"/>
    </row>
    <row r="4855" spans="1:8" s="422" customFormat="1" ht="11.25">
      <c r="A4855" s="438"/>
      <c r="B4855" s="439" t="s">
        <v>132</v>
      </c>
      <c r="C4855" s="439" t="s">
        <v>473</v>
      </c>
      <c r="D4855" s="439" t="s">
        <v>474</v>
      </c>
      <c r="E4855" s="439" t="s">
        <v>375</v>
      </c>
      <c r="F4855" s="439" t="s">
        <v>9</v>
      </c>
      <c r="G4855" s="439" t="s">
        <v>131</v>
      </c>
      <c r="H4855" s="439" t="s">
        <v>424</v>
      </c>
    </row>
    <row r="4856" spans="1:8" s="422" customFormat="1" ht="11.25">
      <c r="A4856" s="439" t="s">
        <v>394</v>
      </c>
      <c r="B4856" s="438">
        <v>3227238.5700000003</v>
      </c>
      <c r="C4856" s="438">
        <v>3333347.51</v>
      </c>
      <c r="D4856" s="438">
        <v>3316440.28</v>
      </c>
      <c r="E4856" s="438">
        <v>3380928.4983999995</v>
      </c>
      <c r="F4856" s="438">
        <v>3507515.1983999996</v>
      </c>
      <c r="G4856" s="438">
        <v>3547459.3801599997</v>
      </c>
      <c r="H4856" s="438">
        <v>3561725.1593599995</v>
      </c>
    </row>
    <row r="4857" spans="1:8" s="422" customFormat="1" ht="11.25">
      <c r="A4857" s="439" t="s">
        <v>395</v>
      </c>
      <c r="B4857" s="438">
        <v>-559043.37</v>
      </c>
      <c r="C4857" s="438">
        <v>-549604.16</v>
      </c>
      <c r="D4857" s="438">
        <v>-522743.64</v>
      </c>
      <c r="E4857" s="438">
        <v>-639743.64</v>
      </c>
      <c r="F4857" s="438">
        <v>-814743.64</v>
      </c>
      <c r="G4857" s="438">
        <v>-814743.64</v>
      </c>
      <c r="H4857" s="438">
        <v>-814743.64</v>
      </c>
    </row>
    <row r="4858" spans="1:8" s="422" customFormat="1" ht="11.25">
      <c r="A4858" s="439" t="s">
        <v>396</v>
      </c>
      <c r="B4858" s="438">
        <v>2668195.2000000002</v>
      </c>
      <c r="C4858" s="438">
        <v>2783743.3499999996</v>
      </c>
      <c r="D4858" s="438">
        <v>2793696.6399999997</v>
      </c>
      <c r="E4858" s="438">
        <v>2741184.8583999993</v>
      </c>
      <c r="F4858" s="438">
        <v>2692771.5583999995</v>
      </c>
      <c r="G4858" s="438">
        <v>2732715.7401599996</v>
      </c>
      <c r="H4858" s="438">
        <v>2746981.5193599993</v>
      </c>
    </row>
    <row r="4859" spans="1:8" s="442" customFormat="1" ht="11.25">
      <c r="A4859" s="440" t="s">
        <v>397</v>
      </c>
      <c r="B4859" s="441">
        <v>0.17322653961711915</v>
      </c>
      <c r="C4859" s="441">
        <v>0.16488054676303462</v>
      </c>
      <c r="D4859" s="441">
        <v>0.15762190658231906</v>
      </c>
      <c r="E4859" s="441">
        <v>0.18922128649060582</v>
      </c>
      <c r="F4859" s="441">
        <v>0.23228513460801434</v>
      </c>
      <c r="G4859" s="441">
        <v>0.22966961779933134</v>
      </c>
      <c r="H4859" s="441">
        <v>0.22874972198764487</v>
      </c>
    </row>
    <row r="4860" spans="1:8" s="422" customFormat="1" ht="11.25" customHeight="1"/>
    <row r="4861" spans="1:8" s="422" customFormat="1" ht="11.25">
      <c r="A4861" s="443" t="s">
        <v>594</v>
      </c>
      <c r="B4861" s="443"/>
      <c r="C4861" s="444"/>
    </row>
    <row r="4862" spans="1:8" s="422" customFormat="1" ht="11.25">
      <c r="A4862" s="445" t="s">
        <v>595</v>
      </c>
      <c r="B4862" s="446"/>
      <c r="C4862" s="447"/>
      <c r="D4862" s="439" t="s">
        <v>474</v>
      </c>
      <c r="E4862" s="439" t="s">
        <v>375</v>
      </c>
      <c r="F4862" s="439" t="s">
        <v>9</v>
      </c>
      <c r="G4862" s="439" t="s">
        <v>131</v>
      </c>
      <c r="H4862" s="439" t="s">
        <v>424</v>
      </c>
    </row>
    <row r="4863" spans="1:8" s="422" customFormat="1" ht="11.25">
      <c r="A4863" s="448" t="s">
        <v>1155</v>
      </c>
      <c r="B4863" s="449"/>
      <c r="C4863" s="449"/>
      <c r="D4863" s="462">
        <v>0.9</v>
      </c>
      <c r="E4863" s="462">
        <v>0.9</v>
      </c>
      <c r="F4863" s="462">
        <v>0.9</v>
      </c>
      <c r="G4863" s="462">
        <v>0.9</v>
      </c>
      <c r="H4863" s="462">
        <v>0.9</v>
      </c>
    </row>
    <row r="4864" spans="1:8" s="422" customFormat="1" ht="11.25">
      <c r="A4864" s="448" t="s">
        <v>1156</v>
      </c>
      <c r="B4864" s="449"/>
      <c r="C4864" s="449"/>
      <c r="D4864" s="462">
        <v>0.9</v>
      </c>
      <c r="E4864" s="462">
        <v>1</v>
      </c>
      <c r="F4864" s="462">
        <v>1</v>
      </c>
      <c r="G4864" s="462">
        <v>1</v>
      </c>
      <c r="H4864" s="462">
        <v>1</v>
      </c>
    </row>
    <row r="4865" spans="1:8" s="422" customFormat="1" ht="11.25">
      <c r="A4865" s="448" t="s">
        <v>1157</v>
      </c>
      <c r="B4865" s="449"/>
      <c r="C4865" s="449"/>
      <c r="D4865" s="462">
        <v>0.75</v>
      </c>
      <c r="E4865" s="462">
        <v>0.75</v>
      </c>
      <c r="F4865" s="462">
        <v>0.75</v>
      </c>
      <c r="G4865" s="462">
        <v>0.75</v>
      </c>
      <c r="H4865" s="462">
        <v>0.75</v>
      </c>
    </row>
    <row r="4866" spans="1:8" s="422" customFormat="1" ht="11.25" customHeight="1"/>
    <row r="4867" spans="1:8" s="422" customFormat="1" ht="11.25">
      <c r="A4867" s="421" t="s">
        <v>423</v>
      </c>
      <c r="B4867" s="421"/>
      <c r="C4867" s="421"/>
    </row>
    <row r="4868" spans="1:8" s="422" customFormat="1" ht="11.25">
      <c r="A4868" s="450"/>
      <c r="B4868" s="439" t="s">
        <v>132</v>
      </c>
      <c r="C4868" s="439" t="s">
        <v>473</v>
      </c>
      <c r="D4868" s="439" t="s">
        <v>474</v>
      </c>
      <c r="E4868" s="439" t="s">
        <v>375</v>
      </c>
      <c r="F4868" s="439" t="s">
        <v>9</v>
      </c>
      <c r="G4868" s="439" t="s">
        <v>131</v>
      </c>
      <c r="H4868" s="439" t="s">
        <v>424</v>
      </c>
    </row>
    <row r="4869" spans="1:8" s="422" customFormat="1" ht="11.25">
      <c r="A4869" s="451" t="s">
        <v>398</v>
      </c>
      <c r="B4869" s="438">
        <v>0</v>
      </c>
      <c r="C4869" s="438">
        <v>0</v>
      </c>
      <c r="D4869" s="438">
        <v>0</v>
      </c>
      <c r="E4869" s="438">
        <v>0</v>
      </c>
      <c r="F4869" s="438">
        <v>0</v>
      </c>
      <c r="G4869" s="438">
        <v>0</v>
      </c>
      <c r="H4869" s="438">
        <v>0</v>
      </c>
    </row>
    <row r="4870" spans="1:8" s="422" customFormat="1" ht="11.25">
      <c r="A4870" s="451" t="s">
        <v>399</v>
      </c>
      <c r="B4870" s="438">
        <v>0</v>
      </c>
      <c r="C4870" s="438">
        <v>0</v>
      </c>
      <c r="D4870" s="438">
        <v>0</v>
      </c>
      <c r="E4870" s="438">
        <v>0</v>
      </c>
      <c r="F4870" s="438">
        <v>0</v>
      </c>
      <c r="G4870" s="438">
        <v>0</v>
      </c>
      <c r="H4870" s="438">
        <v>0</v>
      </c>
    </row>
    <row r="4871" spans="1:8" s="422" customFormat="1" ht="11.25">
      <c r="A4871" s="451" t="s">
        <v>400</v>
      </c>
      <c r="B4871" s="438">
        <v>0</v>
      </c>
      <c r="C4871" s="438">
        <v>0</v>
      </c>
      <c r="D4871" s="438">
        <v>0</v>
      </c>
      <c r="E4871" s="438">
        <v>0</v>
      </c>
      <c r="F4871" s="438">
        <v>0</v>
      </c>
      <c r="G4871" s="438">
        <v>0</v>
      </c>
      <c r="H4871" s="438">
        <v>0</v>
      </c>
    </row>
    <row r="4872" spans="1:8" s="422" customFormat="1" ht="11.25">
      <c r="A4872" s="451" t="s">
        <v>401</v>
      </c>
      <c r="B4872" s="438">
        <v>0</v>
      </c>
      <c r="C4872" s="438">
        <v>0</v>
      </c>
      <c r="D4872" s="438">
        <v>0</v>
      </c>
      <c r="E4872" s="438">
        <v>0</v>
      </c>
      <c r="F4872" s="438">
        <v>0</v>
      </c>
      <c r="G4872" s="438">
        <v>0</v>
      </c>
      <c r="H4872" s="438">
        <v>0</v>
      </c>
    </row>
    <row r="4873" spans="1:8" s="422" customFormat="1" ht="11.25" customHeight="1"/>
    <row r="4874" spans="1:8" s="422" customFormat="1" ht="11.25">
      <c r="A4874" s="421" t="s">
        <v>597</v>
      </c>
      <c r="B4874" s="421"/>
      <c r="C4874" s="421"/>
    </row>
    <row r="4875" spans="1:8" s="429" customFormat="1" ht="11.25">
      <c r="A4875" s="428"/>
      <c r="B4875" s="428"/>
      <c r="C4875" s="428"/>
    </row>
    <row r="4876" spans="1:8" s="429" customFormat="1" ht="11.25" hidden="1">
      <c r="A4876" s="428"/>
      <c r="B4876" s="428"/>
      <c r="C4876" s="428"/>
    </row>
    <row r="4877" spans="1:8" s="429" customFormat="1" ht="11.25">
      <c r="A4877" s="428"/>
      <c r="B4877" s="428"/>
      <c r="C4877" s="428"/>
    </row>
    <row r="4878" spans="1:8" s="422" customFormat="1" ht="11.25" customHeight="1"/>
    <row r="4879" spans="1:8" s="422" customFormat="1" ht="11.25">
      <c r="A4879" s="421" t="s">
        <v>598</v>
      </c>
      <c r="B4879" s="421"/>
      <c r="C4879" s="421"/>
    </row>
    <row r="4880" spans="1:8" s="422" customFormat="1" ht="11.25">
      <c r="A4880" s="452" t="s">
        <v>599</v>
      </c>
      <c r="B4880" s="447"/>
      <c r="C4880" s="447"/>
      <c r="D4880" s="447"/>
      <c r="E4880" s="439" t="s">
        <v>375</v>
      </c>
      <c r="F4880" s="439" t="s">
        <v>9</v>
      </c>
      <c r="G4880" s="439" t="s">
        <v>131</v>
      </c>
      <c r="H4880" s="439" t="s">
        <v>424</v>
      </c>
    </row>
    <row r="4881" spans="1:8" s="422" customFormat="1" ht="11.25">
      <c r="A4881" s="448" t="s">
        <v>449</v>
      </c>
      <c r="B4881" s="449"/>
      <c r="C4881" s="449"/>
      <c r="D4881" s="449"/>
      <c r="E4881" s="438">
        <v>90413.3</v>
      </c>
      <c r="F4881" s="438">
        <v>217000</v>
      </c>
      <c r="G4881" s="438">
        <v>219800</v>
      </c>
      <c r="H4881" s="438">
        <v>220799.99999999997</v>
      </c>
    </row>
    <row r="4882" spans="1:8" s="422" customFormat="1" ht="11.25">
      <c r="A4882" s="448"/>
      <c r="B4882" s="449"/>
      <c r="C4882" s="449"/>
      <c r="D4882" s="449"/>
      <c r="E4882" s="438">
        <v>0</v>
      </c>
      <c r="F4882" s="438">
        <v>0</v>
      </c>
      <c r="G4882" s="438">
        <v>0</v>
      </c>
      <c r="H4882" s="438">
        <v>0</v>
      </c>
    </row>
    <row r="4883" spans="1:8" s="422" customFormat="1" ht="11.25">
      <c r="A4883" s="448"/>
      <c r="B4883" s="449"/>
      <c r="C4883" s="449"/>
      <c r="D4883" s="449"/>
      <c r="E4883" s="438">
        <v>0</v>
      </c>
      <c r="F4883" s="438">
        <v>0</v>
      </c>
      <c r="G4883" s="438">
        <v>0</v>
      </c>
      <c r="H4883" s="438">
        <v>0</v>
      </c>
    </row>
    <row r="4884" spans="1:8" s="421" customFormat="1" ht="11.25">
      <c r="A4884" s="421" t="s">
        <v>391</v>
      </c>
      <c r="D4884" s="421" t="s">
        <v>472</v>
      </c>
    </row>
    <row r="4885" spans="1:8" s="422" customFormat="1" ht="11.25"/>
    <row r="4886" spans="1:8" s="421" customFormat="1" ht="11.25" customHeight="1">
      <c r="A4886" s="423" t="s">
        <v>392</v>
      </c>
      <c r="D4886" s="421" t="s">
        <v>150</v>
      </c>
    </row>
    <row r="4887" spans="1:8" s="421" customFormat="1" ht="7.5" customHeight="1">
      <c r="A4887" s="423"/>
    </row>
    <row r="4888" spans="1:8" s="421" customFormat="1" ht="11.25">
      <c r="A4888" s="424" t="s">
        <v>393</v>
      </c>
      <c r="D4888" s="583" t="s">
        <v>156</v>
      </c>
      <c r="E4888" s="583"/>
      <c r="F4888" s="583"/>
      <c r="G4888" s="583"/>
      <c r="H4888" s="583"/>
    </row>
    <row r="4889" spans="1:8" s="421" customFormat="1" ht="7.5" customHeight="1"/>
    <row r="4890" spans="1:8" s="422" customFormat="1" ht="11.25">
      <c r="A4890" s="421" t="s">
        <v>170</v>
      </c>
      <c r="B4890" s="421"/>
      <c r="C4890" s="421"/>
      <c r="D4890" s="422" t="s">
        <v>280</v>
      </c>
      <c r="E4890" s="422" t="s">
        <v>281</v>
      </c>
    </row>
    <row r="4891" spans="1:8" s="422" customFormat="1" ht="7.5" customHeight="1"/>
    <row r="4892" spans="1:8" s="427" customFormat="1" ht="11.25">
      <c r="A4892" s="425" t="s">
        <v>587</v>
      </c>
      <c r="B4892" s="425"/>
      <c r="C4892" s="425"/>
      <c r="D4892" s="426" t="s">
        <v>1158</v>
      </c>
      <c r="E4892" s="584" t="s">
        <v>1159</v>
      </c>
      <c r="F4892" s="584"/>
      <c r="G4892" s="584"/>
      <c r="H4892" s="584"/>
    </row>
    <row r="4893" spans="1:8" s="427" customFormat="1" ht="11.25">
      <c r="A4893" s="425"/>
      <c r="B4893" s="425"/>
      <c r="C4893" s="425"/>
      <c r="D4893" s="426" t="s">
        <v>1160</v>
      </c>
      <c r="E4893" s="584" t="s">
        <v>1161</v>
      </c>
      <c r="F4893" s="584"/>
      <c r="G4893" s="584"/>
      <c r="H4893" s="584"/>
    </row>
    <row r="4894" spans="1:8" s="427" customFormat="1" ht="11.25">
      <c r="A4894" s="425"/>
      <c r="B4894" s="425"/>
      <c r="C4894" s="425"/>
      <c r="D4894" s="426" t="s">
        <v>1162</v>
      </c>
      <c r="E4894" s="584" t="s">
        <v>1163</v>
      </c>
      <c r="F4894" s="584"/>
      <c r="G4894" s="584"/>
      <c r="H4894" s="584"/>
    </row>
    <row r="4895" spans="1:8" s="427" customFormat="1" ht="11.25">
      <c r="A4895" s="425"/>
      <c r="B4895" s="425"/>
      <c r="C4895" s="425"/>
      <c r="D4895" s="426"/>
      <c r="E4895" s="584"/>
      <c r="F4895" s="584"/>
      <c r="G4895" s="584"/>
      <c r="H4895" s="584"/>
    </row>
    <row r="4896" spans="1:8" s="427" customFormat="1" ht="11.25">
      <c r="A4896" s="425"/>
      <c r="B4896" s="425"/>
      <c r="C4896" s="425"/>
      <c r="D4896" s="426"/>
      <c r="E4896" s="584"/>
      <c r="F4896" s="584"/>
      <c r="G4896" s="584"/>
      <c r="H4896" s="584"/>
    </row>
    <row r="4897" spans="1:8" s="427" customFormat="1" ht="11.25"/>
    <row r="4898" spans="1:8" s="422" customFormat="1" ht="11.25"/>
    <row r="4899" spans="1:8" s="422" customFormat="1" ht="11.25">
      <c r="A4899" s="421" t="s">
        <v>589</v>
      </c>
      <c r="B4899" s="421"/>
      <c r="C4899" s="421"/>
    </row>
    <row r="4900" spans="1:8" s="429" customFormat="1" ht="11.25">
      <c r="A4900" s="428"/>
      <c r="B4900" s="428"/>
      <c r="C4900" s="428"/>
    </row>
    <row r="4901" spans="1:8" s="429" customFormat="1" ht="11.25">
      <c r="A4901" s="428"/>
      <c r="B4901" s="428"/>
      <c r="C4901" s="428"/>
    </row>
    <row r="4902" spans="1:8" s="429" customFormat="1" ht="6" hidden="1" customHeight="1">
      <c r="A4902" s="428"/>
      <c r="B4902" s="428"/>
      <c r="C4902" s="428"/>
    </row>
    <row r="4903" spans="1:8" s="429" customFormat="1" ht="5.25" hidden="1" customHeight="1">
      <c r="A4903" s="428"/>
      <c r="B4903" s="428"/>
      <c r="C4903" s="428"/>
    </row>
    <row r="4904" spans="1:8" s="429" customFormat="1" ht="11.25" customHeight="1">
      <c r="A4904" s="428"/>
      <c r="B4904" s="428"/>
      <c r="C4904" s="428"/>
    </row>
    <row r="4905" spans="1:8" s="422" customFormat="1" ht="0.75" customHeight="1">
      <c r="A4905" s="430"/>
      <c r="B4905" s="430"/>
      <c r="C4905" s="430"/>
      <c r="D4905" s="430"/>
      <c r="E4905" s="430"/>
      <c r="F4905" s="430"/>
      <c r="G4905" s="430"/>
      <c r="H4905" s="430"/>
    </row>
    <row r="4906" spans="1:8" s="422" customFormat="1" ht="22.5" customHeight="1">
      <c r="A4906" s="585" t="s">
        <v>590</v>
      </c>
      <c r="B4906" s="585"/>
      <c r="C4906" s="585"/>
      <c r="D4906" s="586"/>
      <c r="E4906" s="586"/>
      <c r="F4906" s="586"/>
      <c r="G4906" s="586"/>
      <c r="H4906" s="586"/>
    </row>
    <row r="4907" spans="1:8" s="429" customFormat="1" ht="11.25">
      <c r="A4907" s="431"/>
      <c r="B4907" s="431"/>
      <c r="C4907" s="431"/>
      <c r="D4907" s="432"/>
      <c r="E4907" s="432"/>
      <c r="F4907" s="432"/>
      <c r="G4907" s="432"/>
      <c r="H4907" s="432"/>
    </row>
    <row r="4908" spans="1:8" s="429" customFormat="1" ht="11.25">
      <c r="A4908" s="431"/>
      <c r="B4908" s="431"/>
      <c r="C4908" s="431"/>
      <c r="D4908" s="432"/>
      <c r="E4908" s="432"/>
      <c r="F4908" s="432"/>
      <c r="G4908" s="432"/>
      <c r="H4908" s="432"/>
    </row>
    <row r="4909" spans="1:8" s="429" customFormat="1" ht="11.25">
      <c r="A4909" s="431"/>
      <c r="B4909" s="431"/>
      <c r="C4909" s="431"/>
      <c r="D4909" s="432"/>
      <c r="E4909" s="432"/>
      <c r="F4909" s="432"/>
      <c r="G4909" s="432"/>
      <c r="H4909" s="432"/>
    </row>
    <row r="4910" spans="1:8" s="429" customFormat="1" ht="11.25">
      <c r="A4910" s="431"/>
      <c r="B4910" s="431"/>
      <c r="C4910" s="431"/>
      <c r="D4910" s="432"/>
      <c r="E4910" s="432"/>
      <c r="F4910" s="432"/>
      <c r="G4910" s="432"/>
      <c r="H4910" s="432"/>
    </row>
    <row r="4911" spans="1:8" s="429" customFormat="1" ht="11.25">
      <c r="A4911" s="431"/>
      <c r="B4911" s="431"/>
      <c r="C4911" s="431"/>
      <c r="D4911" s="432"/>
      <c r="E4911" s="432"/>
      <c r="F4911" s="432"/>
      <c r="G4911" s="432"/>
      <c r="H4911" s="432"/>
    </row>
    <row r="4912" spans="1:8" s="429" customFormat="1" ht="11.25">
      <c r="A4912" s="431"/>
      <c r="B4912" s="431"/>
      <c r="C4912" s="431"/>
      <c r="D4912" s="432"/>
      <c r="E4912" s="432"/>
      <c r="F4912" s="432"/>
      <c r="G4912" s="432"/>
      <c r="H4912" s="432"/>
    </row>
    <row r="4913" spans="1:8" s="429" customFormat="1" ht="11.25">
      <c r="A4913" s="431"/>
      <c r="B4913" s="431"/>
      <c r="C4913" s="431"/>
      <c r="D4913" s="432"/>
      <c r="E4913" s="432"/>
      <c r="F4913" s="432"/>
      <c r="G4913" s="432"/>
      <c r="H4913" s="432"/>
    </row>
    <row r="4914" spans="1:8" s="429" customFormat="1" ht="11.25">
      <c r="A4914" s="431"/>
      <c r="B4914" s="431"/>
      <c r="C4914" s="431"/>
      <c r="D4914" s="432"/>
      <c r="E4914" s="432"/>
      <c r="F4914" s="432"/>
      <c r="G4914" s="432"/>
      <c r="H4914" s="432"/>
    </row>
    <row r="4915" spans="1:8" s="429" customFormat="1" ht="11.25" hidden="1">
      <c r="A4915" s="431"/>
      <c r="B4915" s="431"/>
      <c r="C4915" s="431"/>
      <c r="D4915" s="432"/>
      <c r="E4915" s="432"/>
      <c r="F4915" s="432"/>
      <c r="G4915" s="432"/>
      <c r="H4915" s="432"/>
    </row>
    <row r="4916" spans="1:8" s="422" customFormat="1" ht="11.25" customHeight="1"/>
    <row r="4917" spans="1:8" s="422" customFormat="1" ht="11.25">
      <c r="A4917" s="421" t="s">
        <v>591</v>
      </c>
      <c r="B4917" s="421"/>
      <c r="C4917" s="421"/>
    </row>
    <row r="4918" spans="1:8" s="429" customFormat="1" ht="11.25">
      <c r="A4918" s="428"/>
      <c r="B4918" s="428"/>
      <c r="C4918" s="428"/>
    </row>
    <row r="4919" spans="1:8" s="429" customFormat="1" ht="11.25" hidden="1">
      <c r="A4919" s="428"/>
      <c r="B4919" s="428"/>
      <c r="C4919" s="428"/>
    </row>
    <row r="4920" spans="1:8" s="429" customFormat="1" ht="11.25">
      <c r="A4920" s="428"/>
      <c r="B4920" s="428"/>
      <c r="C4920" s="428"/>
    </row>
    <row r="4921" spans="1:8" s="422" customFormat="1" ht="11.25" customHeight="1"/>
    <row r="4922" spans="1:8" s="422" customFormat="1" ht="11.25">
      <c r="A4922" s="433" t="s">
        <v>592</v>
      </c>
      <c r="B4922" s="434"/>
      <c r="C4922" s="434"/>
      <c r="D4922" s="434"/>
      <c r="E4922" s="434"/>
      <c r="F4922" s="434"/>
      <c r="G4922" s="434"/>
      <c r="H4922" s="434"/>
    </row>
    <row r="4923" spans="1:8" s="429" customFormat="1" ht="11.25">
      <c r="A4923" s="435"/>
      <c r="B4923" s="436"/>
      <c r="C4923" s="436"/>
      <c r="D4923" s="436"/>
      <c r="E4923" s="436"/>
      <c r="F4923" s="436"/>
      <c r="G4923" s="436"/>
      <c r="H4923" s="436"/>
    </row>
    <row r="4924" spans="1:8" s="429" customFormat="1" ht="11.25">
      <c r="A4924" s="435"/>
      <c r="B4924" s="436"/>
      <c r="C4924" s="436"/>
      <c r="D4924" s="436"/>
      <c r="E4924" s="436"/>
      <c r="F4924" s="436"/>
      <c r="G4924" s="436"/>
      <c r="H4924" s="436"/>
    </row>
    <row r="4925" spans="1:8" s="422" customFormat="1" ht="11.25" customHeight="1">
      <c r="A4925" s="437"/>
      <c r="B4925" s="437"/>
      <c r="C4925" s="437"/>
      <c r="D4925" s="437"/>
      <c r="E4925" s="437"/>
      <c r="F4925" s="437"/>
      <c r="G4925" s="437"/>
      <c r="H4925" s="437"/>
    </row>
    <row r="4926" spans="1:8" s="422" customFormat="1" ht="11.25">
      <c r="A4926" s="421" t="s">
        <v>593</v>
      </c>
      <c r="B4926" s="421"/>
      <c r="C4926" s="421"/>
    </row>
    <row r="4927" spans="1:8" s="422" customFormat="1" ht="11.25">
      <c r="A4927" s="438"/>
      <c r="B4927" s="439" t="s">
        <v>132</v>
      </c>
      <c r="C4927" s="439" t="s">
        <v>473</v>
      </c>
      <c r="D4927" s="439" t="s">
        <v>474</v>
      </c>
      <c r="E4927" s="439" t="s">
        <v>375</v>
      </c>
      <c r="F4927" s="439" t="s">
        <v>9</v>
      </c>
      <c r="G4927" s="439" t="s">
        <v>131</v>
      </c>
      <c r="H4927" s="439" t="s">
        <v>424</v>
      </c>
    </row>
    <row r="4928" spans="1:8" s="422" customFormat="1" ht="11.25">
      <c r="A4928" s="439" t="s">
        <v>394</v>
      </c>
      <c r="B4928" s="438">
        <v>353269.33999999997</v>
      </c>
      <c r="C4928" s="438">
        <v>366993.34</v>
      </c>
      <c r="D4928" s="438">
        <v>351840.28</v>
      </c>
      <c r="E4928" s="438">
        <v>342941.76520000002</v>
      </c>
      <c r="F4928" s="438">
        <v>342941.76520000002</v>
      </c>
      <c r="G4928" s="438">
        <v>346807.84448000003</v>
      </c>
      <c r="H4928" s="438">
        <v>348188.58708000003</v>
      </c>
    </row>
    <row r="4929" spans="1:8" s="422" customFormat="1" ht="11.25">
      <c r="A4929" s="439" t="s">
        <v>395</v>
      </c>
      <c r="B4929" s="438">
        <v>-45618.83</v>
      </c>
      <c r="C4929" s="438">
        <v>-70833.039999999994</v>
      </c>
      <c r="D4929" s="438">
        <v>-48653.96</v>
      </c>
      <c r="E4929" s="438">
        <v>-48653.96</v>
      </c>
      <c r="F4929" s="438">
        <v>-48653.96</v>
      </c>
      <c r="G4929" s="438">
        <v>-48653.96</v>
      </c>
      <c r="H4929" s="438">
        <v>-48653.96</v>
      </c>
    </row>
    <row r="4930" spans="1:8" s="422" customFormat="1" ht="11.25">
      <c r="A4930" s="439" t="s">
        <v>396</v>
      </c>
      <c r="B4930" s="438">
        <v>307650.50999999995</v>
      </c>
      <c r="C4930" s="438">
        <v>296160.30000000005</v>
      </c>
      <c r="D4930" s="438">
        <v>303186.32</v>
      </c>
      <c r="E4930" s="438">
        <v>294287.8052</v>
      </c>
      <c r="F4930" s="438">
        <v>294287.8052</v>
      </c>
      <c r="G4930" s="438">
        <v>298153.88448000001</v>
      </c>
      <c r="H4930" s="438">
        <v>299534.62708000001</v>
      </c>
    </row>
    <row r="4931" spans="1:8" s="442" customFormat="1" ht="11.25">
      <c r="A4931" s="440" t="s">
        <v>397</v>
      </c>
      <c r="B4931" s="441">
        <v>0.12913328396967597</v>
      </c>
      <c r="C4931" s="441">
        <v>0.19300906114536026</v>
      </c>
      <c r="D4931" s="441">
        <v>0.13828422373924895</v>
      </c>
      <c r="E4931" s="441">
        <v>0.14187236708140674</v>
      </c>
      <c r="F4931" s="441">
        <v>0.14187236708140674</v>
      </c>
      <c r="G4931" s="441">
        <v>0.14029082898326947</v>
      </c>
      <c r="H4931" s="441">
        <v>0.13973450539555232</v>
      </c>
    </row>
    <row r="4932" spans="1:8" s="422" customFormat="1" ht="11.25" customHeight="1"/>
    <row r="4933" spans="1:8" s="422" customFormat="1" ht="11.25">
      <c r="A4933" s="443" t="s">
        <v>594</v>
      </c>
      <c r="B4933" s="443"/>
      <c r="C4933" s="444"/>
    </row>
    <row r="4934" spans="1:8" s="422" customFormat="1" ht="11.25">
      <c r="A4934" s="445" t="s">
        <v>595</v>
      </c>
      <c r="B4934" s="446"/>
      <c r="C4934" s="447"/>
      <c r="D4934" s="439" t="s">
        <v>474</v>
      </c>
      <c r="E4934" s="439" t="s">
        <v>375</v>
      </c>
      <c r="F4934" s="439" t="s">
        <v>9</v>
      </c>
      <c r="G4934" s="439" t="s">
        <v>131</v>
      </c>
      <c r="H4934" s="439" t="s">
        <v>424</v>
      </c>
    </row>
    <row r="4935" spans="1:8" s="422" customFormat="1" ht="11.25">
      <c r="A4935" s="448" t="s">
        <v>1164</v>
      </c>
      <c r="B4935" s="449"/>
      <c r="C4935" s="449"/>
      <c r="D4935" s="438">
        <v>100</v>
      </c>
      <c r="E4935" s="438">
        <v>100</v>
      </c>
      <c r="F4935" s="438">
        <v>100</v>
      </c>
      <c r="G4935" s="438">
        <v>100</v>
      </c>
      <c r="H4935" s="438">
        <v>100</v>
      </c>
    </row>
    <row r="4936" spans="1:8" s="422" customFormat="1" ht="11.25">
      <c r="A4936" s="448" t="s">
        <v>1165</v>
      </c>
      <c r="B4936" s="449"/>
      <c r="C4936" s="449"/>
      <c r="D4936" s="438">
        <v>1</v>
      </c>
      <c r="E4936" s="438">
        <v>1</v>
      </c>
      <c r="F4936" s="438">
        <v>1</v>
      </c>
      <c r="G4936" s="438">
        <v>1</v>
      </c>
      <c r="H4936" s="438">
        <v>1</v>
      </c>
    </row>
    <row r="4937" spans="1:8" s="422" customFormat="1" ht="11.25" hidden="1">
      <c r="A4937" s="448"/>
      <c r="B4937" s="449"/>
      <c r="C4937" s="449"/>
      <c r="D4937" s="438"/>
      <c r="E4937" s="438"/>
      <c r="F4937" s="438"/>
      <c r="G4937" s="438"/>
      <c r="H4937" s="438"/>
    </row>
    <row r="4938" spans="1:8" s="422" customFormat="1" ht="11.25" customHeight="1"/>
    <row r="4939" spans="1:8" s="422" customFormat="1" ht="11.25">
      <c r="A4939" s="421" t="s">
        <v>423</v>
      </c>
      <c r="B4939" s="421"/>
      <c r="C4939" s="421"/>
    </row>
    <row r="4940" spans="1:8" s="422" customFormat="1" ht="11.25">
      <c r="A4940" s="450"/>
      <c r="B4940" s="439" t="s">
        <v>132</v>
      </c>
      <c r="C4940" s="439" t="s">
        <v>473</v>
      </c>
      <c r="D4940" s="439" t="s">
        <v>474</v>
      </c>
      <c r="E4940" s="439" t="s">
        <v>375</v>
      </c>
      <c r="F4940" s="439" t="s">
        <v>9</v>
      </c>
      <c r="G4940" s="439" t="s">
        <v>131</v>
      </c>
      <c r="H4940" s="439" t="s">
        <v>424</v>
      </c>
    </row>
    <row r="4941" spans="1:8" s="422" customFormat="1" ht="11.25">
      <c r="A4941" s="451" t="s">
        <v>398</v>
      </c>
      <c r="B4941" s="438">
        <v>0</v>
      </c>
      <c r="C4941" s="438">
        <v>0</v>
      </c>
      <c r="D4941" s="438">
        <v>0</v>
      </c>
      <c r="E4941" s="438">
        <v>0</v>
      </c>
      <c r="F4941" s="438">
        <v>0</v>
      </c>
      <c r="G4941" s="438">
        <v>0</v>
      </c>
      <c r="H4941" s="438">
        <v>0</v>
      </c>
    </row>
    <row r="4942" spans="1:8" s="422" customFormat="1" ht="11.25">
      <c r="A4942" s="451" t="s">
        <v>399</v>
      </c>
      <c r="B4942" s="438">
        <v>0</v>
      </c>
      <c r="C4942" s="438">
        <v>0</v>
      </c>
      <c r="D4942" s="438">
        <v>0</v>
      </c>
      <c r="E4942" s="438">
        <v>0</v>
      </c>
      <c r="F4942" s="438">
        <v>0</v>
      </c>
      <c r="G4942" s="438">
        <v>0</v>
      </c>
      <c r="H4942" s="438">
        <v>0</v>
      </c>
    </row>
    <row r="4943" spans="1:8" s="422" customFormat="1" ht="11.25">
      <c r="A4943" s="451" t="s">
        <v>400</v>
      </c>
      <c r="B4943" s="438">
        <v>0</v>
      </c>
      <c r="C4943" s="438">
        <v>0</v>
      </c>
      <c r="D4943" s="438">
        <v>0</v>
      </c>
      <c r="E4943" s="438">
        <v>0</v>
      </c>
      <c r="F4943" s="438">
        <v>0</v>
      </c>
      <c r="G4943" s="438">
        <v>0</v>
      </c>
      <c r="H4943" s="438">
        <v>0</v>
      </c>
    </row>
    <row r="4944" spans="1:8" s="422" customFormat="1" ht="11.25">
      <c r="A4944" s="451" t="s">
        <v>401</v>
      </c>
      <c r="B4944" s="438">
        <v>0</v>
      </c>
      <c r="C4944" s="438">
        <v>0</v>
      </c>
      <c r="D4944" s="438">
        <v>0</v>
      </c>
      <c r="E4944" s="438">
        <v>0</v>
      </c>
      <c r="F4944" s="438">
        <v>0</v>
      </c>
      <c r="G4944" s="438">
        <v>0</v>
      </c>
      <c r="H4944" s="438">
        <v>0</v>
      </c>
    </row>
    <row r="4945" spans="1:8" s="422" customFormat="1" ht="11.25" customHeight="1"/>
    <row r="4946" spans="1:8" s="422" customFormat="1" ht="11.25">
      <c r="A4946" s="421" t="s">
        <v>597</v>
      </c>
      <c r="B4946" s="421"/>
      <c r="C4946" s="421"/>
    </row>
    <row r="4947" spans="1:8" s="429" customFormat="1" ht="11.25">
      <c r="A4947" s="428"/>
      <c r="B4947" s="428"/>
      <c r="C4947" s="428"/>
    </row>
    <row r="4948" spans="1:8" s="429" customFormat="1" ht="11.25" hidden="1">
      <c r="A4948" s="428"/>
      <c r="B4948" s="428"/>
      <c r="C4948" s="428"/>
    </row>
    <row r="4949" spans="1:8" s="429" customFormat="1" ht="11.25">
      <c r="A4949" s="428"/>
      <c r="B4949" s="428"/>
      <c r="C4949" s="428"/>
    </row>
    <row r="4950" spans="1:8" s="422" customFormat="1" ht="11.25" customHeight="1"/>
    <row r="4951" spans="1:8" s="422" customFormat="1" ht="11.25">
      <c r="A4951" s="421" t="s">
        <v>598</v>
      </c>
      <c r="B4951" s="421"/>
      <c r="C4951" s="421"/>
    </row>
    <row r="4952" spans="1:8" s="422" customFormat="1" ht="11.25">
      <c r="A4952" s="452" t="s">
        <v>599</v>
      </c>
      <c r="B4952" s="447"/>
      <c r="C4952" s="447"/>
      <c r="D4952" s="447"/>
      <c r="E4952" s="439" t="s">
        <v>375</v>
      </c>
      <c r="F4952" s="439" t="s">
        <v>9</v>
      </c>
      <c r="G4952" s="439" t="s">
        <v>131</v>
      </c>
      <c r="H4952" s="439" t="s">
        <v>424</v>
      </c>
    </row>
    <row r="4953" spans="1:8" s="422" customFormat="1" ht="11.25">
      <c r="A4953" s="448"/>
      <c r="B4953" s="449"/>
      <c r="C4953" s="449"/>
      <c r="D4953" s="449"/>
      <c r="E4953" s="438">
        <v>0</v>
      </c>
      <c r="F4953" s="438">
        <v>0</v>
      </c>
      <c r="G4953" s="438">
        <v>0</v>
      </c>
      <c r="H4953" s="438">
        <v>0</v>
      </c>
    </row>
    <row r="4954" spans="1:8" s="422" customFormat="1" ht="11.25">
      <c r="A4954" s="448"/>
      <c r="B4954" s="449"/>
      <c r="C4954" s="449"/>
      <c r="D4954" s="449"/>
      <c r="E4954" s="438">
        <v>0</v>
      </c>
      <c r="F4954" s="438">
        <v>0</v>
      </c>
      <c r="G4954" s="438">
        <v>0</v>
      </c>
      <c r="H4954" s="438">
        <v>0</v>
      </c>
    </row>
    <row r="4955" spans="1:8" s="422" customFormat="1" ht="11.25">
      <c r="A4955" s="448"/>
      <c r="B4955" s="449"/>
      <c r="C4955" s="449"/>
      <c r="D4955" s="449"/>
      <c r="E4955" s="438">
        <v>0</v>
      </c>
      <c r="F4955" s="438">
        <v>0</v>
      </c>
      <c r="G4955" s="438">
        <v>0</v>
      </c>
      <c r="H4955" s="438">
        <v>0</v>
      </c>
    </row>
    <row r="4956" spans="1:8" s="421" customFormat="1" ht="11.25">
      <c r="A4956" s="421" t="s">
        <v>391</v>
      </c>
      <c r="D4956" s="421" t="s">
        <v>472</v>
      </c>
    </row>
    <row r="4957" spans="1:8" s="422" customFormat="1" ht="11.25"/>
    <row r="4958" spans="1:8" s="421" customFormat="1" ht="11.25" customHeight="1">
      <c r="A4958" s="423" t="s">
        <v>392</v>
      </c>
      <c r="D4958" s="421" t="s">
        <v>150</v>
      </c>
    </row>
    <row r="4959" spans="1:8" s="421" customFormat="1" ht="7.5" customHeight="1">
      <c r="A4959" s="423"/>
    </row>
    <row r="4960" spans="1:8" s="421" customFormat="1" ht="11.25">
      <c r="A4960" s="424" t="s">
        <v>393</v>
      </c>
      <c r="D4960" s="583" t="s">
        <v>156</v>
      </c>
      <c r="E4960" s="583"/>
      <c r="F4960" s="583"/>
      <c r="G4960" s="583"/>
      <c r="H4960" s="583"/>
    </row>
    <row r="4961" spans="1:8" s="421" customFormat="1" ht="7.5" customHeight="1"/>
    <row r="4962" spans="1:8" s="422" customFormat="1" ht="11.25">
      <c r="A4962" s="421" t="s">
        <v>170</v>
      </c>
      <c r="B4962" s="421"/>
      <c r="C4962" s="421"/>
      <c r="D4962" s="422" t="s">
        <v>282</v>
      </c>
      <c r="E4962" s="422" t="s">
        <v>283</v>
      </c>
    </row>
    <row r="4963" spans="1:8" s="422" customFormat="1" ht="7.5" customHeight="1"/>
    <row r="4964" spans="1:8" s="427" customFormat="1" ht="11.25">
      <c r="A4964" s="425" t="s">
        <v>587</v>
      </c>
      <c r="B4964" s="425"/>
      <c r="C4964" s="425"/>
      <c r="D4964" s="426" t="s">
        <v>1166</v>
      </c>
      <c r="E4964" s="584" t="s">
        <v>1167</v>
      </c>
      <c r="F4964" s="584"/>
      <c r="G4964" s="584"/>
      <c r="H4964" s="584"/>
    </row>
    <row r="4965" spans="1:8" s="427" customFormat="1" ht="11.25" customHeight="1">
      <c r="A4965" s="425"/>
      <c r="B4965" s="425"/>
      <c r="C4965" s="425"/>
      <c r="D4965" s="426" t="s">
        <v>1168</v>
      </c>
      <c r="E4965" s="584" t="s">
        <v>1169</v>
      </c>
      <c r="F4965" s="584"/>
      <c r="G4965" s="584"/>
      <c r="H4965" s="584"/>
    </row>
    <row r="4966" spans="1:8" s="427" customFormat="1" ht="11.25" customHeight="1">
      <c r="A4966" s="425"/>
      <c r="B4966" s="425"/>
      <c r="C4966" s="425"/>
      <c r="D4966" s="426" t="s">
        <v>1170</v>
      </c>
      <c r="E4966" s="584" t="s">
        <v>1171</v>
      </c>
      <c r="F4966" s="584"/>
      <c r="G4966" s="584"/>
      <c r="H4966" s="584"/>
    </row>
    <row r="4967" spans="1:8" s="427" customFormat="1" ht="11.25" customHeight="1">
      <c r="A4967" s="425"/>
      <c r="B4967" s="425"/>
      <c r="C4967" s="425"/>
      <c r="D4967" s="426"/>
      <c r="E4967" s="453"/>
      <c r="F4967" s="453"/>
      <c r="G4967" s="453"/>
      <c r="H4967" s="453"/>
    </row>
    <row r="4968" spans="1:8" s="427" customFormat="1" ht="11.25">
      <c r="A4968" s="425"/>
      <c r="B4968" s="425"/>
      <c r="C4968" s="425"/>
      <c r="D4968" s="426"/>
    </row>
    <row r="4969" spans="1:8" s="422" customFormat="1" ht="11.25">
      <c r="A4969" s="421" t="s">
        <v>589</v>
      </c>
      <c r="B4969" s="421"/>
      <c r="C4969" s="421"/>
    </row>
    <row r="4970" spans="1:8" s="429" customFormat="1" ht="11.25">
      <c r="A4970" s="428"/>
      <c r="B4970" s="428"/>
      <c r="C4970" s="428"/>
    </row>
    <row r="4971" spans="1:8" s="429" customFormat="1" ht="11.25">
      <c r="A4971" s="428"/>
      <c r="B4971" s="428"/>
      <c r="C4971" s="428"/>
    </row>
    <row r="4972" spans="1:8" s="429" customFormat="1" ht="11.25" hidden="1">
      <c r="A4972" s="428"/>
      <c r="B4972" s="428"/>
      <c r="C4972" s="428"/>
    </row>
    <row r="4973" spans="1:8" s="429" customFormat="1" ht="11.25">
      <c r="A4973" s="428"/>
      <c r="B4973" s="428"/>
      <c r="C4973" s="428"/>
    </row>
    <row r="4974" spans="1:8" s="429" customFormat="1" ht="3" hidden="1" customHeight="1">
      <c r="A4974" s="428"/>
      <c r="B4974" s="428"/>
      <c r="C4974" s="428"/>
    </row>
    <row r="4975" spans="1:8" s="422" customFormat="1" ht="5.25" hidden="1" customHeight="1">
      <c r="A4975" s="430"/>
      <c r="B4975" s="430"/>
      <c r="C4975" s="430"/>
      <c r="D4975" s="430"/>
      <c r="E4975" s="430"/>
      <c r="F4975" s="430"/>
      <c r="G4975" s="430"/>
      <c r="H4975" s="430"/>
    </row>
    <row r="4976" spans="1:8" s="422" customFormat="1" ht="11.25" customHeight="1">
      <c r="A4976" s="430"/>
      <c r="B4976" s="430"/>
      <c r="C4976" s="430"/>
      <c r="D4976" s="430"/>
      <c r="E4976" s="430"/>
      <c r="F4976" s="430"/>
      <c r="G4976" s="430"/>
      <c r="H4976" s="430"/>
    </row>
    <row r="4977" spans="1:8" s="422" customFormat="1" ht="22.5" customHeight="1">
      <c r="A4977" s="585" t="s">
        <v>590</v>
      </c>
      <c r="B4977" s="585"/>
      <c r="C4977" s="585"/>
      <c r="D4977" s="586"/>
      <c r="E4977" s="586"/>
      <c r="F4977" s="586"/>
      <c r="G4977" s="586"/>
      <c r="H4977" s="586"/>
    </row>
    <row r="4978" spans="1:8" s="429" customFormat="1" ht="11.25">
      <c r="A4978" s="431"/>
      <c r="B4978" s="431"/>
      <c r="C4978" s="431"/>
      <c r="D4978" s="432"/>
      <c r="E4978" s="432"/>
      <c r="F4978" s="432"/>
      <c r="G4978" s="432"/>
      <c r="H4978" s="432"/>
    </row>
    <row r="4979" spans="1:8" s="429" customFormat="1" ht="11.25">
      <c r="A4979" s="431"/>
      <c r="B4979" s="431"/>
      <c r="C4979" s="431"/>
      <c r="D4979" s="432"/>
      <c r="E4979" s="432"/>
      <c r="F4979" s="432"/>
      <c r="G4979" s="432"/>
      <c r="H4979" s="432"/>
    </row>
    <row r="4980" spans="1:8" s="429" customFormat="1" ht="11.25">
      <c r="A4980" s="431"/>
      <c r="B4980" s="431"/>
      <c r="C4980" s="431"/>
      <c r="D4980" s="432"/>
      <c r="E4980" s="432"/>
      <c r="F4980" s="432"/>
      <c r="G4980" s="432"/>
      <c r="H4980" s="432"/>
    </row>
    <row r="4981" spans="1:8" s="429" customFormat="1" ht="11.25">
      <c r="A4981" s="431"/>
      <c r="B4981" s="431"/>
      <c r="C4981" s="431"/>
      <c r="D4981" s="432"/>
      <c r="E4981" s="432"/>
      <c r="F4981" s="432"/>
      <c r="G4981" s="432"/>
      <c r="H4981" s="432"/>
    </row>
    <row r="4982" spans="1:8" s="429" customFormat="1" ht="11.25">
      <c r="A4982" s="431"/>
      <c r="B4982" s="431"/>
      <c r="C4982" s="431"/>
      <c r="D4982" s="432"/>
      <c r="E4982" s="432"/>
      <c r="F4982" s="432"/>
      <c r="G4982" s="432"/>
      <c r="H4982" s="432"/>
    </row>
    <row r="4983" spans="1:8" s="429" customFormat="1" ht="11.25">
      <c r="A4983" s="431"/>
      <c r="B4983" s="431"/>
      <c r="C4983" s="431"/>
      <c r="D4983" s="432"/>
      <c r="E4983" s="432"/>
      <c r="F4983" s="432"/>
      <c r="G4983" s="432"/>
      <c r="H4983" s="432"/>
    </row>
    <row r="4984" spans="1:8" s="429" customFormat="1" ht="11.25">
      <c r="A4984" s="431"/>
      <c r="B4984" s="431"/>
      <c r="C4984" s="431"/>
      <c r="D4984" s="432"/>
      <c r="E4984" s="432"/>
      <c r="F4984" s="432"/>
      <c r="G4984" s="432"/>
      <c r="H4984" s="432"/>
    </row>
    <row r="4985" spans="1:8" s="429" customFormat="1" ht="11.25">
      <c r="A4985" s="431"/>
      <c r="B4985" s="431"/>
      <c r="C4985" s="431"/>
      <c r="D4985" s="432"/>
      <c r="E4985" s="432"/>
      <c r="F4985" s="432"/>
      <c r="G4985" s="432"/>
      <c r="H4985" s="432"/>
    </row>
    <row r="4986" spans="1:8" s="429" customFormat="1" ht="11.25">
      <c r="A4986" s="431"/>
      <c r="B4986" s="431"/>
      <c r="C4986" s="431"/>
      <c r="D4986" s="432"/>
      <c r="E4986" s="432"/>
      <c r="F4986" s="432"/>
      <c r="G4986" s="432"/>
      <c r="H4986" s="432"/>
    </row>
    <row r="4987" spans="1:8" s="429" customFormat="1" ht="11.25">
      <c r="A4987" s="431"/>
      <c r="B4987" s="431"/>
      <c r="C4987" s="431"/>
      <c r="D4987" s="432"/>
      <c r="E4987" s="432"/>
      <c r="F4987" s="432"/>
      <c r="G4987" s="432"/>
      <c r="H4987" s="432"/>
    </row>
    <row r="4988" spans="1:8" s="429" customFormat="1" ht="11.25">
      <c r="A4988" s="431"/>
      <c r="B4988" s="431"/>
      <c r="C4988" s="431"/>
      <c r="D4988" s="432"/>
      <c r="E4988" s="432"/>
      <c r="F4988" s="432"/>
      <c r="G4988" s="432"/>
      <c r="H4988" s="432"/>
    </row>
    <row r="4989" spans="1:8" s="429" customFormat="1" ht="11.25">
      <c r="A4989" s="431"/>
      <c r="B4989" s="431"/>
      <c r="C4989" s="431"/>
      <c r="D4989" s="432"/>
      <c r="E4989" s="432"/>
      <c r="F4989" s="432"/>
      <c r="G4989" s="432"/>
      <c r="H4989" s="432"/>
    </row>
    <row r="4990" spans="1:8" s="429" customFormat="1" ht="11.25">
      <c r="A4990" s="431"/>
      <c r="B4990" s="431"/>
      <c r="C4990" s="431"/>
      <c r="D4990" s="432"/>
      <c r="E4990" s="432"/>
      <c r="F4990" s="432"/>
      <c r="G4990" s="432"/>
      <c r="H4990" s="432"/>
    </row>
    <row r="4991" spans="1:8" s="429" customFormat="1" ht="11.25">
      <c r="A4991" s="431"/>
      <c r="B4991" s="431"/>
      <c r="C4991" s="431"/>
      <c r="D4991" s="432"/>
      <c r="E4991" s="432"/>
      <c r="F4991" s="432"/>
      <c r="G4991" s="432"/>
      <c r="H4991" s="432"/>
    </row>
    <row r="4992" spans="1:8" s="429" customFormat="1" ht="11.25">
      <c r="A4992" s="431"/>
      <c r="B4992" s="431"/>
      <c r="C4992" s="431"/>
      <c r="D4992" s="432"/>
      <c r="E4992" s="432"/>
      <c r="F4992" s="432"/>
      <c r="G4992" s="432"/>
      <c r="H4992" s="432"/>
    </row>
    <row r="4993" spans="1:8" s="429" customFormat="1" ht="11.25">
      <c r="A4993" s="431"/>
      <c r="B4993" s="431"/>
      <c r="C4993" s="431"/>
      <c r="D4993" s="432"/>
      <c r="E4993" s="432"/>
      <c r="F4993" s="432"/>
      <c r="G4993" s="432"/>
      <c r="H4993" s="432"/>
    </row>
    <row r="4994" spans="1:8" s="422" customFormat="1" ht="11.25" hidden="1">
      <c r="A4994" s="421"/>
      <c r="B4994" s="421"/>
      <c r="C4994" s="421"/>
    </row>
    <row r="4995" spans="1:8" s="422" customFormat="1" ht="9" customHeight="1">
      <c r="A4995" s="421"/>
      <c r="B4995" s="421"/>
      <c r="C4995" s="421"/>
    </row>
    <row r="4996" spans="1:8" s="429" customFormat="1" ht="11.25">
      <c r="A4996" s="428" t="s">
        <v>591</v>
      </c>
      <c r="B4996" s="428"/>
      <c r="C4996" s="428"/>
    </row>
    <row r="4997" spans="1:8" s="429" customFormat="1" ht="11.25">
      <c r="A4997" s="428"/>
      <c r="B4997" s="428"/>
      <c r="C4997" s="428"/>
    </row>
    <row r="4998" spans="1:8" s="429" customFormat="1" ht="11.25">
      <c r="A4998" s="428"/>
      <c r="B4998" s="428"/>
      <c r="C4998" s="428"/>
    </row>
    <row r="4999" spans="1:8" s="429" customFormat="1" ht="11.25">
      <c r="A4999" s="428"/>
      <c r="B4999" s="428"/>
      <c r="C4999" s="428"/>
    </row>
    <row r="5000" spans="1:8" s="429" customFormat="1" ht="11.25">
      <c r="A5000" s="428"/>
      <c r="B5000" s="428"/>
      <c r="C5000" s="428"/>
    </row>
    <row r="5001" spans="1:8" s="429" customFormat="1" ht="11.25">
      <c r="A5001" s="428"/>
      <c r="B5001" s="428"/>
      <c r="C5001" s="428"/>
    </row>
    <row r="5002" spans="1:8" s="429" customFormat="1" ht="11.25">
      <c r="A5002" s="428"/>
      <c r="B5002" s="428"/>
      <c r="C5002" s="428"/>
    </row>
    <row r="5003" spans="1:8" s="429" customFormat="1" ht="11.25">
      <c r="A5003" s="428"/>
      <c r="B5003" s="428"/>
      <c r="C5003" s="428"/>
    </row>
    <row r="5004" spans="1:8" s="429" customFormat="1" ht="11.25">
      <c r="A5004" s="428"/>
      <c r="B5004" s="428"/>
      <c r="C5004" s="428"/>
    </row>
    <row r="5005" spans="1:8" s="429" customFormat="1" ht="11.25">
      <c r="A5005" s="428"/>
      <c r="B5005" s="428"/>
      <c r="C5005" s="428"/>
    </row>
    <row r="5006" spans="1:8" s="429" customFormat="1" ht="11.25">
      <c r="A5006" s="428"/>
      <c r="B5006" s="428"/>
      <c r="C5006" s="428"/>
    </row>
    <row r="5007" spans="1:8" s="429" customFormat="1" ht="11.25">
      <c r="A5007" s="428"/>
      <c r="B5007" s="428"/>
      <c r="C5007" s="428"/>
    </row>
    <row r="5008" spans="1:8" s="429" customFormat="1" ht="11.25">
      <c r="A5008" s="428"/>
      <c r="B5008" s="428"/>
      <c r="C5008" s="428"/>
    </row>
    <row r="5009" spans="1:8" s="429" customFormat="1" ht="11.25">
      <c r="A5009" s="428"/>
      <c r="B5009" s="428"/>
      <c r="C5009" s="428"/>
    </row>
    <row r="5010" spans="1:8" s="429" customFormat="1" ht="11.25">
      <c r="A5010" s="428"/>
      <c r="B5010" s="428"/>
      <c r="C5010" s="428"/>
    </row>
    <row r="5011" spans="1:8" s="429" customFormat="1" ht="11.25" customHeight="1">
      <c r="A5011" s="428"/>
      <c r="B5011" s="428"/>
      <c r="C5011" s="428"/>
    </row>
    <row r="5012" spans="1:8" s="422" customFormat="1" ht="9" hidden="1" customHeight="1"/>
    <row r="5013" spans="1:8" s="422" customFormat="1" ht="11.25">
      <c r="A5013" s="433" t="s">
        <v>592</v>
      </c>
      <c r="B5013" s="434"/>
      <c r="C5013" s="434"/>
      <c r="D5013" s="434"/>
      <c r="E5013" s="434"/>
      <c r="F5013" s="434"/>
      <c r="G5013" s="434"/>
      <c r="H5013" s="434"/>
    </row>
    <row r="5014" spans="1:8" s="429" customFormat="1" ht="11.25">
      <c r="A5014" s="435"/>
      <c r="B5014" s="436"/>
      <c r="C5014" s="436"/>
      <c r="D5014" s="436"/>
      <c r="E5014" s="436"/>
      <c r="F5014" s="436"/>
      <c r="G5014" s="436"/>
      <c r="H5014" s="436"/>
    </row>
    <row r="5015" spans="1:8" s="429" customFormat="1" ht="11.25">
      <c r="A5015" s="435"/>
      <c r="B5015" s="436"/>
      <c r="C5015" s="436"/>
      <c r="D5015" s="436"/>
      <c r="E5015" s="436"/>
      <c r="F5015" s="436"/>
      <c r="G5015" s="436"/>
      <c r="H5015" s="436"/>
    </row>
    <row r="5016" spans="1:8" s="429" customFormat="1" ht="11.25">
      <c r="A5016" s="435"/>
      <c r="B5016" s="436"/>
      <c r="C5016" s="436"/>
      <c r="D5016" s="436"/>
      <c r="E5016" s="436"/>
      <c r="F5016" s="436"/>
      <c r="G5016" s="436"/>
      <c r="H5016" s="436"/>
    </row>
    <row r="5017" spans="1:8" s="422" customFormat="1" ht="11.25" customHeight="1">
      <c r="A5017" s="437"/>
      <c r="B5017" s="437"/>
      <c r="C5017" s="437"/>
      <c r="D5017" s="437"/>
      <c r="E5017" s="437"/>
      <c r="F5017" s="437"/>
      <c r="G5017" s="437"/>
      <c r="H5017" s="437"/>
    </row>
    <row r="5018" spans="1:8" s="422" customFormat="1" ht="11.25">
      <c r="A5018" s="421" t="s">
        <v>593</v>
      </c>
      <c r="B5018" s="421"/>
      <c r="C5018" s="421"/>
    </row>
    <row r="5019" spans="1:8" s="422" customFormat="1" ht="11.25">
      <c r="A5019" s="438"/>
      <c r="B5019" s="439" t="s">
        <v>132</v>
      </c>
      <c r="C5019" s="439" t="s">
        <v>473</v>
      </c>
      <c r="D5019" s="439" t="s">
        <v>474</v>
      </c>
      <c r="E5019" s="439" t="s">
        <v>375</v>
      </c>
      <c r="F5019" s="439" t="s">
        <v>9</v>
      </c>
      <c r="G5019" s="439" t="s">
        <v>131</v>
      </c>
      <c r="H5019" s="439" t="s">
        <v>424</v>
      </c>
    </row>
    <row r="5020" spans="1:8" s="422" customFormat="1" ht="11.25">
      <c r="A5020" s="439" t="s">
        <v>394</v>
      </c>
      <c r="B5020" s="438">
        <v>2088976.64</v>
      </c>
      <c r="C5020" s="438">
        <v>2051576.95</v>
      </c>
      <c r="D5020" s="438">
        <v>1946542.4</v>
      </c>
      <c r="E5020" s="438">
        <v>2124070.6864</v>
      </c>
      <c r="F5020" s="438">
        <v>2275770.6864</v>
      </c>
      <c r="G5020" s="438">
        <v>2323035.8873600001</v>
      </c>
      <c r="H5020" s="438">
        <v>2330952.0305599999</v>
      </c>
    </row>
    <row r="5021" spans="1:8" s="422" customFormat="1" ht="11.25">
      <c r="A5021" s="439" t="s">
        <v>395</v>
      </c>
      <c r="B5021" s="438">
        <v>-818227.29</v>
      </c>
      <c r="C5021" s="438">
        <v>-815417.39</v>
      </c>
      <c r="D5021" s="438">
        <v>-739423.4</v>
      </c>
      <c r="E5021" s="438">
        <v>-386475.4</v>
      </c>
      <c r="F5021" s="438">
        <v>-531175.4</v>
      </c>
      <c r="G5021" s="438">
        <v>-556175.4</v>
      </c>
      <c r="H5021" s="438">
        <v>-556175.4</v>
      </c>
    </row>
    <row r="5022" spans="1:8" s="422" customFormat="1" ht="11.25">
      <c r="A5022" s="439" t="s">
        <v>396</v>
      </c>
      <c r="B5022" s="438">
        <v>1270749.3499999999</v>
      </c>
      <c r="C5022" s="438">
        <v>1236159.56</v>
      </c>
      <c r="D5022" s="438">
        <v>1207119</v>
      </c>
      <c r="E5022" s="438">
        <v>1737595.2864000001</v>
      </c>
      <c r="F5022" s="438">
        <v>1744595.2864000001</v>
      </c>
      <c r="G5022" s="438">
        <v>1766860.4873600001</v>
      </c>
      <c r="H5022" s="438">
        <v>1774776.63056</v>
      </c>
    </row>
    <row r="5023" spans="1:8" s="442" customFormat="1" ht="11.25">
      <c r="A5023" s="440" t="s">
        <v>397</v>
      </c>
      <c r="B5023" s="441">
        <v>0.39168809948971001</v>
      </c>
      <c r="C5023" s="441">
        <v>0.39745883770043333</v>
      </c>
      <c r="D5023" s="441">
        <v>0.37986503659000703</v>
      </c>
      <c r="E5023" s="441">
        <v>0.1819503477330226</v>
      </c>
      <c r="F5023" s="441">
        <v>0.23340462339826368</v>
      </c>
      <c r="G5023" s="441">
        <v>0.23941748081733777</v>
      </c>
      <c r="H5023" s="441">
        <v>0.23860439541794501</v>
      </c>
    </row>
    <row r="5024" spans="1:8" s="422" customFormat="1" ht="9" customHeight="1"/>
    <row r="5025" spans="1:8" s="422" customFormat="1" ht="11.25">
      <c r="A5025" s="443" t="s">
        <v>594</v>
      </c>
      <c r="B5025" s="443"/>
      <c r="C5025" s="444"/>
    </row>
    <row r="5026" spans="1:8" s="422" customFormat="1" ht="11.25">
      <c r="A5026" s="445" t="s">
        <v>595</v>
      </c>
      <c r="B5026" s="446"/>
      <c r="C5026" s="447"/>
      <c r="D5026" s="439" t="s">
        <v>474</v>
      </c>
      <c r="E5026" s="439" t="s">
        <v>375</v>
      </c>
      <c r="F5026" s="439" t="s">
        <v>9</v>
      </c>
      <c r="G5026" s="439" t="s">
        <v>131</v>
      </c>
      <c r="H5026" s="439" t="s">
        <v>424</v>
      </c>
    </row>
    <row r="5027" spans="1:8" s="422" customFormat="1" ht="11.25">
      <c r="A5027" s="448" t="s">
        <v>1172</v>
      </c>
      <c r="B5027" s="449"/>
      <c r="C5027" s="449"/>
      <c r="D5027" s="457">
        <v>1</v>
      </c>
      <c r="E5027" s="457">
        <v>1</v>
      </c>
      <c r="F5027" s="457">
        <v>1</v>
      </c>
      <c r="G5027" s="457">
        <v>1</v>
      </c>
      <c r="H5027" s="457">
        <v>1</v>
      </c>
    </row>
    <row r="5028" spans="1:8" s="422" customFormat="1" ht="11.25">
      <c r="A5028" s="448" t="s">
        <v>1173</v>
      </c>
      <c r="B5028" s="449"/>
      <c r="C5028" s="449"/>
      <c r="D5028" s="502">
        <v>30</v>
      </c>
      <c r="E5028" s="502">
        <v>30</v>
      </c>
      <c r="F5028" s="502">
        <v>30</v>
      </c>
      <c r="G5028" s="502">
        <v>30</v>
      </c>
      <c r="H5028" s="502">
        <v>30</v>
      </c>
    </row>
    <row r="5029" spans="1:8" s="422" customFormat="1" ht="11.25">
      <c r="A5029" s="448" t="s">
        <v>1174</v>
      </c>
      <c r="B5029" s="449"/>
      <c r="C5029" s="449"/>
      <c r="D5029" s="502">
        <v>3</v>
      </c>
      <c r="E5029" s="502">
        <v>3</v>
      </c>
      <c r="F5029" s="502">
        <v>3</v>
      </c>
      <c r="G5029" s="502">
        <v>3</v>
      </c>
      <c r="H5029" s="502">
        <v>3</v>
      </c>
    </row>
    <row r="5030" spans="1:8" s="422" customFormat="1" ht="11.25" hidden="1">
      <c r="A5030" s="448"/>
      <c r="B5030" s="449"/>
      <c r="C5030" s="449"/>
      <c r="D5030" s="502"/>
      <c r="E5030" s="502"/>
      <c r="F5030" s="502"/>
      <c r="G5030" s="502"/>
      <c r="H5030" s="502"/>
    </row>
    <row r="5031" spans="1:8" s="422" customFormat="1" ht="11.25" customHeight="1"/>
    <row r="5032" spans="1:8" s="422" customFormat="1" ht="6.75" hidden="1" customHeight="1"/>
    <row r="5033" spans="1:8" s="422" customFormat="1" ht="11.25">
      <c r="A5033" s="421" t="s">
        <v>423</v>
      </c>
      <c r="B5033" s="421"/>
      <c r="C5033" s="421"/>
    </row>
    <row r="5034" spans="1:8" s="422" customFormat="1" ht="11.25">
      <c r="A5034" s="450"/>
      <c r="B5034" s="439" t="s">
        <v>132</v>
      </c>
      <c r="C5034" s="439" t="s">
        <v>473</v>
      </c>
      <c r="D5034" s="439" t="s">
        <v>474</v>
      </c>
      <c r="E5034" s="439" t="s">
        <v>375</v>
      </c>
      <c r="F5034" s="439" t="s">
        <v>9</v>
      </c>
      <c r="G5034" s="439" t="s">
        <v>131</v>
      </c>
      <c r="H5034" s="439" t="s">
        <v>424</v>
      </c>
    </row>
    <row r="5035" spans="1:8" s="422" customFormat="1" ht="11.25">
      <c r="A5035" s="451" t="s">
        <v>398</v>
      </c>
      <c r="B5035" s="438">
        <v>0</v>
      </c>
      <c r="C5035" s="438">
        <v>0</v>
      </c>
      <c r="D5035" s="438">
        <v>0</v>
      </c>
      <c r="E5035" s="438">
        <v>0</v>
      </c>
      <c r="F5035" s="438">
        <v>0</v>
      </c>
      <c r="G5035" s="438">
        <v>0</v>
      </c>
      <c r="H5035" s="438">
        <v>0</v>
      </c>
    </row>
    <row r="5036" spans="1:8" s="422" customFormat="1" ht="11.25">
      <c r="A5036" s="451" t="s">
        <v>399</v>
      </c>
      <c r="B5036" s="438">
        <v>0</v>
      </c>
      <c r="C5036" s="438">
        <v>0</v>
      </c>
      <c r="D5036" s="438">
        <v>0</v>
      </c>
      <c r="E5036" s="438">
        <v>0</v>
      </c>
      <c r="F5036" s="438">
        <v>0</v>
      </c>
      <c r="G5036" s="438">
        <v>0</v>
      </c>
      <c r="H5036" s="438">
        <v>0</v>
      </c>
    </row>
    <row r="5037" spans="1:8" s="422" customFormat="1" ht="11.25">
      <c r="A5037" s="451" t="s">
        <v>400</v>
      </c>
      <c r="B5037" s="438">
        <v>0</v>
      </c>
      <c r="C5037" s="438">
        <v>0</v>
      </c>
      <c r="D5037" s="438">
        <v>0</v>
      </c>
      <c r="E5037" s="438">
        <v>0</v>
      </c>
      <c r="F5037" s="438">
        <v>0</v>
      </c>
      <c r="G5037" s="438">
        <v>0</v>
      </c>
      <c r="H5037" s="438">
        <v>0</v>
      </c>
    </row>
    <row r="5038" spans="1:8" s="422" customFormat="1" ht="11.25">
      <c r="A5038" s="451" t="s">
        <v>401</v>
      </c>
      <c r="B5038" s="438">
        <v>0</v>
      </c>
      <c r="C5038" s="438">
        <v>0</v>
      </c>
      <c r="D5038" s="438">
        <v>0</v>
      </c>
      <c r="E5038" s="438">
        <v>0</v>
      </c>
      <c r="F5038" s="438">
        <v>0</v>
      </c>
      <c r="G5038" s="438">
        <v>0</v>
      </c>
      <c r="H5038" s="438">
        <v>0</v>
      </c>
    </row>
    <row r="5039" spans="1:8" s="422" customFormat="1" ht="9" customHeight="1"/>
    <row r="5040" spans="1:8" s="422" customFormat="1" ht="11.25">
      <c r="A5040" s="421" t="s">
        <v>597</v>
      </c>
      <c r="B5040" s="421"/>
      <c r="C5040" s="421"/>
    </row>
    <row r="5041" spans="1:8" s="429" customFormat="1" ht="11.25" customHeight="1">
      <c r="A5041" s="428"/>
      <c r="B5041" s="428"/>
      <c r="C5041" s="428"/>
    </row>
    <row r="5042" spans="1:8" s="429" customFormat="1" ht="11.25" customHeight="1">
      <c r="A5042" s="428"/>
      <c r="B5042" s="428"/>
      <c r="C5042" s="428"/>
    </row>
    <row r="5043" spans="1:8" s="422" customFormat="1" ht="11.25" customHeight="1"/>
    <row r="5044" spans="1:8" s="422" customFormat="1" ht="11.25">
      <c r="A5044" s="421" t="s">
        <v>598</v>
      </c>
      <c r="B5044" s="421"/>
      <c r="C5044" s="421"/>
    </row>
    <row r="5045" spans="1:8" s="422" customFormat="1" ht="11.25">
      <c r="A5045" s="452" t="s">
        <v>599</v>
      </c>
      <c r="B5045" s="447"/>
      <c r="C5045" s="447"/>
      <c r="D5045" s="447"/>
      <c r="E5045" s="439" t="s">
        <v>375</v>
      </c>
      <c r="F5045" s="439" t="s">
        <v>9</v>
      </c>
      <c r="G5045" s="439" t="s">
        <v>131</v>
      </c>
      <c r="H5045" s="439" t="s">
        <v>424</v>
      </c>
    </row>
    <row r="5046" spans="1:8" s="422" customFormat="1" ht="11.25">
      <c r="A5046" s="448" t="s">
        <v>1175</v>
      </c>
      <c r="B5046" s="449"/>
      <c r="C5046" s="449"/>
      <c r="D5046" s="449"/>
      <c r="E5046" s="438">
        <v>510000</v>
      </c>
      <c r="F5046" s="438">
        <v>517000</v>
      </c>
      <c r="G5046" s="438">
        <v>527040</v>
      </c>
      <c r="H5046" s="438">
        <v>530589.99999999988</v>
      </c>
    </row>
    <row r="5047" spans="1:8" s="422" customFormat="1" ht="11.25">
      <c r="A5047" s="448"/>
      <c r="B5047" s="449"/>
      <c r="C5047" s="449"/>
      <c r="D5047" s="449"/>
      <c r="E5047" s="438">
        <v>0</v>
      </c>
      <c r="F5047" s="438">
        <v>0</v>
      </c>
      <c r="G5047" s="438">
        <v>0</v>
      </c>
      <c r="H5047" s="438">
        <v>0</v>
      </c>
    </row>
    <row r="5048" spans="1:8" s="422" customFormat="1" ht="11.25">
      <c r="A5048" s="448"/>
      <c r="B5048" s="449"/>
      <c r="C5048" s="449"/>
      <c r="D5048" s="449"/>
      <c r="E5048" s="438">
        <v>0</v>
      </c>
      <c r="F5048" s="438">
        <v>0</v>
      </c>
      <c r="G5048" s="438">
        <v>0</v>
      </c>
      <c r="H5048" s="438">
        <v>0</v>
      </c>
    </row>
    <row r="5049" spans="1:8" s="421" customFormat="1" ht="11.25">
      <c r="A5049" s="421" t="s">
        <v>391</v>
      </c>
      <c r="D5049" s="421" t="s">
        <v>472</v>
      </c>
    </row>
    <row r="5050" spans="1:8" s="422" customFormat="1" ht="11.25"/>
    <row r="5051" spans="1:8" s="421" customFormat="1" ht="11.25" customHeight="1">
      <c r="A5051" s="423" t="s">
        <v>392</v>
      </c>
      <c r="D5051" s="421" t="s">
        <v>150</v>
      </c>
    </row>
    <row r="5052" spans="1:8" s="421" customFormat="1" ht="7.5" customHeight="1">
      <c r="A5052" s="423"/>
    </row>
    <row r="5053" spans="1:8" s="421" customFormat="1" ht="11.25">
      <c r="A5053" s="424" t="s">
        <v>393</v>
      </c>
      <c r="D5053" s="583" t="s">
        <v>157</v>
      </c>
      <c r="E5053" s="583"/>
      <c r="F5053" s="583"/>
      <c r="G5053" s="583"/>
      <c r="H5053" s="583"/>
    </row>
    <row r="5054" spans="1:8" s="421" customFormat="1" ht="7.5" customHeight="1"/>
    <row r="5055" spans="1:8" s="422" customFormat="1" ht="11.25">
      <c r="A5055" s="421" t="s">
        <v>170</v>
      </c>
      <c r="B5055" s="421"/>
      <c r="C5055" s="421"/>
      <c r="D5055" s="422" t="s">
        <v>284</v>
      </c>
      <c r="E5055" s="422" t="s">
        <v>285</v>
      </c>
    </row>
    <row r="5056" spans="1:8" s="422" customFormat="1" ht="7.5" customHeight="1"/>
    <row r="5057" spans="1:8" s="427" customFormat="1" ht="11.25">
      <c r="A5057" s="425" t="s">
        <v>587</v>
      </c>
      <c r="B5057" s="425"/>
      <c r="C5057" s="425"/>
      <c r="D5057" s="426" t="s">
        <v>1176</v>
      </c>
      <c r="E5057" s="584" t="s">
        <v>1177</v>
      </c>
      <c r="F5057" s="584"/>
      <c r="G5057" s="584"/>
      <c r="H5057" s="584"/>
    </row>
    <row r="5058" spans="1:8" s="427" customFormat="1" ht="11.25">
      <c r="A5058" s="425"/>
      <c r="B5058" s="425"/>
      <c r="C5058" s="425"/>
      <c r="D5058" s="426" t="s">
        <v>1178</v>
      </c>
      <c r="E5058" s="584" t="s">
        <v>1179</v>
      </c>
      <c r="F5058" s="584"/>
      <c r="G5058" s="584"/>
      <c r="H5058" s="584"/>
    </row>
    <row r="5059" spans="1:8" s="427" customFormat="1" ht="11.25">
      <c r="A5059" s="425"/>
      <c r="B5059" s="425"/>
      <c r="C5059" s="425"/>
      <c r="D5059" s="426" t="s">
        <v>1180</v>
      </c>
      <c r="E5059" s="584" t="s">
        <v>1181</v>
      </c>
      <c r="F5059" s="584"/>
      <c r="G5059" s="584"/>
      <c r="H5059" s="584"/>
    </row>
    <row r="5060" spans="1:8" s="427" customFormat="1" ht="11.25">
      <c r="A5060" s="425"/>
      <c r="B5060" s="425"/>
      <c r="C5060" s="425"/>
      <c r="D5060" s="426"/>
      <c r="E5060" s="584"/>
      <c r="F5060" s="584"/>
      <c r="G5060" s="584"/>
      <c r="H5060" s="584"/>
    </row>
    <row r="5061" spans="1:8" s="427" customFormat="1" ht="11.25"/>
    <row r="5062" spans="1:8" s="422" customFormat="1" ht="11.25"/>
    <row r="5063" spans="1:8" s="422" customFormat="1" ht="11.25">
      <c r="A5063" s="421" t="s">
        <v>589</v>
      </c>
      <c r="B5063" s="421"/>
      <c r="C5063" s="421"/>
    </row>
    <row r="5064" spans="1:8" s="429" customFormat="1" ht="11.25">
      <c r="A5064" s="428"/>
      <c r="B5064" s="428"/>
      <c r="C5064" s="428"/>
    </row>
    <row r="5065" spans="1:8" s="429" customFormat="1" ht="11.25">
      <c r="A5065" s="428"/>
      <c r="B5065" s="428"/>
      <c r="C5065" s="428"/>
    </row>
    <row r="5066" spans="1:8" s="429" customFormat="1" ht="11.25">
      <c r="A5066" s="428"/>
      <c r="B5066" s="428"/>
      <c r="C5066" s="428"/>
    </row>
    <row r="5067" spans="1:8" s="429" customFormat="1" ht="10.15" customHeight="1">
      <c r="A5067" s="428"/>
      <c r="B5067" s="428"/>
      <c r="C5067" s="428"/>
    </row>
    <row r="5068" spans="1:8" s="429" customFormat="1" ht="10.15" customHeight="1">
      <c r="A5068" s="428"/>
      <c r="B5068" s="428"/>
      <c r="C5068" s="428"/>
    </row>
    <row r="5069" spans="1:8" s="422" customFormat="1" ht="10.15" customHeight="1">
      <c r="A5069" s="430"/>
      <c r="B5069" s="430"/>
      <c r="C5069" s="430"/>
      <c r="D5069" s="430"/>
      <c r="E5069" s="430"/>
      <c r="F5069" s="430"/>
      <c r="G5069" s="430"/>
      <c r="H5069" s="430"/>
    </row>
    <row r="5070" spans="1:8" s="422" customFormat="1" ht="22.5" customHeight="1">
      <c r="A5070" s="585" t="s">
        <v>590</v>
      </c>
      <c r="B5070" s="585"/>
      <c r="C5070" s="585"/>
      <c r="D5070" s="586"/>
      <c r="E5070" s="586"/>
      <c r="F5070" s="586"/>
      <c r="G5070" s="586"/>
      <c r="H5070" s="586"/>
    </row>
    <row r="5071" spans="1:8" s="429" customFormat="1" ht="11.25">
      <c r="A5071" s="431"/>
      <c r="B5071" s="431"/>
      <c r="C5071" s="431"/>
      <c r="D5071" s="432"/>
      <c r="E5071" s="432"/>
      <c r="F5071" s="432"/>
      <c r="G5071" s="432"/>
      <c r="H5071" s="432"/>
    </row>
    <row r="5072" spans="1:8" s="429" customFormat="1" ht="11.25">
      <c r="A5072" s="431"/>
      <c r="B5072" s="431"/>
      <c r="C5072" s="431"/>
      <c r="D5072" s="432"/>
      <c r="E5072" s="432"/>
      <c r="F5072" s="432"/>
      <c r="G5072" s="432"/>
      <c r="H5072" s="432"/>
    </row>
    <row r="5073" spans="1:8" s="429" customFormat="1" ht="11.25">
      <c r="A5073" s="431"/>
      <c r="B5073" s="431"/>
      <c r="C5073" s="431"/>
      <c r="D5073" s="432"/>
      <c r="E5073" s="432"/>
      <c r="F5073" s="432"/>
      <c r="G5073" s="432"/>
      <c r="H5073" s="432"/>
    </row>
    <row r="5074" spans="1:8" s="429" customFormat="1" ht="10.15" customHeight="1">
      <c r="A5074" s="431"/>
      <c r="B5074" s="431"/>
      <c r="C5074" s="431"/>
      <c r="D5074" s="432"/>
      <c r="E5074" s="432"/>
      <c r="F5074" s="432"/>
      <c r="G5074" s="432"/>
      <c r="H5074" s="432"/>
    </row>
    <row r="5075" spans="1:8" s="429" customFormat="1" ht="10.15" customHeight="1">
      <c r="A5075" s="431"/>
      <c r="B5075" s="431"/>
      <c r="C5075" s="431"/>
      <c r="D5075" s="432"/>
      <c r="E5075" s="432"/>
      <c r="F5075" s="432"/>
      <c r="G5075" s="432"/>
      <c r="H5075" s="432"/>
    </row>
    <row r="5076" spans="1:8" s="422" customFormat="1" ht="11.25">
      <c r="A5076" s="421" t="s">
        <v>591</v>
      </c>
      <c r="B5076" s="421"/>
      <c r="C5076" s="421"/>
    </row>
    <row r="5077" spans="1:8" s="429" customFormat="1" ht="11.25" hidden="1">
      <c r="A5077" s="428"/>
      <c r="B5077" s="428"/>
      <c r="C5077" s="428"/>
    </row>
    <row r="5078" spans="1:8" s="429" customFormat="1" ht="11.25">
      <c r="A5078" s="428"/>
      <c r="B5078" s="428"/>
      <c r="C5078" s="428"/>
    </row>
    <row r="5079" spans="1:8" s="429" customFormat="1" ht="11.25">
      <c r="A5079" s="428"/>
      <c r="B5079" s="428"/>
      <c r="C5079" s="428"/>
    </row>
    <row r="5080" spans="1:8" s="429" customFormat="1" ht="11.25">
      <c r="A5080" s="428"/>
      <c r="B5080" s="428"/>
      <c r="C5080" s="428"/>
    </row>
    <row r="5081" spans="1:8" s="429" customFormat="1" ht="11.25">
      <c r="A5081" s="428"/>
      <c r="B5081" s="428"/>
      <c r="C5081" s="428"/>
    </row>
    <row r="5082" spans="1:8" s="429" customFormat="1" ht="11.25">
      <c r="A5082" s="428"/>
      <c r="B5082" s="428"/>
      <c r="C5082" s="428"/>
    </row>
    <row r="5083" spans="1:8" s="429" customFormat="1" ht="11.25">
      <c r="A5083" s="428"/>
      <c r="B5083" s="428"/>
      <c r="C5083" s="428"/>
    </row>
    <row r="5084" spans="1:8" s="429" customFormat="1" ht="11.25">
      <c r="A5084" s="428"/>
      <c r="B5084" s="428"/>
      <c r="C5084" s="428"/>
    </row>
    <row r="5085" spans="1:8" s="429" customFormat="1" ht="11.25">
      <c r="A5085" s="428"/>
      <c r="B5085" s="428"/>
      <c r="C5085" s="428"/>
    </row>
    <row r="5086" spans="1:8" s="429" customFormat="1" ht="11.25">
      <c r="A5086" s="428"/>
      <c r="B5086" s="428"/>
      <c r="C5086" s="428"/>
    </row>
    <row r="5087" spans="1:8" s="429" customFormat="1" ht="11.25">
      <c r="A5087" s="428"/>
      <c r="B5087" s="428"/>
      <c r="C5087" s="428"/>
    </row>
    <row r="5088" spans="1:8" s="429" customFormat="1" ht="11.25">
      <c r="A5088" s="428"/>
      <c r="B5088" s="428"/>
      <c r="C5088" s="428"/>
    </row>
    <row r="5089" spans="1:8" s="429" customFormat="1" ht="11.25">
      <c r="A5089" s="428"/>
      <c r="B5089" s="428"/>
      <c r="C5089" s="428"/>
    </row>
    <row r="5090" spans="1:8" s="429" customFormat="1" ht="11.25">
      <c r="A5090" s="428"/>
      <c r="B5090" s="428"/>
      <c r="C5090" s="428"/>
    </row>
    <row r="5091" spans="1:8" s="429" customFormat="1" ht="11.25">
      <c r="A5091" s="428"/>
      <c r="B5091" s="428"/>
      <c r="C5091" s="428"/>
    </row>
    <row r="5092" spans="1:8" s="429" customFormat="1" ht="11.25">
      <c r="A5092" s="428"/>
      <c r="B5092" s="428"/>
      <c r="C5092" s="428"/>
    </row>
    <row r="5093" spans="1:8" s="429" customFormat="1" ht="11.25">
      <c r="A5093" s="428"/>
      <c r="B5093" s="428"/>
      <c r="C5093" s="428"/>
    </row>
    <row r="5094" spans="1:8" s="429" customFormat="1" ht="11.25">
      <c r="A5094" s="428"/>
      <c r="B5094" s="428"/>
      <c r="C5094" s="428"/>
    </row>
    <row r="5095" spans="1:8" s="429" customFormat="1" ht="11.25">
      <c r="A5095" s="428"/>
      <c r="B5095" s="428"/>
      <c r="C5095" s="428"/>
    </row>
    <row r="5096" spans="1:8" s="429" customFormat="1" ht="11.25">
      <c r="A5096" s="428"/>
      <c r="B5096" s="428"/>
      <c r="C5096" s="428"/>
    </row>
    <row r="5097" spans="1:8" s="429" customFormat="1" ht="11.25">
      <c r="A5097" s="428"/>
      <c r="B5097" s="428"/>
      <c r="C5097" s="428"/>
    </row>
    <row r="5098" spans="1:8" s="429" customFormat="1" ht="11.25">
      <c r="A5098" s="428"/>
      <c r="B5098" s="428"/>
      <c r="C5098" s="428"/>
    </row>
    <row r="5099" spans="1:8" s="422" customFormat="1" ht="19.899999999999999" hidden="1" customHeight="1"/>
    <row r="5100" spans="1:8" s="422" customFormat="1" ht="11.25" customHeight="1"/>
    <row r="5101" spans="1:8" s="422" customFormat="1" ht="11.25">
      <c r="A5101" s="433" t="s">
        <v>592</v>
      </c>
      <c r="B5101" s="434"/>
      <c r="C5101" s="434"/>
      <c r="D5101" s="434"/>
      <c r="E5101" s="434"/>
      <c r="F5101" s="434"/>
      <c r="G5101" s="434"/>
      <c r="H5101" s="434"/>
    </row>
    <row r="5102" spans="1:8" s="429" customFormat="1" ht="11.25">
      <c r="A5102" s="435"/>
      <c r="B5102" s="436"/>
      <c r="C5102" s="436"/>
      <c r="D5102" s="436"/>
      <c r="E5102" s="436"/>
      <c r="F5102" s="436"/>
      <c r="G5102" s="436"/>
      <c r="H5102" s="436"/>
    </row>
    <row r="5103" spans="1:8" s="429" customFormat="1" ht="11.25">
      <c r="A5103" s="435"/>
      <c r="B5103" s="436"/>
      <c r="C5103" s="436"/>
      <c r="D5103" s="436"/>
      <c r="E5103" s="436"/>
      <c r="F5103" s="436"/>
      <c r="G5103" s="436"/>
      <c r="H5103" s="436"/>
    </row>
    <row r="5104" spans="1:8" s="422" customFormat="1" ht="11.25" customHeight="1">
      <c r="A5104" s="437"/>
      <c r="B5104" s="437"/>
      <c r="C5104" s="437"/>
      <c r="D5104" s="437"/>
      <c r="E5104" s="437"/>
      <c r="F5104" s="437"/>
      <c r="G5104" s="437"/>
      <c r="H5104" s="437"/>
    </row>
    <row r="5105" spans="1:8" s="422" customFormat="1" ht="11.25">
      <c r="A5105" s="421" t="s">
        <v>593</v>
      </c>
      <c r="B5105" s="421"/>
      <c r="C5105" s="421"/>
    </row>
    <row r="5106" spans="1:8" s="422" customFormat="1" ht="11.25">
      <c r="A5106" s="438"/>
      <c r="B5106" s="439" t="s">
        <v>132</v>
      </c>
      <c r="C5106" s="439" t="s">
        <v>473</v>
      </c>
      <c r="D5106" s="439" t="s">
        <v>474</v>
      </c>
      <c r="E5106" s="439" t="s">
        <v>375</v>
      </c>
      <c r="F5106" s="439" t="s">
        <v>9</v>
      </c>
      <c r="G5106" s="439" t="s">
        <v>131</v>
      </c>
      <c r="H5106" s="439" t="s">
        <v>424</v>
      </c>
    </row>
    <row r="5107" spans="1:8" s="422" customFormat="1" ht="11.25">
      <c r="A5107" s="439" t="s">
        <v>394</v>
      </c>
      <c r="B5107" s="438">
        <v>17802939.329999998</v>
      </c>
      <c r="C5107" s="438">
        <v>18097414.41</v>
      </c>
      <c r="D5107" s="438">
        <v>19315458.32</v>
      </c>
      <c r="E5107" s="438">
        <v>19731027.1734</v>
      </c>
      <c r="F5107" s="438">
        <v>19748709.1734</v>
      </c>
      <c r="G5107" s="438">
        <v>19793068.588160001</v>
      </c>
      <c r="H5107" s="438">
        <v>19809012.164859999</v>
      </c>
    </row>
    <row r="5108" spans="1:8" s="422" customFormat="1" ht="11.25">
      <c r="A5108" s="439" t="s">
        <v>395</v>
      </c>
      <c r="B5108" s="438">
        <v>-4400325.75</v>
      </c>
      <c r="C5108" s="438">
        <v>-4373230.7</v>
      </c>
      <c r="D5108" s="438">
        <v>-4793419.3599999994</v>
      </c>
      <c r="E5108" s="438">
        <v>-4793419.3599999994</v>
      </c>
      <c r="F5108" s="438">
        <v>-4793419.3599999994</v>
      </c>
      <c r="G5108" s="438">
        <v>-4793419.3599999994</v>
      </c>
      <c r="H5108" s="438">
        <v>-4793419.3599999994</v>
      </c>
    </row>
    <row r="5109" spans="1:8" s="422" customFormat="1" ht="11.25">
      <c r="A5109" s="439" t="s">
        <v>396</v>
      </c>
      <c r="B5109" s="438">
        <v>13402613.579999998</v>
      </c>
      <c r="C5109" s="438">
        <v>13724183.710000001</v>
      </c>
      <c r="D5109" s="438">
        <v>14522038.960000001</v>
      </c>
      <c r="E5109" s="438">
        <v>14937607.8134</v>
      </c>
      <c r="F5109" s="438">
        <v>14955289.8134</v>
      </c>
      <c r="G5109" s="438">
        <v>14999649.228160001</v>
      </c>
      <c r="H5109" s="438">
        <v>15015592.80486</v>
      </c>
    </row>
    <row r="5110" spans="1:8" s="442" customFormat="1" ht="11.25">
      <c r="A5110" s="440" t="s">
        <v>397</v>
      </c>
      <c r="B5110" s="441">
        <v>0.24716849664172846</v>
      </c>
      <c r="C5110" s="441">
        <v>0.2416494754954335</v>
      </c>
      <c r="D5110" s="441">
        <v>0.248164929901596</v>
      </c>
      <c r="E5110" s="441">
        <v>0.24293815612712522</v>
      </c>
      <c r="F5110" s="441">
        <v>0.2427206415321751</v>
      </c>
      <c r="G5110" s="441">
        <v>0.2421766659701958</v>
      </c>
      <c r="H5110" s="441">
        <v>0.24198174649532692</v>
      </c>
    </row>
    <row r="5111" spans="1:8" s="422" customFormat="1" ht="11.25" customHeight="1"/>
    <row r="5112" spans="1:8" s="422" customFormat="1" ht="11.25">
      <c r="A5112" s="443" t="s">
        <v>594</v>
      </c>
      <c r="B5112" s="443"/>
      <c r="C5112" s="444"/>
    </row>
    <row r="5113" spans="1:8" s="422" customFormat="1" ht="11.25">
      <c r="A5113" s="445" t="s">
        <v>595</v>
      </c>
      <c r="B5113" s="446"/>
      <c r="C5113" s="447"/>
      <c r="D5113" s="439" t="s">
        <v>474</v>
      </c>
      <c r="E5113" s="439" t="s">
        <v>375</v>
      </c>
      <c r="F5113" s="439" t="s">
        <v>9</v>
      </c>
      <c r="G5113" s="439" t="s">
        <v>131</v>
      </c>
      <c r="H5113" s="439" t="s">
        <v>424</v>
      </c>
    </row>
    <row r="5114" spans="1:8" s="422" customFormat="1" ht="11.25">
      <c r="A5114" s="448" t="s">
        <v>1182</v>
      </c>
      <c r="B5114" s="449"/>
      <c r="C5114" s="449"/>
      <c r="D5114" s="501">
        <v>1</v>
      </c>
      <c r="E5114" s="501">
        <v>1</v>
      </c>
      <c r="F5114" s="501">
        <v>1</v>
      </c>
      <c r="G5114" s="501">
        <v>1</v>
      </c>
      <c r="H5114" s="501">
        <v>1</v>
      </c>
    </row>
    <row r="5115" spans="1:8" s="422" customFormat="1" ht="11.25">
      <c r="A5115" s="503" t="s">
        <v>1183</v>
      </c>
      <c r="B5115" s="449"/>
      <c r="C5115" s="449"/>
      <c r="D5115" s="438"/>
      <c r="E5115" s="438"/>
      <c r="F5115" s="438"/>
      <c r="G5115" s="438"/>
      <c r="H5115" s="438"/>
    </row>
    <row r="5116" spans="1:8" s="422" customFormat="1" ht="11.25">
      <c r="A5116" s="448" t="s">
        <v>1177</v>
      </c>
      <c r="B5116" s="449"/>
      <c r="C5116" s="449"/>
      <c r="D5116" s="438">
        <v>21</v>
      </c>
      <c r="E5116" s="438">
        <v>21</v>
      </c>
      <c r="F5116" s="438">
        <v>21</v>
      </c>
      <c r="G5116" s="438">
        <v>21</v>
      </c>
      <c r="H5116" s="438">
        <v>21</v>
      </c>
    </row>
    <row r="5117" spans="1:8" s="422" customFormat="1" ht="11.25">
      <c r="A5117" s="448" t="s">
        <v>1179</v>
      </c>
      <c r="B5117" s="449"/>
      <c r="C5117" s="449"/>
      <c r="D5117" s="458" t="s">
        <v>1184</v>
      </c>
      <c r="E5117" s="458" t="s">
        <v>1184</v>
      </c>
      <c r="F5117" s="458" t="s">
        <v>1184</v>
      </c>
      <c r="G5117" s="458" t="s">
        <v>1184</v>
      </c>
      <c r="H5117" s="458" t="s">
        <v>1184</v>
      </c>
    </row>
    <row r="5118" spans="1:8" s="422" customFormat="1" ht="11.25">
      <c r="A5118" s="448" t="s">
        <v>1181</v>
      </c>
      <c r="B5118" s="449"/>
      <c r="C5118" s="449"/>
      <c r="D5118" s="438">
        <v>22</v>
      </c>
      <c r="E5118" s="438">
        <v>22</v>
      </c>
      <c r="F5118" s="438">
        <v>22</v>
      </c>
      <c r="G5118" s="438">
        <v>22</v>
      </c>
      <c r="H5118" s="438">
        <v>22</v>
      </c>
    </row>
    <row r="5119" spans="1:8" s="422" customFormat="1" ht="11.25">
      <c r="A5119" s="503" t="s">
        <v>1185</v>
      </c>
      <c r="B5119" s="449"/>
      <c r="C5119" s="449"/>
      <c r="D5119" s="438"/>
      <c r="E5119" s="438"/>
      <c r="F5119" s="438"/>
      <c r="G5119" s="438"/>
      <c r="H5119" s="438"/>
    </row>
    <row r="5120" spans="1:8" s="422" customFormat="1" ht="11.25">
      <c r="A5120" s="448" t="s">
        <v>1177</v>
      </c>
      <c r="B5120" s="449"/>
      <c r="C5120" s="449"/>
      <c r="D5120" s="438">
        <v>6</v>
      </c>
      <c r="E5120" s="438">
        <v>6</v>
      </c>
      <c r="F5120" s="438">
        <v>6</v>
      </c>
      <c r="G5120" s="438">
        <v>6</v>
      </c>
      <c r="H5120" s="438">
        <v>6</v>
      </c>
    </row>
    <row r="5121" spans="1:8" s="422" customFormat="1" ht="11.25">
      <c r="A5121" s="448" t="s">
        <v>1186</v>
      </c>
      <c r="B5121" s="449"/>
      <c r="C5121" s="449"/>
      <c r="D5121" s="438">
        <v>3</v>
      </c>
      <c r="E5121" s="438">
        <v>3</v>
      </c>
      <c r="F5121" s="438">
        <v>3</v>
      </c>
      <c r="G5121" s="438">
        <v>3</v>
      </c>
      <c r="H5121" s="438">
        <v>3</v>
      </c>
    </row>
    <row r="5122" spans="1:8" s="422" customFormat="1" ht="11.25">
      <c r="A5122" s="448" t="s">
        <v>1181</v>
      </c>
      <c r="B5122" s="449"/>
      <c r="C5122" s="449"/>
      <c r="D5122" s="438">
        <v>3</v>
      </c>
      <c r="E5122" s="438">
        <v>3</v>
      </c>
      <c r="F5122" s="438">
        <v>3</v>
      </c>
      <c r="G5122" s="438">
        <v>3</v>
      </c>
      <c r="H5122" s="438">
        <v>3</v>
      </c>
    </row>
    <row r="5123" spans="1:8" s="422" customFormat="1" ht="11.25" customHeight="1"/>
    <row r="5124" spans="1:8" s="422" customFormat="1" ht="11.25">
      <c r="A5124" s="421" t="s">
        <v>423</v>
      </c>
      <c r="B5124" s="421"/>
      <c r="C5124" s="421"/>
    </row>
    <row r="5125" spans="1:8" s="422" customFormat="1" ht="11.25">
      <c r="A5125" s="450"/>
      <c r="B5125" s="439" t="s">
        <v>132</v>
      </c>
      <c r="C5125" s="439" t="s">
        <v>473</v>
      </c>
      <c r="D5125" s="439" t="s">
        <v>474</v>
      </c>
      <c r="E5125" s="439" t="s">
        <v>375</v>
      </c>
      <c r="F5125" s="439" t="s">
        <v>9</v>
      </c>
      <c r="G5125" s="439" t="s">
        <v>131</v>
      </c>
      <c r="H5125" s="439" t="s">
        <v>424</v>
      </c>
    </row>
    <row r="5126" spans="1:8" s="422" customFormat="1" ht="11.25">
      <c r="A5126" s="451" t="s">
        <v>398</v>
      </c>
      <c r="B5126" s="438">
        <v>0</v>
      </c>
      <c r="C5126" s="438">
        <v>238488</v>
      </c>
      <c r="D5126" s="438">
        <v>0</v>
      </c>
      <c r="E5126" s="438">
        <v>0</v>
      </c>
      <c r="F5126" s="438">
        <v>356000</v>
      </c>
      <c r="G5126" s="438">
        <v>206000</v>
      </c>
      <c r="H5126" s="438">
        <v>0</v>
      </c>
    </row>
    <row r="5127" spans="1:8" s="422" customFormat="1" ht="11.25">
      <c r="A5127" s="451" t="s">
        <v>399</v>
      </c>
      <c r="B5127" s="438">
        <v>0</v>
      </c>
      <c r="C5127" s="438">
        <v>0</v>
      </c>
      <c r="D5127" s="438">
        <v>0</v>
      </c>
      <c r="E5127" s="438">
        <v>0</v>
      </c>
      <c r="F5127" s="438">
        <v>0</v>
      </c>
      <c r="G5127" s="438">
        <v>0</v>
      </c>
      <c r="H5127" s="438">
        <v>0</v>
      </c>
    </row>
    <row r="5128" spans="1:8" s="422" customFormat="1" ht="11.25">
      <c r="A5128" s="451" t="s">
        <v>400</v>
      </c>
      <c r="B5128" s="438">
        <v>0</v>
      </c>
      <c r="C5128" s="438">
        <v>0</v>
      </c>
      <c r="D5128" s="438">
        <v>0</v>
      </c>
      <c r="E5128" s="438">
        <v>0</v>
      </c>
      <c r="F5128" s="438">
        <v>0</v>
      </c>
      <c r="G5128" s="438">
        <v>0</v>
      </c>
      <c r="H5128" s="438">
        <v>0</v>
      </c>
    </row>
    <row r="5129" spans="1:8" s="422" customFormat="1" ht="11.25">
      <c r="A5129" s="451" t="s">
        <v>401</v>
      </c>
      <c r="B5129" s="438">
        <v>0</v>
      </c>
      <c r="C5129" s="438">
        <v>238488</v>
      </c>
      <c r="D5129" s="438">
        <v>0</v>
      </c>
      <c r="E5129" s="438">
        <v>0</v>
      </c>
      <c r="F5129" s="438">
        <v>356000</v>
      </c>
      <c r="G5129" s="438">
        <v>206000</v>
      </c>
      <c r="H5129" s="438">
        <v>0</v>
      </c>
    </row>
    <row r="5130" spans="1:8" s="422" customFormat="1" ht="11.25" customHeight="1"/>
    <row r="5131" spans="1:8" s="422" customFormat="1" ht="11.25">
      <c r="A5131" s="421" t="s">
        <v>597</v>
      </c>
      <c r="B5131" s="421"/>
      <c r="C5131" s="421"/>
    </row>
    <row r="5132" spans="1:8" s="429" customFormat="1" ht="11.25">
      <c r="A5132" s="428"/>
      <c r="B5132" s="428"/>
      <c r="C5132" s="428"/>
    </row>
    <row r="5133" spans="1:8" s="429" customFormat="1" ht="11.25">
      <c r="A5133" s="428"/>
      <c r="B5133" s="428"/>
      <c r="C5133" s="428"/>
    </row>
    <row r="5134" spans="1:8" s="422" customFormat="1" ht="11.25" customHeight="1"/>
    <row r="5135" spans="1:8" s="422" customFormat="1" ht="11.25" customHeight="1"/>
    <row r="5136" spans="1:8" s="422" customFormat="1" ht="11.25">
      <c r="A5136" s="421" t="s">
        <v>598</v>
      </c>
      <c r="B5136" s="421"/>
      <c r="C5136" s="421"/>
    </row>
    <row r="5137" spans="1:8" s="422" customFormat="1" ht="11.25">
      <c r="A5137" s="452" t="s">
        <v>599</v>
      </c>
      <c r="B5137" s="447"/>
      <c r="C5137" s="447"/>
      <c r="D5137" s="447"/>
      <c r="E5137" s="439" t="s">
        <v>375</v>
      </c>
      <c r="F5137" s="439" t="s">
        <v>9</v>
      </c>
      <c r="G5137" s="439" t="s">
        <v>131</v>
      </c>
      <c r="H5137" s="439" t="s">
        <v>424</v>
      </c>
    </row>
    <row r="5138" spans="1:8" s="422" customFormat="1" ht="11.25">
      <c r="A5138" s="448" t="s">
        <v>450</v>
      </c>
      <c r="B5138" s="449"/>
      <c r="C5138" s="449"/>
      <c r="D5138" s="449"/>
      <c r="E5138" s="438">
        <v>16160</v>
      </c>
      <c r="F5138" s="438">
        <v>16160</v>
      </c>
      <c r="G5138" s="438">
        <v>16384</v>
      </c>
      <c r="H5138" s="438">
        <v>0</v>
      </c>
    </row>
    <row r="5139" spans="1:8" s="422" customFormat="1" ht="11.25">
      <c r="A5139" s="448" t="s">
        <v>451</v>
      </c>
      <c r="B5139" s="449"/>
      <c r="C5139" s="449"/>
      <c r="D5139" s="449"/>
      <c r="E5139" s="438">
        <v>90900</v>
      </c>
      <c r="F5139" s="438">
        <v>90900</v>
      </c>
      <c r="G5139" s="438">
        <v>92160</v>
      </c>
      <c r="H5139" s="438">
        <v>92609.999999999985</v>
      </c>
    </row>
    <row r="5140" spans="1:8" s="422" customFormat="1" ht="11.25">
      <c r="A5140" s="448"/>
      <c r="B5140" s="449"/>
      <c r="C5140" s="449"/>
      <c r="D5140" s="449"/>
      <c r="E5140" s="438">
        <v>0</v>
      </c>
      <c r="F5140" s="438">
        <v>0</v>
      </c>
      <c r="G5140" s="438">
        <v>0</v>
      </c>
      <c r="H5140" s="438">
        <v>0</v>
      </c>
    </row>
    <row r="5141" spans="1:8" s="421" customFormat="1" ht="11.25">
      <c r="A5141" s="421" t="s">
        <v>391</v>
      </c>
      <c r="D5141" s="421" t="s">
        <v>472</v>
      </c>
    </row>
    <row r="5142" spans="1:8" s="422" customFormat="1" ht="11.25"/>
    <row r="5143" spans="1:8" s="421" customFormat="1" ht="11.25" customHeight="1">
      <c r="A5143" s="423" t="s">
        <v>392</v>
      </c>
      <c r="D5143" s="421" t="s">
        <v>150</v>
      </c>
    </row>
    <row r="5144" spans="1:8" s="421" customFormat="1" ht="7.5" customHeight="1">
      <c r="A5144" s="423"/>
    </row>
    <row r="5145" spans="1:8" s="421" customFormat="1" ht="11.25">
      <c r="A5145" s="424" t="s">
        <v>393</v>
      </c>
      <c r="D5145" s="583" t="s">
        <v>157</v>
      </c>
      <c r="E5145" s="583"/>
      <c r="F5145" s="583"/>
      <c r="G5145" s="583"/>
      <c r="H5145" s="583"/>
    </row>
    <row r="5146" spans="1:8" s="421" customFormat="1" ht="7.5" customHeight="1"/>
    <row r="5147" spans="1:8" s="422" customFormat="1" ht="11.25">
      <c r="A5147" s="421" t="s">
        <v>170</v>
      </c>
      <c r="B5147" s="421"/>
      <c r="C5147" s="421"/>
      <c r="D5147" s="422" t="s">
        <v>286</v>
      </c>
      <c r="E5147" s="422" t="s">
        <v>287</v>
      </c>
    </row>
    <row r="5148" spans="1:8" s="422" customFormat="1" ht="7.5" customHeight="1"/>
    <row r="5149" spans="1:8" s="427" customFormat="1" ht="11.25">
      <c r="A5149" s="425" t="s">
        <v>587</v>
      </c>
      <c r="B5149" s="425"/>
      <c r="C5149" s="425"/>
      <c r="D5149" s="426" t="s">
        <v>1187</v>
      </c>
      <c r="E5149" s="584" t="s">
        <v>1188</v>
      </c>
      <c r="F5149" s="584"/>
      <c r="G5149" s="584"/>
      <c r="H5149" s="584"/>
    </row>
    <row r="5150" spans="1:8" s="427" customFormat="1" ht="11.25">
      <c r="A5150" s="425"/>
      <c r="B5150" s="425"/>
      <c r="C5150" s="425"/>
      <c r="D5150" s="426" t="s">
        <v>1189</v>
      </c>
      <c r="E5150" s="584" t="s">
        <v>1190</v>
      </c>
      <c r="F5150" s="584"/>
      <c r="G5150" s="584"/>
      <c r="H5150" s="584"/>
    </row>
    <row r="5151" spans="1:8" s="427" customFormat="1" ht="11.25">
      <c r="A5151" s="425"/>
      <c r="B5151" s="425"/>
      <c r="C5151" s="425"/>
      <c r="D5151" s="426"/>
      <c r="E5151" s="453"/>
      <c r="F5151" s="453"/>
      <c r="G5151" s="453"/>
      <c r="H5151" s="453"/>
    </row>
    <row r="5152" spans="1:8" s="427" customFormat="1" ht="11.25"/>
    <row r="5153" spans="1:8" s="422" customFormat="1" ht="11.25"/>
    <row r="5154" spans="1:8" s="422" customFormat="1" ht="10.15" customHeight="1">
      <c r="A5154" s="421" t="s">
        <v>589</v>
      </c>
      <c r="B5154" s="421"/>
      <c r="C5154" s="421"/>
    </row>
    <row r="5155" spans="1:8" s="429" customFormat="1" ht="10.15" customHeight="1">
      <c r="A5155" s="428"/>
      <c r="B5155" s="428"/>
      <c r="C5155" s="428"/>
    </row>
    <row r="5156" spans="1:8" s="429" customFormat="1" ht="10.15" customHeight="1">
      <c r="A5156" s="428"/>
      <c r="B5156" s="428"/>
      <c r="C5156" s="428"/>
    </row>
    <row r="5157" spans="1:8" s="429" customFormat="1" ht="11.25">
      <c r="A5157" s="428"/>
      <c r="B5157" s="428"/>
      <c r="C5157" s="428"/>
    </row>
    <row r="5158" spans="1:8" s="429" customFormat="1" ht="11.25">
      <c r="A5158" s="428"/>
      <c r="B5158" s="428"/>
      <c r="C5158" s="428"/>
    </row>
    <row r="5159" spans="1:8" s="429" customFormat="1" ht="10.15" customHeight="1">
      <c r="A5159" s="428"/>
      <c r="B5159" s="428"/>
      <c r="C5159" s="428"/>
    </row>
    <row r="5160" spans="1:8" s="422" customFormat="1" ht="10.15" customHeight="1">
      <c r="A5160" s="430"/>
      <c r="B5160" s="430"/>
      <c r="C5160" s="430"/>
      <c r="D5160" s="430"/>
      <c r="E5160" s="430"/>
      <c r="F5160" s="430"/>
      <c r="G5160" s="430"/>
      <c r="H5160" s="430"/>
    </row>
    <row r="5161" spans="1:8" s="422" customFormat="1" ht="10.15" customHeight="1">
      <c r="A5161" s="585" t="s">
        <v>590</v>
      </c>
      <c r="B5161" s="585"/>
      <c r="C5161" s="585"/>
      <c r="D5161" s="586"/>
      <c r="E5161" s="586"/>
      <c r="F5161" s="586"/>
      <c r="G5161" s="586"/>
      <c r="H5161" s="586"/>
    </row>
    <row r="5162" spans="1:8" s="429" customFormat="1" ht="10.15" customHeight="1">
      <c r="A5162" s="431"/>
      <c r="B5162" s="431"/>
      <c r="C5162" s="431"/>
      <c r="D5162" s="432"/>
      <c r="E5162" s="432"/>
      <c r="F5162" s="432"/>
      <c r="G5162" s="432"/>
      <c r="H5162" s="432"/>
    </row>
    <row r="5163" spans="1:8" s="429" customFormat="1" ht="10.15" customHeight="1">
      <c r="A5163" s="431"/>
      <c r="B5163" s="431"/>
      <c r="C5163" s="431"/>
      <c r="D5163" s="432"/>
      <c r="E5163" s="432"/>
      <c r="F5163" s="432"/>
      <c r="G5163" s="432"/>
      <c r="H5163" s="432"/>
    </row>
    <row r="5164" spans="1:8" s="429" customFormat="1" ht="11.25">
      <c r="A5164" s="431"/>
      <c r="B5164" s="431"/>
      <c r="C5164" s="431"/>
      <c r="D5164" s="432"/>
      <c r="E5164" s="432"/>
      <c r="F5164" s="432"/>
      <c r="G5164" s="432"/>
      <c r="H5164" s="432"/>
    </row>
    <row r="5165" spans="1:8" s="429" customFormat="1" ht="10.15" customHeight="1">
      <c r="A5165" s="431"/>
      <c r="B5165" s="431"/>
      <c r="C5165" s="431"/>
      <c r="D5165" s="432"/>
      <c r="E5165" s="432"/>
      <c r="F5165" s="432"/>
      <c r="G5165" s="432"/>
      <c r="H5165" s="432"/>
    </row>
    <row r="5166" spans="1:8" s="422" customFormat="1" ht="10.15" customHeight="1"/>
    <row r="5167" spans="1:8" s="422" customFormat="1" ht="10.15" customHeight="1">
      <c r="A5167" s="421" t="s">
        <v>591</v>
      </c>
      <c r="B5167" s="421"/>
      <c r="C5167" s="421"/>
    </row>
    <row r="5168" spans="1:8" s="429" customFormat="1" ht="10.15" customHeight="1">
      <c r="A5168" s="428"/>
      <c r="B5168" s="428"/>
      <c r="C5168" s="428"/>
    </row>
    <row r="5169" spans="1:8" s="429" customFormat="1" ht="10.15" customHeight="1">
      <c r="A5169" s="428"/>
      <c r="B5169" s="428"/>
      <c r="C5169" s="428"/>
    </row>
    <row r="5170" spans="1:8" s="429" customFormat="1" ht="10.15" customHeight="1">
      <c r="A5170" s="428"/>
      <c r="B5170" s="428"/>
      <c r="C5170" s="428"/>
    </row>
    <row r="5171" spans="1:8" s="429" customFormat="1" ht="11.25">
      <c r="A5171" s="428"/>
      <c r="B5171" s="428"/>
      <c r="C5171" s="428"/>
    </row>
    <row r="5172" spans="1:8" s="429" customFormat="1" ht="11.25">
      <c r="A5172" s="428"/>
      <c r="B5172" s="428"/>
      <c r="C5172" s="428"/>
    </row>
    <row r="5173" spans="1:8" s="429" customFormat="1" ht="11.25">
      <c r="A5173" s="428"/>
      <c r="B5173" s="428"/>
      <c r="C5173" s="428"/>
    </row>
    <row r="5174" spans="1:8" s="429" customFormat="1" ht="11.25">
      <c r="A5174" s="428"/>
      <c r="B5174" s="428"/>
      <c r="C5174" s="428"/>
    </row>
    <row r="5175" spans="1:8" s="429" customFormat="1" ht="11.25">
      <c r="A5175" s="428"/>
      <c r="B5175" s="428"/>
      <c r="C5175" s="428"/>
    </row>
    <row r="5176" spans="1:8" s="429" customFormat="1" ht="11.25">
      <c r="A5176" s="428"/>
      <c r="B5176" s="428"/>
      <c r="C5176" s="428"/>
    </row>
    <row r="5177" spans="1:8" s="429" customFormat="1" ht="11.25">
      <c r="A5177" s="428"/>
      <c r="B5177" s="428"/>
      <c r="C5177" s="428"/>
    </row>
    <row r="5178" spans="1:8" s="422" customFormat="1" ht="10.15" customHeight="1"/>
    <row r="5179" spans="1:8" s="422" customFormat="1" ht="10.15" customHeight="1">
      <c r="A5179" s="433" t="s">
        <v>592</v>
      </c>
      <c r="B5179" s="434"/>
      <c r="C5179" s="434"/>
      <c r="D5179" s="434"/>
      <c r="E5179" s="434"/>
      <c r="F5179" s="434"/>
      <c r="G5179" s="434"/>
      <c r="H5179" s="434"/>
    </row>
    <row r="5180" spans="1:8" s="429" customFormat="1" ht="11.25">
      <c r="A5180" s="435"/>
      <c r="B5180" s="436"/>
      <c r="C5180" s="436"/>
      <c r="D5180" s="436"/>
      <c r="E5180" s="436"/>
      <c r="F5180" s="436"/>
      <c r="G5180" s="436"/>
      <c r="H5180" s="436"/>
    </row>
    <row r="5181" spans="1:8" s="429" customFormat="1" ht="4.9000000000000004" customHeight="1">
      <c r="A5181" s="435"/>
      <c r="B5181" s="436"/>
      <c r="C5181" s="436"/>
      <c r="D5181" s="436"/>
      <c r="E5181" s="436"/>
      <c r="F5181" s="436"/>
      <c r="G5181" s="436"/>
      <c r="H5181" s="436"/>
    </row>
    <row r="5182" spans="1:8" s="422" customFormat="1" ht="11.25" customHeight="1">
      <c r="A5182" s="437"/>
      <c r="B5182" s="437"/>
      <c r="C5182" s="437"/>
      <c r="D5182" s="437"/>
      <c r="E5182" s="437"/>
      <c r="F5182" s="437"/>
      <c r="G5182" s="437"/>
      <c r="H5182" s="437"/>
    </row>
    <row r="5183" spans="1:8" s="422" customFormat="1" ht="11.25">
      <c r="A5183" s="421" t="s">
        <v>593</v>
      </c>
      <c r="B5183" s="421"/>
      <c r="C5183" s="421"/>
    </row>
    <row r="5184" spans="1:8" s="422" customFormat="1" ht="11.25">
      <c r="A5184" s="438"/>
      <c r="B5184" s="439" t="s">
        <v>132</v>
      </c>
      <c r="C5184" s="439" t="s">
        <v>473</v>
      </c>
      <c r="D5184" s="439" t="s">
        <v>474</v>
      </c>
      <c r="E5184" s="439" t="s">
        <v>375</v>
      </c>
      <c r="F5184" s="439" t="s">
        <v>9</v>
      </c>
      <c r="G5184" s="439" t="s">
        <v>131</v>
      </c>
      <c r="H5184" s="439" t="s">
        <v>424</v>
      </c>
    </row>
    <row r="5185" spans="1:8" s="422" customFormat="1" ht="11.25">
      <c r="A5185" s="439" t="s">
        <v>394</v>
      </c>
      <c r="B5185" s="438">
        <v>7917303.9700000007</v>
      </c>
      <c r="C5185" s="438">
        <v>8697212.0899999999</v>
      </c>
      <c r="D5185" s="438">
        <v>8913561.0099999998</v>
      </c>
      <c r="E5185" s="438">
        <v>9036941.9408999998</v>
      </c>
      <c r="F5185" s="438">
        <v>9708672.9408999998</v>
      </c>
      <c r="G5185" s="438">
        <v>10145160.444159999</v>
      </c>
      <c r="H5185" s="438">
        <v>10979247.90961</v>
      </c>
    </row>
    <row r="5186" spans="1:8" s="422" customFormat="1" ht="11.25">
      <c r="A5186" s="439" t="s">
        <v>395</v>
      </c>
      <c r="B5186" s="438">
        <v>-1844772.7000000002</v>
      </c>
      <c r="C5186" s="438">
        <v>-2004733.0099999998</v>
      </c>
      <c r="D5186" s="438">
        <v>-1820599.3399999999</v>
      </c>
      <c r="E5186" s="438">
        <v>-1902061.9</v>
      </c>
      <c r="F5186" s="438">
        <v>-1902061.9</v>
      </c>
      <c r="G5186" s="438">
        <v>-1902061.9</v>
      </c>
      <c r="H5186" s="438">
        <v>-1902061.9</v>
      </c>
    </row>
    <row r="5187" spans="1:8" s="422" customFormat="1" ht="11.25">
      <c r="A5187" s="439" t="s">
        <v>396</v>
      </c>
      <c r="B5187" s="438">
        <v>6072531.2700000005</v>
      </c>
      <c r="C5187" s="438">
        <v>6692479.0800000001</v>
      </c>
      <c r="D5187" s="438">
        <v>7092961.6699999999</v>
      </c>
      <c r="E5187" s="438">
        <v>7134880.0408999994</v>
      </c>
      <c r="F5187" s="438">
        <v>7806611.0408999994</v>
      </c>
      <c r="G5187" s="438">
        <v>8243098.5441599991</v>
      </c>
      <c r="H5187" s="438">
        <v>9077186.0096099991</v>
      </c>
    </row>
    <row r="5188" spans="1:8" s="442" customFormat="1" ht="11.25">
      <c r="A5188" s="440" t="s">
        <v>397</v>
      </c>
      <c r="B5188" s="441">
        <v>0.23300516274102331</v>
      </c>
      <c r="C5188" s="441">
        <v>0.23050294614581485</v>
      </c>
      <c r="D5188" s="441">
        <v>0.20425050526467423</v>
      </c>
      <c r="E5188" s="441">
        <v>0.21047627753272599</v>
      </c>
      <c r="F5188" s="441">
        <v>0.19591368579192014</v>
      </c>
      <c r="G5188" s="441">
        <v>0.18748465442899037</v>
      </c>
      <c r="H5188" s="441">
        <v>0.17324154765966698</v>
      </c>
    </row>
    <row r="5189" spans="1:8" s="422" customFormat="1" ht="11.25" customHeight="1"/>
    <row r="5190" spans="1:8" s="422" customFormat="1" ht="11.25">
      <c r="A5190" s="443" t="s">
        <v>594</v>
      </c>
      <c r="B5190" s="443"/>
      <c r="C5190" s="444"/>
    </row>
    <row r="5191" spans="1:8" s="422" customFormat="1" ht="11.25">
      <c r="A5191" s="445" t="s">
        <v>595</v>
      </c>
      <c r="B5191" s="446"/>
      <c r="C5191" s="447"/>
      <c r="D5191" s="439" t="s">
        <v>474</v>
      </c>
      <c r="E5191" s="439" t="s">
        <v>375</v>
      </c>
      <c r="F5191" s="439" t="s">
        <v>9</v>
      </c>
      <c r="G5191" s="439" t="s">
        <v>131</v>
      </c>
      <c r="H5191" s="439" t="s">
        <v>424</v>
      </c>
    </row>
    <row r="5192" spans="1:8" s="422" customFormat="1" ht="11.25">
      <c r="A5192" s="448" t="s">
        <v>1191</v>
      </c>
      <c r="B5192" s="449"/>
      <c r="C5192" s="449"/>
      <c r="D5192" s="438">
        <v>28</v>
      </c>
      <c r="E5192" s="438">
        <v>28</v>
      </c>
      <c r="F5192" s="438">
        <v>28</v>
      </c>
      <c r="G5192" s="438">
        <v>31</v>
      </c>
      <c r="H5192" s="438">
        <v>34</v>
      </c>
    </row>
    <row r="5193" spans="1:8" s="422" customFormat="1" ht="11.25">
      <c r="A5193" s="448" t="s">
        <v>1192</v>
      </c>
      <c r="B5193" s="449"/>
      <c r="C5193" s="449"/>
      <c r="D5193" s="438">
        <v>68</v>
      </c>
      <c r="E5193" s="438">
        <v>68</v>
      </c>
      <c r="F5193" s="438">
        <v>71</v>
      </c>
      <c r="G5193" s="438">
        <v>71</v>
      </c>
      <c r="H5193" s="438">
        <v>71</v>
      </c>
    </row>
    <row r="5194" spans="1:8" s="422" customFormat="1" ht="11.25">
      <c r="A5194" s="448" t="s">
        <v>1193</v>
      </c>
      <c r="B5194" s="449"/>
      <c r="C5194" s="449"/>
      <c r="D5194" s="438">
        <v>160</v>
      </c>
      <c r="E5194" s="438">
        <v>160</v>
      </c>
      <c r="F5194" s="438">
        <v>160</v>
      </c>
      <c r="G5194" s="438">
        <v>160</v>
      </c>
      <c r="H5194" s="438">
        <v>160</v>
      </c>
    </row>
    <row r="5195" spans="1:8" s="422" customFormat="1" ht="11.25" customHeight="1"/>
    <row r="5196" spans="1:8" s="422" customFormat="1" ht="11.25">
      <c r="A5196" s="421" t="s">
        <v>423</v>
      </c>
      <c r="B5196" s="421"/>
      <c r="C5196" s="421"/>
    </row>
    <row r="5197" spans="1:8" s="422" customFormat="1" ht="11.25">
      <c r="A5197" s="450"/>
      <c r="B5197" s="439" t="s">
        <v>132</v>
      </c>
      <c r="C5197" s="439" t="s">
        <v>473</v>
      </c>
      <c r="D5197" s="439" t="s">
        <v>474</v>
      </c>
      <c r="E5197" s="439" t="s">
        <v>375</v>
      </c>
      <c r="F5197" s="439" t="s">
        <v>9</v>
      </c>
      <c r="G5197" s="439" t="s">
        <v>131</v>
      </c>
      <c r="H5197" s="439" t="s">
        <v>424</v>
      </c>
    </row>
    <row r="5198" spans="1:8" s="422" customFormat="1" ht="11.25">
      <c r="A5198" s="451" t="s">
        <v>398</v>
      </c>
      <c r="B5198" s="438">
        <v>0</v>
      </c>
      <c r="C5198" s="438">
        <v>0</v>
      </c>
      <c r="D5198" s="438">
        <v>90000</v>
      </c>
      <c r="E5198" s="438">
        <v>90000</v>
      </c>
      <c r="F5198" s="438">
        <v>0</v>
      </c>
      <c r="G5198" s="438">
        <v>0</v>
      </c>
      <c r="H5198" s="438">
        <v>0</v>
      </c>
    </row>
    <row r="5199" spans="1:8" s="422" customFormat="1" ht="11.25">
      <c r="A5199" s="451" t="s">
        <v>399</v>
      </c>
      <c r="B5199" s="438">
        <v>0</v>
      </c>
      <c r="C5199" s="438">
        <v>0</v>
      </c>
      <c r="D5199" s="438">
        <v>0</v>
      </c>
      <c r="E5199" s="438">
        <v>0</v>
      </c>
      <c r="F5199" s="438">
        <v>0</v>
      </c>
      <c r="G5199" s="438">
        <v>0</v>
      </c>
      <c r="H5199" s="438">
        <v>0</v>
      </c>
    </row>
    <row r="5200" spans="1:8" s="422" customFormat="1" ht="11.25">
      <c r="A5200" s="451" t="s">
        <v>400</v>
      </c>
      <c r="B5200" s="438">
        <v>0</v>
      </c>
      <c r="C5200" s="438">
        <v>0</v>
      </c>
      <c r="D5200" s="438">
        <v>0</v>
      </c>
      <c r="E5200" s="438">
        <v>0</v>
      </c>
      <c r="F5200" s="438">
        <v>0</v>
      </c>
      <c r="G5200" s="438">
        <v>0</v>
      </c>
      <c r="H5200" s="438">
        <v>0</v>
      </c>
    </row>
    <row r="5201" spans="1:8" s="422" customFormat="1" ht="11.25">
      <c r="A5201" s="451" t="s">
        <v>401</v>
      </c>
      <c r="B5201" s="438">
        <v>0</v>
      </c>
      <c r="C5201" s="438">
        <v>0</v>
      </c>
      <c r="D5201" s="438">
        <v>90000</v>
      </c>
      <c r="E5201" s="438">
        <v>90000</v>
      </c>
      <c r="F5201" s="438">
        <v>0</v>
      </c>
      <c r="G5201" s="438">
        <v>0</v>
      </c>
      <c r="H5201" s="438">
        <v>0</v>
      </c>
    </row>
    <row r="5202" spans="1:8" s="422" customFormat="1" ht="11.25" customHeight="1"/>
    <row r="5203" spans="1:8" s="422" customFormat="1" ht="11.25">
      <c r="A5203" s="421" t="s">
        <v>597</v>
      </c>
      <c r="B5203" s="421"/>
      <c r="C5203" s="421"/>
    </row>
    <row r="5204" spans="1:8" s="429" customFormat="1" ht="11.25" customHeight="1">
      <c r="A5204" s="428"/>
      <c r="B5204" s="428"/>
      <c r="C5204" s="428"/>
    </row>
    <row r="5205" spans="1:8" s="429" customFormat="1" ht="4.9000000000000004" customHeight="1">
      <c r="A5205" s="428"/>
      <c r="B5205" s="428"/>
      <c r="C5205" s="428"/>
    </row>
    <row r="5206" spans="1:8" s="429" customFormat="1" ht="11.25">
      <c r="A5206" s="428"/>
      <c r="B5206" s="428"/>
      <c r="C5206" s="428"/>
    </row>
    <row r="5207" spans="1:8" s="422" customFormat="1" ht="11.25" customHeight="1">
      <c r="A5207" s="421" t="s">
        <v>598</v>
      </c>
      <c r="B5207" s="421"/>
      <c r="C5207" s="421"/>
    </row>
    <row r="5208" spans="1:8" s="422" customFormat="1" ht="11.25">
      <c r="A5208" s="452" t="s">
        <v>599</v>
      </c>
      <c r="B5208" s="447"/>
      <c r="C5208" s="447"/>
      <c r="D5208" s="447"/>
      <c r="E5208" s="439" t="s">
        <v>375</v>
      </c>
      <c r="F5208" s="439" t="s">
        <v>9</v>
      </c>
      <c r="G5208" s="439" t="s">
        <v>131</v>
      </c>
      <c r="H5208" s="439" t="s">
        <v>424</v>
      </c>
    </row>
    <row r="5209" spans="1:8" s="422" customFormat="1" ht="11.25">
      <c r="A5209" s="448" t="s">
        <v>452</v>
      </c>
      <c r="B5209" s="449"/>
      <c r="C5209" s="449"/>
      <c r="D5209" s="449"/>
      <c r="E5209" s="438">
        <v>0</v>
      </c>
      <c r="F5209" s="438">
        <v>100000</v>
      </c>
      <c r="G5209" s="438">
        <v>0</v>
      </c>
      <c r="H5209" s="438">
        <v>100000</v>
      </c>
    </row>
    <row r="5210" spans="1:8" s="422" customFormat="1" ht="11.25">
      <c r="A5210" s="448" t="s">
        <v>125</v>
      </c>
      <c r="B5210" s="449"/>
      <c r="C5210" s="449"/>
      <c r="D5210" s="449"/>
      <c r="E5210" s="438">
        <v>0</v>
      </c>
      <c r="F5210" s="438">
        <v>0</v>
      </c>
      <c r="G5210" s="438">
        <v>126120</v>
      </c>
      <c r="H5210" s="438">
        <v>252239</v>
      </c>
    </row>
    <row r="5211" spans="1:8" s="422" customFormat="1" ht="11.25">
      <c r="A5211" s="448" t="s">
        <v>158</v>
      </c>
      <c r="B5211" s="449"/>
      <c r="C5211" s="449"/>
      <c r="D5211" s="449"/>
      <c r="E5211" s="438">
        <v>0</v>
      </c>
      <c r="F5211" s="438">
        <v>310000</v>
      </c>
      <c r="G5211" s="438">
        <v>310000</v>
      </c>
      <c r="H5211" s="438">
        <v>310000</v>
      </c>
    </row>
    <row r="5212" spans="1:8" s="422" customFormat="1" ht="11.25">
      <c r="A5212" s="448" t="s">
        <v>453</v>
      </c>
      <c r="B5212" s="449"/>
      <c r="C5212" s="449"/>
      <c r="D5212" s="449"/>
      <c r="E5212" s="438">
        <v>116962</v>
      </c>
      <c r="F5212" s="438">
        <v>233923</v>
      </c>
      <c r="G5212" s="438">
        <v>233923</v>
      </c>
      <c r="H5212" s="438">
        <v>233923</v>
      </c>
    </row>
    <row r="5213" spans="1:8" s="422" customFormat="1" ht="11.25">
      <c r="A5213" s="448"/>
      <c r="B5213" s="449"/>
      <c r="C5213" s="449"/>
      <c r="D5213" s="449"/>
      <c r="E5213" s="438">
        <v>0</v>
      </c>
      <c r="F5213" s="438">
        <v>0</v>
      </c>
      <c r="G5213" s="438">
        <v>0</v>
      </c>
      <c r="H5213" s="438">
        <v>0</v>
      </c>
    </row>
    <row r="5214" spans="1:8" s="422" customFormat="1" ht="11.25">
      <c r="A5214" s="448" t="s">
        <v>454</v>
      </c>
      <c r="B5214" s="449"/>
      <c r="C5214" s="449"/>
      <c r="D5214" s="449"/>
      <c r="E5214" s="438">
        <v>0</v>
      </c>
      <c r="F5214" s="438">
        <v>0</v>
      </c>
      <c r="G5214" s="438">
        <v>65000</v>
      </c>
      <c r="H5214" s="438">
        <v>78000</v>
      </c>
    </row>
    <row r="5215" spans="1:8" s="422" customFormat="1" ht="11.25">
      <c r="A5215" s="448" t="s">
        <v>455</v>
      </c>
      <c r="B5215" s="449"/>
      <c r="C5215" s="449"/>
      <c r="D5215" s="449"/>
      <c r="E5215" s="438">
        <v>0</v>
      </c>
      <c r="F5215" s="438">
        <v>0</v>
      </c>
      <c r="G5215" s="438">
        <v>0</v>
      </c>
      <c r="H5215" s="438">
        <v>6500</v>
      </c>
    </row>
    <row r="5216" spans="1:8" s="422" customFormat="1" ht="11.25">
      <c r="A5216" s="448" t="s">
        <v>456</v>
      </c>
      <c r="B5216" s="449"/>
      <c r="C5216" s="449"/>
      <c r="D5216" s="449"/>
      <c r="E5216" s="438">
        <v>33750</v>
      </c>
      <c r="F5216" s="438">
        <v>135000</v>
      </c>
      <c r="G5216" s="438">
        <v>135000</v>
      </c>
      <c r="H5216" s="438">
        <v>135000</v>
      </c>
    </row>
    <row r="5217" spans="1:8" s="422" customFormat="1" ht="11.25">
      <c r="A5217" s="448" t="s">
        <v>126</v>
      </c>
      <c r="B5217" s="449"/>
      <c r="C5217" s="449"/>
      <c r="D5217" s="449"/>
      <c r="E5217" s="438">
        <v>31782</v>
      </c>
      <c r="F5217" s="438">
        <v>31782</v>
      </c>
      <c r="G5217" s="438">
        <v>31782</v>
      </c>
      <c r="H5217" s="438">
        <v>31782</v>
      </c>
    </row>
    <row r="5218" spans="1:8" s="422" customFormat="1" ht="11.25">
      <c r="A5218" s="448" t="s">
        <v>457</v>
      </c>
      <c r="B5218" s="449"/>
      <c r="C5218" s="449"/>
      <c r="D5218" s="449"/>
      <c r="E5218" s="438">
        <v>0</v>
      </c>
      <c r="F5218" s="438">
        <v>0</v>
      </c>
      <c r="G5218" s="438">
        <v>320833</v>
      </c>
      <c r="H5218" s="438">
        <v>550000</v>
      </c>
    </row>
    <row r="5219" spans="1:8" s="422" customFormat="1" ht="11.25">
      <c r="A5219" s="448" t="s">
        <v>458</v>
      </c>
      <c r="B5219" s="449"/>
      <c r="C5219" s="449"/>
      <c r="D5219" s="449"/>
      <c r="E5219" s="438">
        <v>19079</v>
      </c>
      <c r="F5219" s="438">
        <v>19079</v>
      </c>
      <c r="G5219" s="438">
        <v>19079</v>
      </c>
      <c r="H5219" s="438">
        <v>19079</v>
      </c>
    </row>
    <row r="5220" spans="1:8" s="422" customFormat="1" ht="11.25">
      <c r="A5220" s="448" t="s">
        <v>459</v>
      </c>
      <c r="B5220" s="449"/>
      <c r="C5220" s="449"/>
      <c r="D5220" s="449"/>
      <c r="E5220" s="438">
        <v>12000</v>
      </c>
      <c r="F5220" s="438">
        <v>12000</v>
      </c>
      <c r="G5220" s="438">
        <v>12000</v>
      </c>
      <c r="H5220" s="438">
        <v>12000</v>
      </c>
    </row>
    <row r="5221" spans="1:8" s="422" customFormat="1" ht="11.25">
      <c r="A5221" s="448" t="s">
        <v>460</v>
      </c>
      <c r="B5221" s="449"/>
      <c r="C5221" s="449"/>
      <c r="D5221" s="449"/>
      <c r="E5221" s="438">
        <v>0</v>
      </c>
      <c r="F5221" s="438">
        <v>50000</v>
      </c>
      <c r="G5221" s="438">
        <v>50000</v>
      </c>
      <c r="H5221" s="438">
        <v>0</v>
      </c>
    </row>
    <row r="5222" spans="1:8" s="422" customFormat="1" ht="11.25">
      <c r="A5222" s="448" t="s">
        <v>461</v>
      </c>
      <c r="B5222" s="449"/>
      <c r="C5222" s="449"/>
      <c r="D5222" s="449"/>
      <c r="E5222" s="438">
        <v>0</v>
      </c>
      <c r="F5222" s="438">
        <v>0</v>
      </c>
      <c r="G5222" s="438">
        <v>0</v>
      </c>
      <c r="H5222" s="438">
        <v>412193</v>
      </c>
    </row>
    <row r="5223" spans="1:8" s="422" customFormat="1" ht="11.25">
      <c r="A5223" s="448"/>
      <c r="B5223" s="449"/>
      <c r="C5223" s="449"/>
      <c r="D5223" s="449"/>
      <c r="E5223" s="438">
        <v>0</v>
      </c>
      <c r="F5223" s="438">
        <v>0</v>
      </c>
      <c r="G5223" s="438">
        <v>0</v>
      </c>
      <c r="H5223" s="438">
        <v>0</v>
      </c>
    </row>
    <row r="5224" spans="1:8" s="421" customFormat="1" ht="11.25">
      <c r="A5224" s="421" t="s">
        <v>391</v>
      </c>
      <c r="D5224" s="421" t="s">
        <v>472</v>
      </c>
    </row>
    <row r="5225" spans="1:8" s="422" customFormat="1" ht="11.25"/>
    <row r="5226" spans="1:8" s="421" customFormat="1" ht="11.25" customHeight="1">
      <c r="A5226" s="423" t="s">
        <v>392</v>
      </c>
      <c r="D5226" s="421" t="s">
        <v>159</v>
      </c>
    </row>
    <row r="5227" spans="1:8" s="421" customFormat="1" ht="7.5" customHeight="1">
      <c r="A5227" s="423"/>
    </row>
    <row r="5228" spans="1:8" s="421" customFormat="1" ht="11.25">
      <c r="A5228" s="424" t="s">
        <v>393</v>
      </c>
      <c r="D5228" s="583" t="s">
        <v>735</v>
      </c>
      <c r="E5228" s="583"/>
      <c r="F5228" s="583"/>
      <c r="G5228" s="583"/>
      <c r="H5228" s="583"/>
    </row>
    <row r="5229" spans="1:8" s="421" customFormat="1" ht="7.5" customHeight="1"/>
    <row r="5230" spans="1:8" s="422" customFormat="1" ht="11.25">
      <c r="A5230" s="421" t="s">
        <v>170</v>
      </c>
      <c r="B5230" s="421"/>
      <c r="C5230" s="421"/>
      <c r="D5230" s="422" t="s">
        <v>291</v>
      </c>
      <c r="E5230" s="422" t="s">
        <v>615</v>
      </c>
    </row>
    <row r="5231" spans="1:8" s="422" customFormat="1" ht="7.5" customHeight="1"/>
    <row r="5232" spans="1:8" s="427" customFormat="1" ht="11.25">
      <c r="A5232" s="425" t="s">
        <v>587</v>
      </c>
      <c r="B5232" s="425"/>
      <c r="C5232" s="425"/>
      <c r="D5232" s="426" t="s">
        <v>1194</v>
      </c>
      <c r="E5232" s="584" t="s">
        <v>655</v>
      </c>
      <c r="F5232" s="584"/>
      <c r="G5232" s="584"/>
      <c r="H5232" s="584"/>
    </row>
    <row r="5233" spans="1:8" s="427" customFormat="1" ht="11.25">
      <c r="A5233" s="425"/>
      <c r="B5233" s="425"/>
      <c r="C5233" s="425"/>
      <c r="D5233" s="426"/>
      <c r="E5233" s="584"/>
      <c r="F5233" s="584"/>
      <c r="G5233" s="584"/>
      <c r="H5233" s="584"/>
    </row>
    <row r="5234" spans="1:8" s="427" customFormat="1" ht="11.25">
      <c r="A5234" s="425"/>
      <c r="B5234" s="425"/>
      <c r="C5234" s="425"/>
      <c r="D5234" s="426"/>
      <c r="E5234" s="584"/>
      <c r="F5234" s="584"/>
      <c r="G5234" s="584"/>
      <c r="H5234" s="584"/>
    </row>
    <row r="5235" spans="1:8" s="427" customFormat="1" ht="11.25"/>
    <row r="5236" spans="1:8" s="422" customFormat="1" ht="11.25"/>
    <row r="5237" spans="1:8" s="422" customFormat="1" ht="11.25">
      <c r="A5237" s="421" t="s">
        <v>589</v>
      </c>
      <c r="B5237" s="421"/>
      <c r="C5237" s="421"/>
    </row>
    <row r="5238" spans="1:8" s="429" customFormat="1" ht="11.25">
      <c r="A5238" s="428"/>
      <c r="B5238" s="428"/>
      <c r="C5238" s="428"/>
    </row>
    <row r="5239" spans="1:8" s="429" customFormat="1" ht="11.25">
      <c r="A5239" s="428"/>
      <c r="B5239" s="428"/>
      <c r="C5239" s="428"/>
    </row>
    <row r="5240" spans="1:8" s="429" customFormat="1" ht="11.25">
      <c r="A5240" s="428"/>
      <c r="B5240" s="428"/>
      <c r="C5240" s="428"/>
    </row>
    <row r="5241" spans="1:8" s="429" customFormat="1" ht="11.25">
      <c r="A5241" s="428"/>
      <c r="B5241" s="428"/>
      <c r="C5241" s="428"/>
    </row>
    <row r="5242" spans="1:8" s="429" customFormat="1" ht="11.25">
      <c r="A5242" s="428"/>
      <c r="B5242" s="428"/>
      <c r="C5242" s="428"/>
    </row>
    <row r="5243" spans="1:8" s="429" customFormat="1" ht="11.25">
      <c r="A5243" s="428"/>
      <c r="B5243" s="428"/>
      <c r="C5243" s="428"/>
    </row>
    <row r="5244" spans="1:8" s="422" customFormat="1" ht="9" customHeight="1">
      <c r="A5244" s="430"/>
      <c r="B5244" s="430"/>
      <c r="C5244" s="430"/>
      <c r="D5244" s="430"/>
      <c r="E5244" s="430"/>
      <c r="F5244" s="430"/>
      <c r="G5244" s="430"/>
      <c r="H5244" s="430"/>
    </row>
    <row r="5245" spans="1:8" s="422" customFormat="1" ht="22.5" customHeight="1">
      <c r="A5245" s="585" t="s">
        <v>590</v>
      </c>
      <c r="B5245" s="585"/>
      <c r="C5245" s="585"/>
      <c r="D5245" s="586"/>
      <c r="E5245" s="586"/>
      <c r="F5245" s="586"/>
      <c r="G5245" s="586"/>
      <c r="H5245" s="586"/>
    </row>
    <row r="5246" spans="1:8" s="429" customFormat="1" ht="11.25">
      <c r="A5246" s="431"/>
      <c r="B5246" s="431"/>
      <c r="C5246" s="431"/>
      <c r="D5246" s="432"/>
      <c r="E5246" s="432"/>
      <c r="F5246" s="432"/>
      <c r="G5246" s="432"/>
      <c r="H5246" s="432"/>
    </row>
    <row r="5247" spans="1:8" s="429" customFormat="1" ht="11.25">
      <c r="A5247" s="431"/>
      <c r="B5247" s="431"/>
      <c r="C5247" s="431"/>
      <c r="D5247" s="432"/>
      <c r="E5247" s="432"/>
      <c r="F5247" s="432"/>
      <c r="G5247" s="432"/>
      <c r="H5247" s="432"/>
    </row>
    <row r="5248" spans="1:8" s="429" customFormat="1" ht="24" customHeight="1">
      <c r="A5248" s="431"/>
      <c r="B5248" s="431"/>
      <c r="C5248" s="431"/>
      <c r="D5248" s="432"/>
      <c r="E5248" s="432"/>
      <c r="F5248" s="432"/>
      <c r="G5248" s="432"/>
      <c r="H5248" s="432"/>
    </row>
    <row r="5249" spans="1:8" s="429" customFormat="1" ht="11.25">
      <c r="A5249" s="431"/>
      <c r="B5249" s="431"/>
      <c r="C5249" s="431"/>
      <c r="D5249" s="432"/>
      <c r="E5249" s="432"/>
      <c r="F5249" s="432"/>
      <c r="G5249" s="432"/>
      <c r="H5249" s="432"/>
    </row>
    <row r="5250" spans="1:8" s="422" customFormat="1" ht="9" customHeight="1"/>
    <row r="5251" spans="1:8" s="422" customFormat="1" ht="11.25">
      <c r="A5251" s="421" t="s">
        <v>591</v>
      </c>
      <c r="B5251" s="421"/>
      <c r="C5251" s="421"/>
    </row>
    <row r="5252" spans="1:8" s="429" customFormat="1" ht="11.25">
      <c r="A5252" s="428"/>
      <c r="B5252" s="428"/>
      <c r="C5252" s="428"/>
    </row>
    <row r="5253" spans="1:8" s="429" customFormat="1" ht="11.25">
      <c r="A5253" s="428"/>
      <c r="B5253" s="428"/>
      <c r="C5253" s="428"/>
    </row>
    <row r="5254" spans="1:8" s="429" customFormat="1" ht="11.25">
      <c r="A5254" s="428"/>
      <c r="B5254" s="428"/>
      <c r="C5254" s="428"/>
    </row>
    <row r="5255" spans="1:8" s="429" customFormat="1" ht="11.25">
      <c r="A5255" s="428"/>
      <c r="B5255" s="428"/>
      <c r="C5255" s="428"/>
    </row>
    <row r="5256" spans="1:8" s="429" customFormat="1" ht="11.25">
      <c r="A5256" s="428"/>
      <c r="B5256" s="428"/>
      <c r="C5256" s="428"/>
    </row>
    <row r="5257" spans="1:8" s="422" customFormat="1" ht="9" customHeight="1"/>
    <row r="5258" spans="1:8" s="422" customFormat="1" ht="11.25">
      <c r="A5258" s="433" t="s">
        <v>592</v>
      </c>
      <c r="B5258" s="434"/>
      <c r="C5258" s="434"/>
      <c r="D5258" s="434"/>
      <c r="E5258" s="434"/>
      <c r="F5258" s="434"/>
      <c r="G5258" s="434"/>
      <c r="H5258" s="434"/>
    </row>
    <row r="5259" spans="1:8" s="429" customFormat="1" ht="11.25">
      <c r="A5259" s="435"/>
      <c r="B5259" s="436"/>
      <c r="C5259" s="436"/>
      <c r="D5259" s="436"/>
      <c r="E5259" s="436"/>
      <c r="F5259" s="436"/>
      <c r="G5259" s="436"/>
      <c r="H5259" s="436"/>
    </row>
    <row r="5260" spans="1:8" s="429" customFormat="1" ht="11.25">
      <c r="A5260" s="435"/>
      <c r="B5260" s="436"/>
      <c r="C5260" s="436"/>
      <c r="D5260" s="436"/>
      <c r="E5260" s="436"/>
      <c r="F5260" s="436"/>
      <c r="G5260" s="436"/>
      <c r="H5260" s="436"/>
    </row>
    <row r="5261" spans="1:8" s="422" customFormat="1" ht="11.25">
      <c r="A5261" s="437"/>
      <c r="B5261" s="437"/>
      <c r="C5261" s="437"/>
      <c r="D5261" s="437"/>
      <c r="E5261" s="437"/>
      <c r="F5261" s="437"/>
      <c r="G5261" s="437"/>
      <c r="H5261" s="437"/>
    </row>
    <row r="5262" spans="1:8" s="422" customFormat="1" ht="11.25">
      <c r="A5262" s="421" t="s">
        <v>593</v>
      </c>
      <c r="B5262" s="421"/>
      <c r="C5262" s="421"/>
    </row>
    <row r="5263" spans="1:8" s="422" customFormat="1" ht="11.25">
      <c r="A5263" s="438"/>
      <c r="B5263" s="439" t="s">
        <v>132</v>
      </c>
      <c r="C5263" s="439" t="s">
        <v>473</v>
      </c>
      <c r="D5263" s="439" t="s">
        <v>474</v>
      </c>
      <c r="E5263" s="439" t="s">
        <v>375</v>
      </c>
      <c r="F5263" s="439" t="s">
        <v>9</v>
      </c>
      <c r="G5263" s="439" t="s">
        <v>131</v>
      </c>
      <c r="H5263" s="439" t="s">
        <v>424</v>
      </c>
    </row>
    <row r="5264" spans="1:8" s="422" customFormat="1" ht="11.25">
      <c r="A5264" s="439" t="s">
        <v>394</v>
      </c>
      <c r="B5264" s="438">
        <v>1565139.99</v>
      </c>
      <c r="C5264" s="438">
        <v>1579643.7299999997</v>
      </c>
      <c r="D5264" s="438">
        <v>1674464.9800000002</v>
      </c>
      <c r="E5264" s="438">
        <v>1666158.3927</v>
      </c>
      <c r="F5264" s="438">
        <v>1666158.3927</v>
      </c>
      <c r="G5264" s="438">
        <v>1681915.9704799999</v>
      </c>
      <c r="H5264" s="438">
        <v>1687543.67683</v>
      </c>
    </row>
    <row r="5265" spans="1:8" s="422" customFormat="1" ht="11.25">
      <c r="A5265" s="439" t="s">
        <v>395</v>
      </c>
      <c r="B5265" s="438">
        <v>-38711.46</v>
      </c>
      <c r="C5265" s="438">
        <v>-36411.15</v>
      </c>
      <c r="D5265" s="438">
        <v>-33110.490000000005</v>
      </c>
      <c r="E5265" s="438">
        <v>-33110.490000000005</v>
      </c>
      <c r="F5265" s="438">
        <v>-33110.490000000005</v>
      </c>
      <c r="G5265" s="438">
        <v>-33110.490000000005</v>
      </c>
      <c r="H5265" s="438">
        <v>-33110.490000000005</v>
      </c>
    </row>
    <row r="5266" spans="1:8" s="422" customFormat="1" ht="11.25">
      <c r="A5266" s="439" t="s">
        <v>396</v>
      </c>
      <c r="B5266" s="438">
        <v>1526428.53</v>
      </c>
      <c r="C5266" s="438">
        <v>1543232.5799999998</v>
      </c>
      <c r="D5266" s="438">
        <v>1641354.4900000002</v>
      </c>
      <c r="E5266" s="438">
        <v>1633047.9027</v>
      </c>
      <c r="F5266" s="438">
        <v>1633047.9027</v>
      </c>
      <c r="G5266" s="438">
        <v>1648805.4804799999</v>
      </c>
      <c r="H5266" s="438">
        <v>1654433.18683</v>
      </c>
    </row>
    <row r="5267" spans="1:8" s="442" customFormat="1" ht="11.25">
      <c r="A5267" s="440" t="s">
        <v>397</v>
      </c>
      <c r="B5267" s="441">
        <v>2.4733544761066387E-2</v>
      </c>
      <c r="C5267" s="441">
        <v>2.3050229180474769E-2</v>
      </c>
      <c r="D5267" s="441">
        <v>1.9773772754566658E-2</v>
      </c>
      <c r="E5267" s="441">
        <v>1.9872354360226611E-2</v>
      </c>
      <c r="F5267" s="441">
        <v>1.9872354360226611E-2</v>
      </c>
      <c r="G5267" s="441">
        <v>1.9686173733489576E-2</v>
      </c>
      <c r="H5267" s="441">
        <v>1.9620523281623777E-2</v>
      </c>
    </row>
    <row r="5268" spans="1:8" s="422" customFormat="1" ht="11.25"/>
    <row r="5269" spans="1:8" s="422" customFormat="1" ht="11.25">
      <c r="A5269" s="443" t="s">
        <v>594</v>
      </c>
      <c r="B5269" s="443"/>
      <c r="C5269" s="444"/>
    </row>
    <row r="5270" spans="1:8" s="422" customFormat="1" ht="11.25">
      <c r="A5270" s="445" t="s">
        <v>595</v>
      </c>
      <c r="B5270" s="446"/>
      <c r="C5270" s="447"/>
      <c r="D5270" s="439" t="s">
        <v>474</v>
      </c>
      <c r="E5270" s="439" t="s">
        <v>375</v>
      </c>
      <c r="F5270" s="439" t="s">
        <v>9</v>
      </c>
      <c r="G5270" s="439" t="s">
        <v>131</v>
      </c>
      <c r="H5270" s="439" t="s">
        <v>424</v>
      </c>
    </row>
    <row r="5271" spans="1:8" s="422" customFormat="1" ht="11.25">
      <c r="A5271" s="448" t="s">
        <v>521</v>
      </c>
      <c r="B5271" s="449"/>
      <c r="C5271" s="449"/>
      <c r="D5271" s="438"/>
      <c r="E5271" s="438"/>
      <c r="F5271" s="438"/>
      <c r="G5271" s="438"/>
      <c r="H5271" s="438"/>
    </row>
    <row r="5272" spans="1:8" s="422" customFormat="1" ht="11.25">
      <c r="A5272" s="448"/>
      <c r="B5272" s="449"/>
      <c r="C5272" s="449"/>
      <c r="D5272" s="438"/>
      <c r="E5272" s="438"/>
      <c r="F5272" s="438"/>
      <c r="G5272" s="438"/>
      <c r="H5272" s="438"/>
    </row>
    <row r="5273" spans="1:8" s="422" customFormat="1" ht="11.25">
      <c r="A5273" s="448"/>
      <c r="B5273" s="449"/>
      <c r="C5273" s="449"/>
      <c r="D5273" s="438"/>
      <c r="E5273" s="438"/>
      <c r="F5273" s="438"/>
      <c r="G5273" s="438"/>
      <c r="H5273" s="438"/>
    </row>
    <row r="5274" spans="1:8" s="422" customFormat="1" ht="11.25"/>
    <row r="5275" spans="1:8" s="422" customFormat="1" ht="11.25">
      <c r="A5275" s="421" t="s">
        <v>423</v>
      </c>
      <c r="B5275" s="421"/>
      <c r="C5275" s="421"/>
    </row>
    <row r="5276" spans="1:8" s="422" customFormat="1" ht="11.25">
      <c r="A5276" s="450"/>
      <c r="B5276" s="439" t="s">
        <v>132</v>
      </c>
      <c r="C5276" s="439" t="s">
        <v>473</v>
      </c>
      <c r="D5276" s="439" t="s">
        <v>474</v>
      </c>
      <c r="E5276" s="439" t="s">
        <v>375</v>
      </c>
      <c r="F5276" s="439" t="s">
        <v>9</v>
      </c>
      <c r="G5276" s="439" t="s">
        <v>131</v>
      </c>
      <c r="H5276" s="439" t="s">
        <v>424</v>
      </c>
    </row>
    <row r="5277" spans="1:8" s="422" customFormat="1" ht="11.25">
      <c r="A5277" s="451" t="s">
        <v>398</v>
      </c>
      <c r="B5277" s="438">
        <v>0</v>
      </c>
      <c r="C5277" s="438">
        <v>0</v>
      </c>
      <c r="D5277" s="438">
        <v>0</v>
      </c>
      <c r="E5277" s="438">
        <v>0</v>
      </c>
      <c r="F5277" s="438">
        <v>0</v>
      </c>
      <c r="G5277" s="438">
        <v>0</v>
      </c>
      <c r="H5277" s="438">
        <v>0</v>
      </c>
    </row>
    <row r="5278" spans="1:8" s="422" customFormat="1" ht="11.25">
      <c r="A5278" s="451" t="s">
        <v>399</v>
      </c>
      <c r="B5278" s="438">
        <v>0</v>
      </c>
      <c r="C5278" s="438">
        <v>0</v>
      </c>
      <c r="D5278" s="438">
        <v>0</v>
      </c>
      <c r="E5278" s="438">
        <v>0</v>
      </c>
      <c r="F5278" s="438">
        <v>0</v>
      </c>
      <c r="G5278" s="438">
        <v>0</v>
      </c>
      <c r="H5278" s="438">
        <v>0</v>
      </c>
    </row>
    <row r="5279" spans="1:8" s="422" customFormat="1" ht="11.25">
      <c r="A5279" s="451" t="s">
        <v>400</v>
      </c>
      <c r="B5279" s="438">
        <v>0</v>
      </c>
      <c r="C5279" s="438">
        <v>0</v>
      </c>
      <c r="D5279" s="438">
        <v>0</v>
      </c>
      <c r="E5279" s="438">
        <v>0</v>
      </c>
      <c r="F5279" s="438">
        <v>0</v>
      </c>
      <c r="G5279" s="438">
        <v>0</v>
      </c>
      <c r="H5279" s="438">
        <v>0</v>
      </c>
    </row>
    <row r="5280" spans="1:8" s="422" customFormat="1" ht="11.25">
      <c r="A5280" s="451" t="s">
        <v>401</v>
      </c>
      <c r="B5280" s="438">
        <v>0</v>
      </c>
      <c r="C5280" s="438">
        <v>0</v>
      </c>
      <c r="D5280" s="438">
        <v>0</v>
      </c>
      <c r="E5280" s="438">
        <v>0</v>
      </c>
      <c r="F5280" s="438">
        <v>0</v>
      </c>
      <c r="G5280" s="438">
        <v>0</v>
      </c>
      <c r="H5280" s="438">
        <v>0</v>
      </c>
    </row>
    <row r="5281" spans="1:8" s="422" customFormat="1" ht="11.25"/>
    <row r="5282" spans="1:8" s="422" customFormat="1" ht="11.25">
      <c r="A5282" s="421" t="s">
        <v>597</v>
      </c>
      <c r="B5282" s="421"/>
      <c r="C5282" s="421"/>
    </row>
    <row r="5283" spans="1:8" s="429" customFormat="1" ht="11.25">
      <c r="A5283" s="428"/>
      <c r="B5283" s="428"/>
      <c r="C5283" s="428"/>
    </row>
    <row r="5284" spans="1:8" s="429" customFormat="1" ht="11.25">
      <c r="A5284" s="428"/>
      <c r="B5284" s="428"/>
      <c r="C5284" s="428"/>
    </row>
    <row r="5285" spans="1:8" s="429" customFormat="1" ht="11.25">
      <c r="A5285" s="428"/>
      <c r="B5285" s="428"/>
      <c r="C5285" s="428"/>
    </row>
    <row r="5286" spans="1:8" s="422" customFormat="1" ht="11.25"/>
    <row r="5287" spans="1:8" s="422" customFormat="1" ht="11.25">
      <c r="A5287" s="421" t="s">
        <v>598</v>
      </c>
      <c r="B5287" s="421"/>
      <c r="C5287" s="421"/>
    </row>
    <row r="5288" spans="1:8" s="422" customFormat="1" ht="11.25">
      <c r="A5288" s="452" t="s">
        <v>599</v>
      </c>
      <c r="B5288" s="447"/>
      <c r="C5288" s="447"/>
      <c r="D5288" s="447"/>
      <c r="E5288" s="439" t="s">
        <v>375</v>
      </c>
      <c r="F5288" s="439" t="s">
        <v>9</v>
      </c>
      <c r="G5288" s="439" t="s">
        <v>131</v>
      </c>
      <c r="H5288" s="439" t="s">
        <v>424</v>
      </c>
    </row>
    <row r="5289" spans="1:8" s="422" customFormat="1" ht="11.25">
      <c r="A5289" s="448"/>
      <c r="B5289" s="449"/>
      <c r="C5289" s="449"/>
      <c r="D5289" s="449"/>
      <c r="E5289" s="438">
        <v>0</v>
      </c>
      <c r="F5289" s="438">
        <v>0</v>
      </c>
      <c r="G5289" s="438">
        <v>0</v>
      </c>
      <c r="H5289" s="438">
        <v>0</v>
      </c>
    </row>
    <row r="5290" spans="1:8" s="422" customFormat="1" ht="11.25">
      <c r="A5290" s="448"/>
      <c r="B5290" s="449"/>
      <c r="C5290" s="449"/>
      <c r="D5290" s="449"/>
      <c r="E5290" s="438">
        <v>0</v>
      </c>
      <c r="F5290" s="438">
        <v>0</v>
      </c>
      <c r="G5290" s="438">
        <v>0</v>
      </c>
      <c r="H5290" s="438">
        <v>0</v>
      </c>
    </row>
    <row r="5291" spans="1:8" s="422" customFormat="1" ht="11.25">
      <c r="A5291" s="448"/>
      <c r="B5291" s="449"/>
      <c r="C5291" s="449"/>
      <c r="D5291" s="449"/>
      <c r="E5291" s="438">
        <v>0</v>
      </c>
      <c r="F5291" s="438">
        <v>0</v>
      </c>
      <c r="G5291" s="438">
        <v>0</v>
      </c>
      <c r="H5291" s="438">
        <v>0</v>
      </c>
    </row>
    <row r="5292" spans="1:8" s="421" customFormat="1" ht="11.25">
      <c r="A5292" s="421" t="s">
        <v>391</v>
      </c>
      <c r="D5292" s="421" t="s">
        <v>472</v>
      </c>
    </row>
    <row r="5293" spans="1:8" s="422" customFormat="1" ht="11.25"/>
    <row r="5294" spans="1:8" s="421" customFormat="1" ht="11.25" customHeight="1">
      <c r="A5294" s="423" t="s">
        <v>392</v>
      </c>
      <c r="D5294" s="421" t="s">
        <v>159</v>
      </c>
    </row>
    <row r="5295" spans="1:8" s="421" customFormat="1" ht="7.5" customHeight="1">
      <c r="A5295" s="423"/>
    </row>
    <row r="5296" spans="1:8" s="421" customFormat="1" ht="11.25">
      <c r="A5296" s="424" t="s">
        <v>393</v>
      </c>
      <c r="D5296" s="583" t="s">
        <v>735</v>
      </c>
      <c r="E5296" s="583"/>
      <c r="F5296" s="583"/>
      <c r="G5296" s="583"/>
      <c r="H5296" s="583"/>
    </row>
    <row r="5297" spans="1:8" s="421" customFormat="1" ht="7.5" customHeight="1"/>
    <row r="5298" spans="1:8" s="422" customFormat="1" ht="11.25">
      <c r="A5298" s="421" t="s">
        <v>170</v>
      </c>
      <c r="B5298" s="421"/>
      <c r="C5298" s="421"/>
      <c r="D5298" s="422" t="s">
        <v>292</v>
      </c>
      <c r="E5298" s="422" t="s">
        <v>658</v>
      </c>
    </row>
    <row r="5299" spans="1:8" s="422" customFormat="1" ht="7.5" customHeight="1"/>
    <row r="5300" spans="1:8" s="427" customFormat="1" ht="11.25">
      <c r="A5300" s="425" t="s">
        <v>587</v>
      </c>
      <c r="B5300" s="425"/>
      <c r="C5300" s="425"/>
      <c r="D5300" s="426" t="s">
        <v>1195</v>
      </c>
      <c r="E5300" s="584" t="s">
        <v>660</v>
      </c>
      <c r="F5300" s="584"/>
      <c r="G5300" s="584"/>
      <c r="H5300" s="584"/>
    </row>
    <row r="5301" spans="1:8" s="427" customFormat="1" ht="11.25">
      <c r="A5301" s="425"/>
      <c r="B5301" s="425"/>
      <c r="C5301" s="425"/>
      <c r="D5301" s="426" t="s">
        <v>1196</v>
      </c>
      <c r="E5301" s="584" t="s">
        <v>664</v>
      </c>
      <c r="F5301" s="584"/>
      <c r="G5301" s="584"/>
      <c r="H5301" s="584"/>
    </row>
    <row r="5302" spans="1:8" s="427" customFormat="1" ht="11.25">
      <c r="A5302" s="425"/>
      <c r="B5302" s="425"/>
      <c r="C5302" s="425"/>
      <c r="D5302" s="426" t="s">
        <v>1197</v>
      </c>
      <c r="E5302" s="584" t="s">
        <v>662</v>
      </c>
      <c r="F5302" s="584"/>
      <c r="G5302" s="584"/>
      <c r="H5302" s="584"/>
    </row>
    <row r="5303" spans="1:8" s="427" customFormat="1" ht="11.25">
      <c r="A5303" s="425"/>
      <c r="B5303" s="425"/>
      <c r="C5303" s="425"/>
      <c r="D5303" s="426" t="s">
        <v>1198</v>
      </c>
      <c r="E5303" s="584" t="s">
        <v>666</v>
      </c>
      <c r="F5303" s="584"/>
      <c r="G5303" s="584"/>
      <c r="H5303" s="584"/>
    </row>
    <row r="5304" spans="1:8" s="427" customFormat="1" ht="11.25">
      <c r="A5304" s="425"/>
      <c r="B5304" s="425"/>
      <c r="C5304" s="425"/>
      <c r="D5304" s="426"/>
      <c r="E5304" s="584"/>
      <c r="F5304" s="584"/>
      <c r="G5304" s="584"/>
      <c r="H5304" s="584"/>
    </row>
    <row r="5305" spans="1:8" s="427" customFormat="1" ht="11.25"/>
    <row r="5306" spans="1:8" s="422" customFormat="1" ht="11.25"/>
    <row r="5307" spans="1:8" s="422" customFormat="1" ht="11.25">
      <c r="A5307" s="421" t="s">
        <v>589</v>
      </c>
      <c r="B5307" s="421"/>
      <c r="C5307" s="421"/>
    </row>
    <row r="5308" spans="1:8" s="429" customFormat="1" ht="11.25">
      <c r="A5308" s="428"/>
      <c r="B5308" s="428"/>
      <c r="C5308" s="428"/>
    </row>
    <row r="5309" spans="1:8" s="429" customFormat="1" ht="11.25">
      <c r="A5309" s="428"/>
      <c r="B5309" s="428"/>
      <c r="C5309" s="428"/>
    </row>
    <row r="5310" spans="1:8" s="429" customFormat="1" ht="11.25">
      <c r="A5310" s="428"/>
      <c r="B5310" s="428"/>
      <c r="C5310" s="428"/>
    </row>
    <row r="5311" spans="1:8" s="429" customFormat="1" ht="11.25">
      <c r="A5311" s="428"/>
      <c r="B5311" s="428"/>
      <c r="C5311" s="428"/>
    </row>
    <row r="5312" spans="1:8" s="429" customFormat="1" ht="11.25">
      <c r="A5312" s="428"/>
      <c r="B5312" s="428"/>
      <c r="C5312" s="428"/>
    </row>
    <row r="5313" spans="1:8" s="429" customFormat="1" ht="11.25">
      <c r="A5313" s="428"/>
      <c r="B5313" s="428"/>
      <c r="C5313" s="428"/>
    </row>
    <row r="5314" spans="1:8" s="422" customFormat="1" ht="9" customHeight="1">
      <c r="A5314" s="430"/>
      <c r="B5314" s="430"/>
      <c r="C5314" s="430"/>
      <c r="D5314" s="430"/>
      <c r="E5314" s="430"/>
      <c r="F5314" s="430"/>
      <c r="G5314" s="430"/>
      <c r="H5314" s="430"/>
    </row>
    <row r="5315" spans="1:8" s="422" customFormat="1" ht="22.5" customHeight="1">
      <c r="A5315" s="585" t="s">
        <v>590</v>
      </c>
      <c r="B5315" s="585"/>
      <c r="C5315" s="585"/>
      <c r="D5315" s="586"/>
      <c r="E5315" s="586"/>
      <c r="F5315" s="586"/>
      <c r="G5315" s="586"/>
      <c r="H5315" s="586"/>
    </row>
    <row r="5316" spans="1:8" s="429" customFormat="1" ht="11.25">
      <c r="A5316" s="431"/>
      <c r="B5316" s="431"/>
      <c r="C5316" s="431"/>
      <c r="D5316" s="432"/>
      <c r="E5316" s="432"/>
      <c r="F5316" s="432"/>
      <c r="G5316" s="432"/>
      <c r="H5316" s="432"/>
    </row>
    <row r="5317" spans="1:8" s="429" customFormat="1" ht="11.25">
      <c r="A5317" s="431"/>
      <c r="B5317" s="431"/>
      <c r="C5317" s="431"/>
      <c r="D5317" s="432"/>
      <c r="E5317" s="432"/>
      <c r="F5317" s="432"/>
      <c r="G5317" s="432"/>
      <c r="H5317" s="432"/>
    </row>
    <row r="5318" spans="1:8" s="429" customFormat="1" ht="11.25">
      <c r="A5318" s="431"/>
      <c r="B5318" s="431"/>
      <c r="C5318" s="431"/>
      <c r="D5318" s="432"/>
      <c r="E5318" s="432"/>
      <c r="F5318" s="432"/>
      <c r="G5318" s="432"/>
      <c r="H5318" s="432"/>
    </row>
    <row r="5319" spans="1:8" s="429" customFormat="1" ht="11.25">
      <c r="A5319" s="431"/>
      <c r="B5319" s="431"/>
      <c r="C5319" s="431"/>
      <c r="D5319" s="432"/>
      <c r="E5319" s="432"/>
      <c r="F5319" s="432"/>
      <c r="G5319" s="432"/>
      <c r="H5319" s="432"/>
    </row>
    <row r="5320" spans="1:8" s="422" customFormat="1" ht="9" customHeight="1"/>
    <row r="5321" spans="1:8" s="422" customFormat="1" ht="11.25">
      <c r="A5321" s="421" t="s">
        <v>591</v>
      </c>
      <c r="B5321" s="421"/>
      <c r="C5321" s="421"/>
    </row>
    <row r="5322" spans="1:8" s="429" customFormat="1" ht="11.25">
      <c r="A5322" s="428"/>
      <c r="B5322" s="428"/>
      <c r="C5322" s="428"/>
    </row>
    <row r="5323" spans="1:8" s="429" customFormat="1" ht="11.25">
      <c r="A5323" s="428"/>
      <c r="B5323" s="428"/>
      <c r="C5323" s="428"/>
    </row>
    <row r="5324" spans="1:8" s="429" customFormat="1" ht="11.25">
      <c r="A5324" s="428"/>
      <c r="B5324" s="428"/>
      <c r="C5324" s="428"/>
    </row>
    <row r="5325" spans="1:8" s="429" customFormat="1" ht="9.75" customHeight="1">
      <c r="A5325" s="428"/>
      <c r="B5325" s="428"/>
      <c r="C5325" s="428"/>
    </row>
    <row r="5326" spans="1:8" s="429" customFormat="1" ht="10.5" customHeight="1">
      <c r="A5326" s="428"/>
      <c r="B5326" s="428"/>
      <c r="C5326" s="428"/>
    </row>
    <row r="5327" spans="1:8" s="422" customFormat="1" ht="9" customHeight="1"/>
    <row r="5328" spans="1:8" s="422" customFormat="1" ht="11.25">
      <c r="A5328" s="433" t="s">
        <v>592</v>
      </c>
      <c r="B5328" s="434"/>
      <c r="C5328" s="434"/>
      <c r="D5328" s="434"/>
      <c r="E5328" s="434"/>
      <c r="F5328" s="434"/>
      <c r="G5328" s="434"/>
      <c r="H5328" s="434"/>
    </row>
    <row r="5329" spans="1:8" s="429" customFormat="1" ht="11.25">
      <c r="A5329" s="435"/>
      <c r="B5329" s="436"/>
      <c r="C5329" s="436"/>
      <c r="D5329" s="436"/>
      <c r="E5329" s="436"/>
      <c r="F5329" s="436"/>
      <c r="G5329" s="436"/>
      <c r="H5329" s="436"/>
    </row>
    <row r="5330" spans="1:8" s="429" customFormat="1" ht="11.25">
      <c r="A5330" s="435"/>
      <c r="B5330" s="436"/>
      <c r="C5330" s="436"/>
      <c r="D5330" s="436"/>
      <c r="E5330" s="436"/>
      <c r="F5330" s="436"/>
      <c r="G5330" s="436"/>
      <c r="H5330" s="436"/>
    </row>
    <row r="5331" spans="1:8" s="422" customFormat="1" ht="11.25">
      <c r="A5331" s="437"/>
      <c r="B5331" s="437"/>
      <c r="C5331" s="437"/>
      <c r="D5331" s="437"/>
      <c r="E5331" s="437"/>
      <c r="F5331" s="437"/>
      <c r="G5331" s="437"/>
      <c r="H5331" s="437"/>
    </row>
    <row r="5332" spans="1:8" s="422" customFormat="1" ht="11.25">
      <c r="A5332" s="421" t="s">
        <v>593</v>
      </c>
      <c r="B5332" s="421"/>
      <c r="C5332" s="421"/>
    </row>
    <row r="5333" spans="1:8" s="422" customFormat="1" ht="11.25">
      <c r="A5333" s="438"/>
      <c r="B5333" s="439" t="s">
        <v>132</v>
      </c>
      <c r="C5333" s="439" t="s">
        <v>473</v>
      </c>
      <c r="D5333" s="439" t="s">
        <v>474</v>
      </c>
      <c r="E5333" s="439" t="s">
        <v>375</v>
      </c>
      <c r="F5333" s="439" t="s">
        <v>9</v>
      </c>
      <c r="G5333" s="439" t="s">
        <v>131</v>
      </c>
      <c r="H5333" s="439" t="s">
        <v>424</v>
      </c>
    </row>
    <row r="5334" spans="1:8" s="422" customFormat="1" ht="11.25">
      <c r="A5334" s="439" t="s">
        <v>394</v>
      </c>
      <c r="B5334" s="438">
        <v>2274885.94</v>
      </c>
      <c r="C5334" s="438">
        <v>1504356.38</v>
      </c>
      <c r="D5334" s="438">
        <v>1654434.7</v>
      </c>
      <c r="E5334" s="438">
        <v>1647597.2217999997</v>
      </c>
      <c r="F5334" s="438">
        <v>1647597.2217999997</v>
      </c>
      <c r="G5334" s="438">
        <v>1667183.9523199999</v>
      </c>
      <c r="H5334" s="438">
        <v>1674179.2132199996</v>
      </c>
    </row>
    <row r="5335" spans="1:8" s="422" customFormat="1" ht="11.25">
      <c r="A5335" s="439" t="s">
        <v>395</v>
      </c>
      <c r="B5335" s="438">
        <v>-178126.74</v>
      </c>
      <c r="C5335" s="438">
        <v>-176141.35</v>
      </c>
      <c r="D5335" s="438">
        <v>-175677.14</v>
      </c>
      <c r="E5335" s="438">
        <v>-175677.14</v>
      </c>
      <c r="F5335" s="438">
        <v>-175677.14</v>
      </c>
      <c r="G5335" s="438">
        <v>-175677.14</v>
      </c>
      <c r="H5335" s="438">
        <v>-175677.14</v>
      </c>
    </row>
    <row r="5336" spans="1:8" s="422" customFormat="1" ht="11.25">
      <c r="A5336" s="439" t="s">
        <v>396</v>
      </c>
      <c r="B5336" s="438">
        <v>2096759.2</v>
      </c>
      <c r="C5336" s="438">
        <v>1328215.0299999998</v>
      </c>
      <c r="D5336" s="438">
        <v>1478757.56</v>
      </c>
      <c r="E5336" s="438">
        <v>1471920.0817999998</v>
      </c>
      <c r="F5336" s="438">
        <v>1471920.0817999998</v>
      </c>
      <c r="G5336" s="438">
        <v>1491506.81232</v>
      </c>
      <c r="H5336" s="438">
        <v>1498502.0732199997</v>
      </c>
    </row>
    <row r="5337" spans="1:8" s="442" customFormat="1" ht="11.25">
      <c r="A5337" s="440" t="s">
        <v>397</v>
      </c>
      <c r="B5337" s="441">
        <v>7.8301393871202177E-2</v>
      </c>
      <c r="C5337" s="441">
        <v>0.11708751486133892</v>
      </c>
      <c r="D5337" s="441">
        <v>0.10618559922612843</v>
      </c>
      <c r="E5337" s="441">
        <v>0.10662626622304738</v>
      </c>
      <c r="F5337" s="441">
        <v>0.10662626622304738</v>
      </c>
      <c r="G5337" s="441">
        <v>0.10537357905558851</v>
      </c>
      <c r="H5337" s="441">
        <v>0.10493329424519306</v>
      </c>
    </row>
    <row r="5338" spans="1:8" s="422" customFormat="1" ht="11.25"/>
    <row r="5339" spans="1:8" s="422" customFormat="1" ht="11.25">
      <c r="A5339" s="443" t="s">
        <v>594</v>
      </c>
      <c r="B5339" s="443"/>
      <c r="C5339" s="444"/>
    </row>
    <row r="5340" spans="1:8" s="422" customFormat="1" ht="11.25">
      <c r="A5340" s="445" t="s">
        <v>595</v>
      </c>
      <c r="B5340" s="446"/>
      <c r="C5340" s="447"/>
      <c r="D5340" s="439" t="s">
        <v>474</v>
      </c>
      <c r="E5340" s="439" t="s">
        <v>375</v>
      </c>
      <c r="F5340" s="439" t="s">
        <v>9</v>
      </c>
      <c r="G5340" s="439" t="s">
        <v>131</v>
      </c>
      <c r="H5340" s="439" t="s">
        <v>424</v>
      </c>
    </row>
    <row r="5341" spans="1:8" s="422" customFormat="1" ht="11.25">
      <c r="A5341" s="448" t="s">
        <v>521</v>
      </c>
      <c r="B5341" s="449"/>
      <c r="C5341" s="449"/>
      <c r="D5341" s="438"/>
      <c r="E5341" s="438"/>
      <c r="F5341" s="438"/>
      <c r="G5341" s="438"/>
      <c r="H5341" s="438"/>
    </row>
    <row r="5342" spans="1:8" s="422" customFormat="1" ht="11.25">
      <c r="A5342" s="448"/>
      <c r="B5342" s="449"/>
      <c r="C5342" s="449"/>
      <c r="D5342" s="438"/>
      <c r="E5342" s="438"/>
      <c r="F5342" s="438"/>
      <c r="G5342" s="438"/>
      <c r="H5342" s="438"/>
    </row>
    <row r="5343" spans="1:8" s="422" customFormat="1" ht="11.25">
      <c r="A5343" s="448"/>
      <c r="B5343" s="449"/>
      <c r="C5343" s="449"/>
      <c r="D5343" s="438"/>
      <c r="E5343" s="438"/>
      <c r="F5343" s="438"/>
      <c r="G5343" s="438"/>
      <c r="H5343" s="438"/>
    </row>
    <row r="5344" spans="1:8" s="422" customFormat="1" ht="11.25"/>
    <row r="5345" spans="1:8" s="422" customFormat="1" ht="11.25">
      <c r="A5345" s="421" t="s">
        <v>423</v>
      </c>
      <c r="B5345" s="421"/>
      <c r="C5345" s="421"/>
    </row>
    <row r="5346" spans="1:8" s="422" customFormat="1" ht="11.25">
      <c r="A5346" s="450"/>
      <c r="B5346" s="439" t="s">
        <v>132</v>
      </c>
      <c r="C5346" s="439" t="s">
        <v>473</v>
      </c>
      <c r="D5346" s="439" t="s">
        <v>474</v>
      </c>
      <c r="E5346" s="439" t="s">
        <v>375</v>
      </c>
      <c r="F5346" s="439" t="s">
        <v>9</v>
      </c>
      <c r="G5346" s="439" t="s">
        <v>131</v>
      </c>
      <c r="H5346" s="439" t="s">
        <v>424</v>
      </c>
    </row>
    <row r="5347" spans="1:8" s="422" customFormat="1" ht="11.25">
      <c r="A5347" s="451" t="s">
        <v>398</v>
      </c>
      <c r="B5347" s="438">
        <v>0</v>
      </c>
      <c r="C5347" s="438">
        <v>0</v>
      </c>
      <c r="D5347" s="438">
        <v>0</v>
      </c>
      <c r="E5347" s="438">
        <v>0</v>
      </c>
      <c r="F5347" s="438">
        <v>0</v>
      </c>
      <c r="G5347" s="438">
        <v>0</v>
      </c>
      <c r="H5347" s="438">
        <v>0</v>
      </c>
    </row>
    <row r="5348" spans="1:8" s="422" customFormat="1" ht="11.25">
      <c r="A5348" s="451" t="s">
        <v>399</v>
      </c>
      <c r="B5348" s="438">
        <v>0</v>
      </c>
      <c r="C5348" s="438">
        <v>0</v>
      </c>
      <c r="D5348" s="438">
        <v>0</v>
      </c>
      <c r="E5348" s="438">
        <v>0</v>
      </c>
      <c r="F5348" s="438">
        <v>0</v>
      </c>
      <c r="G5348" s="438">
        <v>0</v>
      </c>
      <c r="H5348" s="438">
        <v>0</v>
      </c>
    </row>
    <row r="5349" spans="1:8" s="422" customFormat="1" ht="11.25">
      <c r="A5349" s="451" t="s">
        <v>400</v>
      </c>
      <c r="B5349" s="438">
        <v>0</v>
      </c>
      <c r="C5349" s="438">
        <v>0</v>
      </c>
      <c r="D5349" s="438">
        <v>0</v>
      </c>
      <c r="E5349" s="438">
        <v>0</v>
      </c>
      <c r="F5349" s="438">
        <v>0</v>
      </c>
      <c r="G5349" s="438">
        <v>0</v>
      </c>
      <c r="H5349" s="438">
        <v>0</v>
      </c>
    </row>
    <row r="5350" spans="1:8" s="422" customFormat="1" ht="11.25">
      <c r="A5350" s="451" t="s">
        <v>401</v>
      </c>
      <c r="B5350" s="438">
        <v>0</v>
      </c>
      <c r="C5350" s="438">
        <v>0</v>
      </c>
      <c r="D5350" s="438">
        <v>0</v>
      </c>
      <c r="E5350" s="438">
        <v>0</v>
      </c>
      <c r="F5350" s="438">
        <v>0</v>
      </c>
      <c r="G5350" s="438">
        <v>0</v>
      </c>
      <c r="H5350" s="438">
        <v>0</v>
      </c>
    </row>
    <row r="5351" spans="1:8" s="422" customFormat="1" ht="11.25"/>
    <row r="5352" spans="1:8" s="422" customFormat="1" ht="11.25">
      <c r="A5352" s="421" t="s">
        <v>597</v>
      </c>
      <c r="B5352" s="421"/>
      <c r="C5352" s="421"/>
    </row>
    <row r="5353" spans="1:8" s="429" customFormat="1" ht="11.25">
      <c r="A5353" s="428"/>
      <c r="B5353" s="428"/>
      <c r="C5353" s="428"/>
    </row>
    <row r="5354" spans="1:8" s="429" customFormat="1" ht="11.25">
      <c r="A5354" s="428"/>
      <c r="B5354" s="428"/>
      <c r="C5354" s="428"/>
    </row>
    <row r="5355" spans="1:8" s="429" customFormat="1" ht="11.25">
      <c r="A5355" s="428"/>
      <c r="B5355" s="428"/>
      <c r="C5355" s="428"/>
    </row>
    <row r="5356" spans="1:8" s="422" customFormat="1" ht="11.25"/>
    <row r="5357" spans="1:8" s="422" customFormat="1" ht="11.25">
      <c r="A5357" s="421" t="s">
        <v>598</v>
      </c>
      <c r="B5357" s="421"/>
      <c r="C5357" s="421"/>
    </row>
    <row r="5358" spans="1:8" s="422" customFormat="1" ht="11.25">
      <c r="A5358" s="452" t="s">
        <v>599</v>
      </c>
      <c r="B5358" s="447"/>
      <c r="C5358" s="447"/>
      <c r="D5358" s="447"/>
      <c r="E5358" s="439" t="s">
        <v>375</v>
      </c>
      <c r="F5358" s="439" t="s">
        <v>9</v>
      </c>
      <c r="G5358" s="439" t="s">
        <v>131</v>
      </c>
      <c r="H5358" s="439" t="s">
        <v>424</v>
      </c>
    </row>
    <row r="5359" spans="1:8" s="422" customFormat="1" ht="11.25">
      <c r="A5359" s="448"/>
      <c r="B5359" s="449"/>
      <c r="C5359" s="449"/>
      <c r="D5359" s="449"/>
      <c r="E5359" s="438">
        <v>0</v>
      </c>
      <c r="F5359" s="438">
        <v>0</v>
      </c>
      <c r="G5359" s="438">
        <v>0</v>
      </c>
      <c r="H5359" s="438">
        <v>0</v>
      </c>
    </row>
    <row r="5360" spans="1:8" s="422" customFormat="1" ht="11.25">
      <c r="A5360" s="448"/>
      <c r="B5360" s="449"/>
      <c r="C5360" s="449"/>
      <c r="D5360" s="449"/>
      <c r="E5360" s="438">
        <v>0</v>
      </c>
      <c r="F5360" s="438">
        <v>0</v>
      </c>
      <c r="G5360" s="438">
        <v>0</v>
      </c>
      <c r="H5360" s="438">
        <v>0</v>
      </c>
    </row>
    <row r="5361" spans="1:8" s="422" customFormat="1" ht="11.25">
      <c r="A5361" s="448"/>
      <c r="B5361" s="449"/>
      <c r="C5361" s="449"/>
      <c r="D5361" s="449"/>
      <c r="E5361" s="438">
        <v>0</v>
      </c>
      <c r="F5361" s="438">
        <v>0</v>
      </c>
      <c r="G5361" s="438">
        <v>0</v>
      </c>
      <c r="H5361" s="438">
        <v>0</v>
      </c>
    </row>
    <row r="5362" spans="1:8" s="421" customFormat="1" ht="11.25">
      <c r="A5362" s="421" t="s">
        <v>391</v>
      </c>
      <c r="D5362" s="421" t="s">
        <v>472</v>
      </c>
    </row>
    <row r="5363" spans="1:8" s="422" customFormat="1" ht="11.25"/>
    <row r="5364" spans="1:8" s="421" customFormat="1" ht="11.25" customHeight="1">
      <c r="A5364" s="423" t="s">
        <v>392</v>
      </c>
      <c r="D5364" s="421" t="s">
        <v>159</v>
      </c>
    </row>
    <row r="5365" spans="1:8" s="421" customFormat="1" ht="7.5" customHeight="1">
      <c r="A5365" s="423"/>
    </row>
    <row r="5366" spans="1:8" s="421" customFormat="1" ht="11.25">
      <c r="A5366" s="424" t="s">
        <v>393</v>
      </c>
      <c r="D5366" s="583" t="s">
        <v>735</v>
      </c>
      <c r="E5366" s="583"/>
      <c r="F5366" s="583"/>
      <c r="G5366" s="583"/>
      <c r="H5366" s="583"/>
    </row>
    <row r="5367" spans="1:8" s="421" customFormat="1" ht="7.5" customHeight="1"/>
    <row r="5368" spans="1:8" s="422" customFormat="1" ht="11.25">
      <c r="A5368" s="421" t="s">
        <v>170</v>
      </c>
      <c r="B5368" s="421"/>
      <c r="C5368" s="421"/>
      <c r="D5368" s="422" t="s">
        <v>293</v>
      </c>
      <c r="E5368" s="422" t="s">
        <v>1199</v>
      </c>
    </row>
    <row r="5369" spans="1:8" s="422" customFormat="1" ht="7.5" customHeight="1"/>
    <row r="5370" spans="1:8" s="427" customFormat="1" ht="11.25">
      <c r="A5370" s="425" t="s">
        <v>587</v>
      </c>
      <c r="B5370" s="425"/>
      <c r="C5370" s="425"/>
      <c r="D5370" s="426" t="s">
        <v>1200</v>
      </c>
      <c r="E5370" s="584" t="s">
        <v>1201</v>
      </c>
      <c r="F5370" s="584"/>
      <c r="G5370" s="584"/>
      <c r="H5370" s="584"/>
    </row>
    <row r="5371" spans="1:8" s="427" customFormat="1" ht="11.25">
      <c r="A5371" s="425"/>
      <c r="B5371" s="425"/>
      <c r="C5371" s="425"/>
      <c r="D5371" s="426" t="s">
        <v>1202</v>
      </c>
      <c r="E5371" s="584" t="s">
        <v>1203</v>
      </c>
      <c r="F5371" s="584"/>
      <c r="G5371" s="584"/>
      <c r="H5371" s="584"/>
    </row>
    <row r="5372" spans="1:8" s="427" customFormat="1" ht="11.25">
      <c r="A5372" s="425"/>
      <c r="B5372" s="425"/>
      <c r="C5372" s="425"/>
      <c r="D5372" s="426"/>
      <c r="E5372" s="584"/>
      <c r="F5372" s="584"/>
      <c r="G5372" s="584"/>
      <c r="H5372" s="584"/>
    </row>
    <row r="5373" spans="1:8" s="427" customFormat="1" ht="11.25"/>
    <row r="5374" spans="1:8" s="422" customFormat="1" ht="11.25"/>
    <row r="5375" spans="1:8" s="422" customFormat="1" ht="11.25">
      <c r="A5375" s="421" t="s">
        <v>589</v>
      </c>
      <c r="B5375" s="421"/>
      <c r="C5375" s="421"/>
    </row>
    <row r="5376" spans="1:8" s="429" customFormat="1" ht="11.25">
      <c r="A5376" s="428"/>
      <c r="B5376" s="428"/>
      <c r="C5376" s="428"/>
    </row>
    <row r="5377" spans="1:8" s="429" customFormat="1" ht="11.25">
      <c r="A5377" s="428"/>
      <c r="B5377" s="428"/>
      <c r="C5377" s="428"/>
    </row>
    <row r="5378" spans="1:8" s="429" customFormat="1" ht="11.25">
      <c r="A5378" s="428"/>
      <c r="B5378" s="428"/>
      <c r="C5378" s="428"/>
    </row>
    <row r="5379" spans="1:8" s="429" customFormat="1" ht="11.25">
      <c r="A5379" s="428"/>
      <c r="B5379" s="428"/>
      <c r="C5379" s="428"/>
    </row>
    <row r="5380" spans="1:8" s="422" customFormat="1" ht="22.5" customHeight="1">
      <c r="A5380" s="585" t="s">
        <v>590</v>
      </c>
      <c r="B5380" s="585"/>
      <c r="C5380" s="585"/>
      <c r="D5380" s="586"/>
      <c r="E5380" s="586"/>
      <c r="F5380" s="586"/>
      <c r="G5380" s="586"/>
      <c r="H5380" s="586"/>
    </row>
    <row r="5381" spans="1:8" s="429" customFormat="1" ht="11.25">
      <c r="A5381" s="431"/>
      <c r="B5381" s="431"/>
      <c r="C5381" s="431"/>
      <c r="D5381" s="432"/>
      <c r="E5381" s="432"/>
      <c r="F5381" s="432"/>
      <c r="G5381" s="432"/>
      <c r="H5381" s="432"/>
    </row>
    <row r="5382" spans="1:8" s="429" customFormat="1" ht="11.25">
      <c r="A5382" s="431"/>
      <c r="B5382" s="431"/>
      <c r="C5382" s="431"/>
      <c r="D5382" s="432"/>
      <c r="E5382" s="432"/>
      <c r="F5382" s="432"/>
      <c r="G5382" s="432"/>
      <c r="H5382" s="432"/>
    </row>
    <row r="5383" spans="1:8" s="429" customFormat="1" ht="11.25">
      <c r="A5383" s="431"/>
      <c r="B5383" s="431"/>
      <c r="C5383" s="431"/>
      <c r="D5383" s="432"/>
      <c r="E5383" s="432"/>
      <c r="F5383" s="432"/>
      <c r="G5383" s="432"/>
      <c r="H5383" s="432"/>
    </row>
    <row r="5384" spans="1:8" s="429" customFormat="1" ht="11.25">
      <c r="A5384" s="431"/>
      <c r="B5384" s="431"/>
      <c r="C5384" s="431"/>
      <c r="D5384" s="432"/>
      <c r="E5384" s="432"/>
      <c r="F5384" s="432"/>
      <c r="G5384" s="432"/>
      <c r="H5384" s="432"/>
    </row>
    <row r="5385" spans="1:8" s="429" customFormat="1" ht="11.25">
      <c r="A5385" s="431"/>
      <c r="B5385" s="431"/>
      <c r="C5385" s="431"/>
      <c r="D5385" s="432"/>
      <c r="E5385" s="432"/>
      <c r="F5385" s="432"/>
      <c r="G5385" s="432"/>
      <c r="H5385" s="432"/>
    </row>
    <row r="5386" spans="1:8" s="429" customFormat="1" ht="11.25">
      <c r="A5386" s="431"/>
      <c r="B5386" s="431"/>
      <c r="C5386" s="431"/>
      <c r="D5386" s="432"/>
      <c r="E5386" s="432"/>
      <c r="F5386" s="432"/>
      <c r="G5386" s="432"/>
      <c r="H5386" s="432"/>
    </row>
    <row r="5387" spans="1:8" s="429" customFormat="1" ht="11.25">
      <c r="A5387" s="431"/>
      <c r="B5387" s="431"/>
      <c r="C5387" s="431"/>
      <c r="D5387" s="432"/>
      <c r="E5387" s="432"/>
      <c r="F5387" s="432"/>
      <c r="G5387" s="432"/>
      <c r="H5387" s="432"/>
    </row>
    <row r="5388" spans="1:8" s="422" customFormat="1" ht="9.75" customHeight="1"/>
    <row r="5389" spans="1:8" s="422" customFormat="1" ht="9.75" customHeight="1"/>
    <row r="5390" spans="1:8" s="422" customFormat="1" ht="11.25">
      <c r="A5390" s="421" t="s">
        <v>591</v>
      </c>
      <c r="B5390" s="421"/>
      <c r="C5390" s="421"/>
    </row>
    <row r="5391" spans="1:8" s="429" customFormat="1" ht="11.25">
      <c r="A5391" s="428"/>
      <c r="B5391" s="428"/>
      <c r="C5391" s="428"/>
    </row>
    <row r="5392" spans="1:8" s="429" customFormat="1" ht="11.25">
      <c r="A5392" s="428"/>
      <c r="B5392" s="428"/>
      <c r="C5392" s="428"/>
    </row>
    <row r="5393" spans="1:8" s="429" customFormat="1" ht="11.25">
      <c r="A5393" s="428"/>
      <c r="B5393" s="428"/>
      <c r="C5393" s="428"/>
    </row>
    <row r="5394" spans="1:8" s="422" customFormat="1" ht="11.25"/>
    <row r="5395" spans="1:8" s="422" customFormat="1" ht="11.25">
      <c r="A5395" s="433" t="s">
        <v>592</v>
      </c>
      <c r="B5395" s="434"/>
      <c r="C5395" s="434"/>
      <c r="D5395" s="434"/>
      <c r="E5395" s="434"/>
      <c r="F5395" s="434"/>
      <c r="G5395" s="434"/>
      <c r="H5395" s="434"/>
    </row>
    <row r="5396" spans="1:8" s="429" customFormat="1" ht="11.25">
      <c r="A5396" s="435"/>
      <c r="B5396" s="436"/>
      <c r="C5396" s="436"/>
      <c r="D5396" s="436"/>
      <c r="E5396" s="436"/>
      <c r="F5396" s="436"/>
      <c r="G5396" s="436"/>
      <c r="H5396" s="436"/>
    </row>
    <row r="5397" spans="1:8" s="429" customFormat="1" ht="11.25">
      <c r="A5397" s="435"/>
      <c r="B5397" s="436"/>
      <c r="C5397" s="436"/>
      <c r="D5397" s="436"/>
      <c r="E5397" s="436"/>
      <c r="F5397" s="436"/>
      <c r="G5397" s="436"/>
      <c r="H5397" s="436"/>
    </row>
    <row r="5398" spans="1:8" s="422" customFormat="1" ht="11.25">
      <c r="A5398" s="437"/>
      <c r="B5398" s="437"/>
      <c r="C5398" s="437"/>
      <c r="D5398" s="437"/>
      <c r="E5398" s="437"/>
      <c r="F5398" s="437"/>
      <c r="G5398" s="437"/>
      <c r="H5398" s="437"/>
    </row>
    <row r="5399" spans="1:8" s="422" customFormat="1" ht="11.25">
      <c r="A5399" s="421" t="s">
        <v>593</v>
      </c>
      <c r="B5399" s="421"/>
      <c r="C5399" s="421"/>
    </row>
    <row r="5400" spans="1:8" s="422" customFormat="1" ht="11.25">
      <c r="A5400" s="438"/>
      <c r="B5400" s="439" t="s">
        <v>132</v>
      </c>
      <c r="C5400" s="439" t="s">
        <v>473</v>
      </c>
      <c r="D5400" s="439" t="s">
        <v>474</v>
      </c>
      <c r="E5400" s="439" t="s">
        <v>375</v>
      </c>
      <c r="F5400" s="439" t="s">
        <v>9</v>
      </c>
      <c r="G5400" s="439" t="s">
        <v>131</v>
      </c>
      <c r="H5400" s="439" t="s">
        <v>424</v>
      </c>
    </row>
    <row r="5401" spans="1:8" s="422" customFormat="1" ht="11.25">
      <c r="A5401" s="439" t="s">
        <v>394</v>
      </c>
      <c r="B5401" s="438">
        <v>30093638.049999997</v>
      </c>
      <c r="C5401" s="438">
        <v>30302812.990000002</v>
      </c>
      <c r="D5401" s="438">
        <v>30197035.359999999</v>
      </c>
      <c r="E5401" s="438">
        <v>31296479.173599999</v>
      </c>
      <c r="F5401" s="438">
        <v>34960802.373600006</v>
      </c>
      <c r="G5401" s="438">
        <v>36036901.712640002</v>
      </c>
      <c r="H5401" s="438">
        <v>38241267.369440004</v>
      </c>
    </row>
    <row r="5402" spans="1:8" s="422" customFormat="1" ht="11.25">
      <c r="A5402" s="439" t="s">
        <v>395</v>
      </c>
      <c r="B5402" s="438">
        <v>-57085.15</v>
      </c>
      <c r="C5402" s="438">
        <v>-73660.05</v>
      </c>
      <c r="D5402" s="438">
        <v>-601605</v>
      </c>
      <c r="E5402" s="438">
        <v>-612605</v>
      </c>
      <c r="F5402" s="438">
        <v>-623605</v>
      </c>
      <c r="G5402" s="438">
        <v>-634605</v>
      </c>
      <c r="H5402" s="438">
        <v>-61605</v>
      </c>
    </row>
    <row r="5403" spans="1:8" s="422" customFormat="1" ht="11.25">
      <c r="A5403" s="439" t="s">
        <v>396</v>
      </c>
      <c r="B5403" s="438">
        <v>30036552.899999999</v>
      </c>
      <c r="C5403" s="438">
        <v>30229152.940000001</v>
      </c>
      <c r="D5403" s="438">
        <v>29595430.359999999</v>
      </c>
      <c r="E5403" s="438">
        <v>30683874.173599999</v>
      </c>
      <c r="F5403" s="438">
        <v>34337197.373600006</v>
      </c>
      <c r="G5403" s="438">
        <v>35402296.712640002</v>
      </c>
      <c r="H5403" s="438">
        <v>38179662.369440004</v>
      </c>
    </row>
    <row r="5404" spans="1:8" s="442" customFormat="1" ht="11.25">
      <c r="A5404" s="440" t="s">
        <v>397</v>
      </c>
      <c r="B5404" s="441">
        <v>1.8969175446702101E-3</v>
      </c>
      <c r="C5404" s="441">
        <v>2.4307990820623812E-3</v>
      </c>
      <c r="D5404" s="441">
        <v>1.9922651108886871E-2</v>
      </c>
      <c r="E5404" s="441">
        <v>1.9574246566264237E-2</v>
      </c>
      <c r="F5404" s="441">
        <v>1.7837262238320467E-2</v>
      </c>
      <c r="G5404" s="441">
        <v>1.7609865716547192E-2</v>
      </c>
      <c r="H5404" s="441">
        <v>1.6109560231058349E-3</v>
      </c>
    </row>
    <row r="5405" spans="1:8" s="422" customFormat="1" ht="11.25"/>
    <row r="5406" spans="1:8" s="422" customFormat="1" ht="11.25">
      <c r="A5406" s="443" t="s">
        <v>594</v>
      </c>
      <c r="B5406" s="443"/>
      <c r="C5406" s="444"/>
    </row>
    <row r="5407" spans="1:8" s="422" customFormat="1" ht="11.25">
      <c r="A5407" s="445" t="s">
        <v>595</v>
      </c>
      <c r="B5407" s="446"/>
      <c r="C5407" s="447"/>
      <c r="D5407" s="439" t="s">
        <v>474</v>
      </c>
      <c r="E5407" s="439" t="s">
        <v>375</v>
      </c>
      <c r="F5407" s="439" t="s">
        <v>9</v>
      </c>
      <c r="G5407" s="439" t="s">
        <v>131</v>
      </c>
      <c r="H5407" s="439" t="s">
        <v>424</v>
      </c>
    </row>
    <row r="5408" spans="1:8" s="422" customFormat="1" ht="11.25">
      <c r="A5408" s="448" t="s">
        <v>521</v>
      </c>
      <c r="B5408" s="449"/>
      <c r="C5408" s="449"/>
      <c r="D5408" s="438"/>
      <c r="E5408" s="438"/>
      <c r="F5408" s="438"/>
      <c r="G5408" s="438"/>
      <c r="H5408" s="438"/>
    </row>
    <row r="5409" spans="1:8" s="422" customFormat="1" ht="11.25">
      <c r="A5409" s="448"/>
      <c r="B5409" s="449"/>
      <c r="C5409" s="449"/>
      <c r="D5409" s="438"/>
      <c r="E5409" s="438"/>
      <c r="F5409" s="438"/>
      <c r="G5409" s="438"/>
      <c r="H5409" s="438"/>
    </row>
    <row r="5410" spans="1:8" s="422" customFormat="1" ht="11.25">
      <c r="A5410" s="448"/>
      <c r="B5410" s="449"/>
      <c r="C5410" s="449"/>
      <c r="D5410" s="438"/>
      <c r="E5410" s="438"/>
      <c r="F5410" s="438"/>
      <c r="G5410" s="438"/>
      <c r="H5410" s="438"/>
    </row>
    <row r="5411" spans="1:8" s="422" customFormat="1" ht="11.25"/>
    <row r="5412" spans="1:8" s="422" customFormat="1" ht="11.25">
      <c r="A5412" s="421" t="s">
        <v>423</v>
      </c>
      <c r="B5412" s="421"/>
      <c r="C5412" s="421"/>
    </row>
    <row r="5413" spans="1:8" s="422" customFormat="1" ht="11.25">
      <c r="A5413" s="450"/>
      <c r="B5413" s="439" t="s">
        <v>132</v>
      </c>
      <c r="C5413" s="439" t="s">
        <v>473</v>
      </c>
      <c r="D5413" s="439" t="s">
        <v>474</v>
      </c>
      <c r="E5413" s="439" t="s">
        <v>375</v>
      </c>
      <c r="F5413" s="439" t="s">
        <v>9</v>
      </c>
      <c r="G5413" s="439" t="s">
        <v>131</v>
      </c>
      <c r="H5413" s="439" t="s">
        <v>424</v>
      </c>
    </row>
    <row r="5414" spans="1:8" s="422" customFormat="1" ht="11.25">
      <c r="A5414" s="451" t="s">
        <v>398</v>
      </c>
      <c r="B5414" s="438">
        <v>0</v>
      </c>
      <c r="C5414" s="438">
        <v>0</v>
      </c>
      <c r="D5414" s="438">
        <v>0</v>
      </c>
      <c r="E5414" s="438">
        <v>0</v>
      </c>
      <c r="F5414" s="438">
        <v>0</v>
      </c>
      <c r="G5414" s="438">
        <v>0</v>
      </c>
      <c r="H5414" s="438">
        <v>0</v>
      </c>
    </row>
    <row r="5415" spans="1:8" s="422" customFormat="1" ht="11.25">
      <c r="A5415" s="451" t="s">
        <v>399</v>
      </c>
      <c r="B5415" s="438">
        <v>0</v>
      </c>
      <c r="C5415" s="438">
        <v>0</v>
      </c>
      <c r="D5415" s="438">
        <v>0</v>
      </c>
      <c r="E5415" s="438">
        <v>0</v>
      </c>
      <c r="F5415" s="438">
        <v>0</v>
      </c>
      <c r="G5415" s="438">
        <v>0</v>
      </c>
      <c r="H5415" s="438">
        <v>0</v>
      </c>
    </row>
    <row r="5416" spans="1:8" s="422" customFormat="1" ht="11.25">
      <c r="A5416" s="451" t="s">
        <v>400</v>
      </c>
      <c r="B5416" s="438">
        <v>0</v>
      </c>
      <c r="C5416" s="438">
        <v>0</v>
      </c>
      <c r="D5416" s="438">
        <v>0</v>
      </c>
      <c r="E5416" s="438">
        <v>0</v>
      </c>
      <c r="F5416" s="438">
        <v>0</v>
      </c>
      <c r="G5416" s="438">
        <v>0</v>
      </c>
      <c r="H5416" s="438">
        <v>0</v>
      </c>
    </row>
    <row r="5417" spans="1:8" s="422" customFormat="1" ht="11.25">
      <c r="A5417" s="451" t="s">
        <v>401</v>
      </c>
      <c r="B5417" s="438">
        <v>0</v>
      </c>
      <c r="C5417" s="438">
        <v>0</v>
      </c>
      <c r="D5417" s="438">
        <v>0</v>
      </c>
      <c r="E5417" s="438">
        <v>0</v>
      </c>
      <c r="F5417" s="438">
        <v>0</v>
      </c>
      <c r="G5417" s="438">
        <v>0</v>
      </c>
      <c r="H5417" s="438">
        <v>0</v>
      </c>
    </row>
    <row r="5418" spans="1:8" s="422" customFormat="1" ht="11.25"/>
    <row r="5419" spans="1:8" s="422" customFormat="1" ht="11.25">
      <c r="A5419" s="421" t="s">
        <v>597</v>
      </c>
      <c r="B5419" s="421"/>
      <c r="C5419" s="421"/>
    </row>
    <row r="5420" spans="1:8" s="429" customFormat="1" ht="11.25">
      <c r="A5420" s="428"/>
      <c r="B5420" s="428"/>
      <c r="C5420" s="428"/>
    </row>
    <row r="5421" spans="1:8" s="429" customFormat="1" ht="11.25">
      <c r="A5421" s="428"/>
      <c r="B5421" s="428"/>
      <c r="C5421" s="428"/>
    </row>
    <row r="5422" spans="1:8" s="429" customFormat="1" ht="11.25">
      <c r="A5422" s="428"/>
      <c r="B5422" s="428"/>
      <c r="C5422" s="428"/>
    </row>
    <row r="5423" spans="1:8" s="422" customFormat="1" ht="11.25"/>
    <row r="5424" spans="1:8" s="422" customFormat="1" ht="11.25">
      <c r="A5424" s="421" t="s">
        <v>598</v>
      </c>
      <c r="B5424" s="421"/>
      <c r="C5424" s="421"/>
    </row>
    <row r="5425" spans="1:8" s="422" customFormat="1" ht="11.25">
      <c r="A5425" s="452" t="s">
        <v>599</v>
      </c>
      <c r="B5425" s="447"/>
      <c r="C5425" s="447"/>
      <c r="D5425" s="447"/>
      <c r="E5425" s="439" t="s">
        <v>375</v>
      </c>
      <c r="F5425" s="439" t="s">
        <v>9</v>
      </c>
      <c r="G5425" s="439" t="s">
        <v>131</v>
      </c>
      <c r="H5425" s="439" t="s">
        <v>424</v>
      </c>
    </row>
    <row r="5426" spans="1:8" s="422" customFormat="1" ht="11.25">
      <c r="A5426" s="448"/>
      <c r="B5426" s="449"/>
      <c r="C5426" s="449"/>
      <c r="D5426" s="449"/>
      <c r="E5426" s="438">
        <v>0</v>
      </c>
      <c r="F5426" s="438">
        <v>0</v>
      </c>
      <c r="G5426" s="438">
        <v>0</v>
      </c>
      <c r="H5426" s="438">
        <v>0</v>
      </c>
    </row>
    <row r="5427" spans="1:8" s="422" customFormat="1" ht="11.25">
      <c r="A5427" s="448"/>
      <c r="B5427" s="449"/>
      <c r="C5427" s="449"/>
      <c r="D5427" s="449"/>
      <c r="E5427" s="438">
        <v>0</v>
      </c>
      <c r="F5427" s="438">
        <v>0</v>
      </c>
      <c r="G5427" s="438">
        <v>0</v>
      </c>
      <c r="H5427" s="438">
        <v>0</v>
      </c>
    </row>
    <row r="5428" spans="1:8" s="422" customFormat="1" ht="11.25">
      <c r="A5428" s="448"/>
      <c r="B5428" s="449"/>
      <c r="C5428" s="449"/>
      <c r="D5428" s="449"/>
      <c r="E5428" s="438">
        <v>0</v>
      </c>
      <c r="F5428" s="438">
        <v>0</v>
      </c>
      <c r="G5428" s="438">
        <v>0</v>
      </c>
      <c r="H5428" s="438">
        <v>0</v>
      </c>
    </row>
    <row r="5429" spans="1:8" s="421" customFormat="1" ht="11.25">
      <c r="A5429" s="421" t="s">
        <v>391</v>
      </c>
      <c r="D5429" s="421" t="s">
        <v>472</v>
      </c>
    </row>
    <row r="5430" spans="1:8" s="422" customFormat="1" ht="11.25"/>
    <row r="5431" spans="1:8" s="421" customFormat="1" ht="11.25" customHeight="1">
      <c r="A5431" s="423" t="s">
        <v>392</v>
      </c>
      <c r="D5431" s="421" t="s">
        <v>159</v>
      </c>
    </row>
    <row r="5432" spans="1:8" s="421" customFormat="1" ht="7.5" customHeight="1">
      <c r="A5432" s="423"/>
    </row>
    <row r="5433" spans="1:8" s="421" customFormat="1" ht="11.25">
      <c r="A5433" s="424" t="s">
        <v>393</v>
      </c>
      <c r="D5433" s="583" t="s">
        <v>127</v>
      </c>
      <c r="E5433" s="583"/>
      <c r="F5433" s="583"/>
      <c r="G5433" s="583"/>
      <c r="H5433" s="583"/>
    </row>
    <row r="5434" spans="1:8" s="421" customFormat="1" ht="7.5" customHeight="1"/>
    <row r="5435" spans="1:8" s="422" customFormat="1" ht="11.25">
      <c r="A5435" s="421" t="s">
        <v>170</v>
      </c>
      <c r="B5435" s="421"/>
      <c r="C5435" s="421"/>
      <c r="D5435" s="422" t="s">
        <v>294</v>
      </c>
      <c r="E5435" s="422" t="s">
        <v>295</v>
      </c>
    </row>
    <row r="5436" spans="1:8" s="422" customFormat="1" ht="7.5" customHeight="1"/>
    <row r="5437" spans="1:8" s="427" customFormat="1" ht="11.25">
      <c r="A5437" s="425" t="s">
        <v>587</v>
      </c>
      <c r="B5437" s="425"/>
      <c r="C5437" s="425"/>
      <c r="D5437" s="426" t="s">
        <v>1204</v>
      </c>
      <c r="E5437" s="584" t="s">
        <v>1205</v>
      </c>
      <c r="F5437" s="584"/>
      <c r="G5437" s="584"/>
      <c r="H5437" s="584"/>
    </row>
    <row r="5438" spans="1:8" s="427" customFormat="1" ht="11.25">
      <c r="A5438" s="425"/>
      <c r="B5438" s="425"/>
      <c r="C5438" s="425"/>
      <c r="D5438" s="426" t="s">
        <v>1206</v>
      </c>
      <c r="E5438" s="584" t="s">
        <v>1207</v>
      </c>
      <c r="F5438" s="584"/>
      <c r="G5438" s="584"/>
      <c r="H5438" s="584"/>
    </row>
    <row r="5439" spans="1:8" s="427" customFormat="1" ht="11.25">
      <c r="A5439" s="425"/>
      <c r="B5439" s="425"/>
      <c r="C5439" s="425"/>
      <c r="D5439" s="426"/>
      <c r="E5439" s="584"/>
      <c r="F5439" s="584"/>
      <c r="G5439" s="584"/>
      <c r="H5439" s="584"/>
    </row>
    <row r="5440" spans="1:8" s="427" customFormat="1" ht="11.25"/>
    <row r="5441" spans="1:8" s="422" customFormat="1" ht="11.25"/>
    <row r="5442" spans="1:8" s="422" customFormat="1" ht="11.25">
      <c r="A5442" s="421" t="s">
        <v>589</v>
      </c>
      <c r="B5442" s="421"/>
      <c r="C5442" s="421"/>
    </row>
    <row r="5443" spans="1:8" s="429" customFormat="1" ht="11.25">
      <c r="A5443" s="428"/>
      <c r="B5443" s="428"/>
      <c r="C5443" s="428"/>
    </row>
    <row r="5444" spans="1:8" s="429" customFormat="1" ht="11.25">
      <c r="A5444" s="428"/>
      <c r="B5444" s="428"/>
      <c r="C5444" s="428"/>
    </row>
    <row r="5445" spans="1:8" s="429" customFormat="1" ht="11.25">
      <c r="A5445" s="428"/>
      <c r="B5445" s="428"/>
      <c r="C5445" s="428"/>
    </row>
    <row r="5446" spans="1:8" s="429" customFormat="1" ht="11.25">
      <c r="A5446" s="428"/>
      <c r="B5446" s="428"/>
      <c r="C5446" s="428"/>
    </row>
    <row r="5447" spans="1:8" s="429" customFormat="1" ht="11.25">
      <c r="A5447" s="428"/>
      <c r="B5447" s="428"/>
      <c r="C5447" s="428"/>
    </row>
    <row r="5448" spans="1:8" s="429" customFormat="1" ht="11.25">
      <c r="A5448" s="428"/>
      <c r="B5448" s="428"/>
      <c r="C5448" s="428"/>
    </row>
    <row r="5449" spans="1:8" s="422" customFormat="1" ht="9" customHeight="1">
      <c r="A5449" s="430"/>
      <c r="B5449" s="430"/>
      <c r="C5449" s="430"/>
      <c r="D5449" s="430"/>
      <c r="E5449" s="430"/>
      <c r="F5449" s="430"/>
      <c r="G5449" s="430"/>
      <c r="H5449" s="430"/>
    </row>
    <row r="5450" spans="1:8" s="422" customFormat="1" ht="22.5" customHeight="1">
      <c r="A5450" s="585" t="s">
        <v>590</v>
      </c>
      <c r="B5450" s="585"/>
      <c r="C5450" s="585"/>
      <c r="D5450" s="586"/>
      <c r="E5450" s="586"/>
      <c r="F5450" s="586"/>
      <c r="G5450" s="586"/>
      <c r="H5450" s="586"/>
    </row>
    <row r="5451" spans="1:8" s="429" customFormat="1" ht="11.25">
      <c r="A5451" s="431"/>
      <c r="B5451" s="431"/>
      <c r="C5451" s="431"/>
      <c r="D5451" s="432"/>
      <c r="E5451" s="432"/>
      <c r="F5451" s="432"/>
      <c r="G5451" s="432"/>
      <c r="H5451" s="432"/>
    </row>
    <row r="5452" spans="1:8" s="429" customFormat="1" ht="11.25">
      <c r="A5452" s="431"/>
      <c r="B5452" s="431"/>
      <c r="C5452" s="431"/>
      <c r="D5452" s="432"/>
      <c r="E5452" s="432"/>
      <c r="F5452" s="432"/>
      <c r="G5452" s="432"/>
      <c r="H5452" s="432"/>
    </row>
    <row r="5453" spans="1:8" s="429" customFormat="1" ht="11.25">
      <c r="A5453" s="431"/>
      <c r="B5453" s="431"/>
      <c r="C5453" s="431"/>
      <c r="D5453" s="432"/>
      <c r="E5453" s="432"/>
      <c r="F5453" s="432"/>
      <c r="G5453" s="432"/>
      <c r="H5453" s="432"/>
    </row>
    <row r="5454" spans="1:8" s="429" customFormat="1" ht="87" customHeight="1">
      <c r="A5454" s="431"/>
      <c r="B5454" s="431"/>
      <c r="C5454" s="431"/>
      <c r="D5454" s="432"/>
      <c r="E5454" s="432"/>
      <c r="F5454" s="432"/>
      <c r="G5454" s="432"/>
      <c r="H5454" s="432"/>
    </row>
    <row r="5455" spans="1:8" s="422" customFormat="1" ht="13.5" customHeight="1"/>
    <row r="5456" spans="1:8" s="422" customFormat="1" ht="11.25">
      <c r="A5456" s="421" t="s">
        <v>591</v>
      </c>
      <c r="B5456" s="421"/>
      <c r="C5456" s="421"/>
    </row>
    <row r="5457" spans="1:8" s="429" customFormat="1" ht="11.25">
      <c r="A5457" s="428"/>
      <c r="B5457" s="428"/>
      <c r="C5457" s="428"/>
    </row>
    <row r="5458" spans="1:8" s="429" customFormat="1" ht="11.25">
      <c r="A5458" s="428"/>
      <c r="B5458" s="428"/>
      <c r="C5458" s="428"/>
    </row>
    <row r="5459" spans="1:8" s="429" customFormat="1" ht="11.25">
      <c r="A5459" s="428"/>
      <c r="B5459" s="428"/>
      <c r="C5459" s="428"/>
    </row>
    <row r="5460" spans="1:8" s="429" customFormat="1" ht="11.25">
      <c r="A5460" s="428"/>
      <c r="B5460" s="428"/>
      <c r="C5460" s="428"/>
    </row>
    <row r="5461" spans="1:8" s="422" customFormat="1" ht="11.25">
      <c r="A5461" s="433" t="s">
        <v>592</v>
      </c>
      <c r="B5461" s="434"/>
      <c r="C5461" s="434"/>
      <c r="D5461" s="434"/>
      <c r="E5461" s="434"/>
      <c r="F5461" s="434"/>
      <c r="G5461" s="434"/>
      <c r="H5461" s="434"/>
    </row>
    <row r="5462" spans="1:8" s="429" customFormat="1" ht="11.25">
      <c r="A5462" s="435"/>
      <c r="B5462" s="436"/>
      <c r="C5462" s="436"/>
      <c r="D5462" s="436"/>
      <c r="E5462" s="436"/>
      <c r="F5462" s="436"/>
      <c r="G5462" s="436"/>
      <c r="H5462" s="436"/>
    </row>
    <row r="5463" spans="1:8" s="429" customFormat="1" ht="11.25">
      <c r="A5463" s="435"/>
      <c r="B5463" s="436"/>
      <c r="C5463" s="436"/>
      <c r="D5463" s="436"/>
      <c r="E5463" s="436"/>
      <c r="F5463" s="436"/>
      <c r="G5463" s="436"/>
      <c r="H5463" s="436"/>
    </row>
    <row r="5464" spans="1:8" s="422" customFormat="1" ht="11.25">
      <c r="A5464" s="437"/>
      <c r="B5464" s="437"/>
      <c r="C5464" s="437"/>
      <c r="D5464" s="437"/>
      <c r="E5464" s="437"/>
      <c r="F5464" s="437"/>
      <c r="G5464" s="437"/>
      <c r="H5464" s="437"/>
    </row>
    <row r="5465" spans="1:8" s="422" customFormat="1" ht="11.25">
      <c r="A5465" s="421" t="s">
        <v>593</v>
      </c>
      <c r="B5465" s="421"/>
      <c r="C5465" s="421"/>
    </row>
    <row r="5466" spans="1:8" s="422" customFormat="1" ht="11.25">
      <c r="A5466" s="438"/>
      <c r="B5466" s="439" t="s">
        <v>132</v>
      </c>
      <c r="C5466" s="439" t="s">
        <v>473</v>
      </c>
      <c r="D5466" s="439" t="s">
        <v>474</v>
      </c>
      <c r="E5466" s="439" t="s">
        <v>375</v>
      </c>
      <c r="F5466" s="439" t="s">
        <v>9</v>
      </c>
      <c r="G5466" s="439" t="s">
        <v>131</v>
      </c>
      <c r="H5466" s="439" t="s">
        <v>424</v>
      </c>
    </row>
    <row r="5467" spans="1:8" s="422" customFormat="1" ht="11.25">
      <c r="A5467" s="439" t="s">
        <v>394</v>
      </c>
      <c r="B5467" s="438">
        <v>2642531.3899999997</v>
      </c>
      <c r="C5467" s="438">
        <v>2868973.3000000003</v>
      </c>
      <c r="D5467" s="438">
        <v>2931568.1599999997</v>
      </c>
      <c r="E5467" s="438">
        <v>2904587.5047999998</v>
      </c>
      <c r="F5467" s="438">
        <v>2904587.5047999998</v>
      </c>
      <c r="G5467" s="438">
        <v>2932614.4755200003</v>
      </c>
      <c r="H5467" s="438">
        <v>2942624.1079199999</v>
      </c>
    </row>
    <row r="5468" spans="1:8" s="422" customFormat="1" ht="11.25">
      <c r="A5468" s="439" t="s">
        <v>395</v>
      </c>
      <c r="B5468" s="438">
        <v>-653728.72</v>
      </c>
      <c r="C5468" s="438">
        <v>-646333.37</v>
      </c>
      <c r="D5468" s="438">
        <v>-577931.92000000004</v>
      </c>
      <c r="E5468" s="438">
        <v>-577931.92000000004</v>
      </c>
      <c r="F5468" s="438">
        <v>-577931.92000000004</v>
      </c>
      <c r="G5468" s="438">
        <v>-577931.92000000004</v>
      </c>
      <c r="H5468" s="438">
        <v>-577931.92000000004</v>
      </c>
    </row>
    <row r="5469" spans="1:8" s="422" customFormat="1" ht="11.25">
      <c r="A5469" s="439" t="s">
        <v>396</v>
      </c>
      <c r="B5469" s="438">
        <v>1988802.6699999997</v>
      </c>
      <c r="C5469" s="438">
        <v>2222639.9300000002</v>
      </c>
      <c r="D5469" s="438">
        <v>2353636.2399999998</v>
      </c>
      <c r="E5469" s="438">
        <v>2326655.5847999998</v>
      </c>
      <c r="F5469" s="438">
        <v>2326655.5847999998</v>
      </c>
      <c r="G5469" s="438">
        <v>2354682.5555200004</v>
      </c>
      <c r="H5469" s="438">
        <v>2364692.1879199999</v>
      </c>
    </row>
    <row r="5470" spans="1:8" s="442" customFormat="1" ht="11.25">
      <c r="A5470" s="440" t="s">
        <v>397</v>
      </c>
      <c r="B5470" s="441">
        <v>0.2473873053973448</v>
      </c>
      <c r="C5470" s="441">
        <v>0.22528385677203755</v>
      </c>
      <c r="D5470" s="441">
        <v>0.19714087766596569</v>
      </c>
      <c r="E5470" s="441">
        <v>0.19897211533304951</v>
      </c>
      <c r="F5470" s="441">
        <v>0.19897211533304951</v>
      </c>
      <c r="G5470" s="441">
        <v>0.19707054057882031</v>
      </c>
      <c r="H5470" s="441">
        <v>0.19640018527834072</v>
      </c>
    </row>
    <row r="5471" spans="1:8" s="422" customFormat="1" ht="11.25"/>
    <row r="5472" spans="1:8" s="422" customFormat="1" ht="11.25">
      <c r="A5472" s="443" t="s">
        <v>594</v>
      </c>
      <c r="B5472" s="443"/>
      <c r="C5472" s="444"/>
    </row>
    <row r="5473" spans="1:8" s="422" customFormat="1" ht="11.25">
      <c r="A5473" s="445" t="s">
        <v>595</v>
      </c>
      <c r="B5473" s="446"/>
      <c r="C5473" s="447"/>
      <c r="D5473" s="439" t="s">
        <v>474</v>
      </c>
      <c r="E5473" s="439" t="s">
        <v>375</v>
      </c>
      <c r="F5473" s="439" t="s">
        <v>9</v>
      </c>
      <c r="G5473" s="439" t="s">
        <v>131</v>
      </c>
      <c r="H5473" s="439" t="s">
        <v>424</v>
      </c>
    </row>
    <row r="5474" spans="1:8" s="422" customFormat="1" ht="45">
      <c r="A5474" s="504" t="s">
        <v>1208</v>
      </c>
      <c r="B5474" s="505"/>
      <c r="C5474" s="505"/>
      <c r="D5474" s="506" t="s">
        <v>1209</v>
      </c>
      <c r="E5474" s="506" t="s">
        <v>1210</v>
      </c>
      <c r="F5474" s="506" t="s">
        <v>1210</v>
      </c>
      <c r="G5474" s="506" t="s">
        <v>1210</v>
      </c>
      <c r="H5474" s="506" t="s">
        <v>1210</v>
      </c>
    </row>
    <row r="5475" spans="1:8" s="422" customFormat="1" ht="45">
      <c r="A5475" s="504" t="s">
        <v>1211</v>
      </c>
      <c r="B5475" s="505"/>
      <c r="C5475" s="505"/>
      <c r="D5475" s="506" t="s">
        <v>1212</v>
      </c>
      <c r="E5475" s="506" t="s">
        <v>1213</v>
      </c>
      <c r="F5475" s="506" t="s">
        <v>1213</v>
      </c>
      <c r="G5475" s="506" t="s">
        <v>1213</v>
      </c>
      <c r="H5475" s="506" t="s">
        <v>1213</v>
      </c>
    </row>
    <row r="5476" spans="1:8" s="422" customFormat="1" ht="33.75">
      <c r="A5476" s="504" t="s">
        <v>1214</v>
      </c>
      <c r="B5476" s="505"/>
      <c r="C5476" s="505"/>
      <c r="D5476" s="441">
        <v>0.85</v>
      </c>
      <c r="E5476" s="441">
        <v>0.85</v>
      </c>
      <c r="F5476" s="441">
        <v>0.85</v>
      </c>
      <c r="G5476" s="441">
        <v>0.85</v>
      </c>
      <c r="H5476" s="441">
        <v>0.85</v>
      </c>
    </row>
    <row r="5477" spans="1:8" s="422" customFormat="1" ht="11.25"/>
    <row r="5478" spans="1:8" s="422" customFormat="1" ht="11.25">
      <c r="A5478" s="421" t="s">
        <v>423</v>
      </c>
      <c r="B5478" s="421"/>
      <c r="C5478" s="421"/>
    </row>
    <row r="5479" spans="1:8" s="422" customFormat="1" ht="11.25">
      <c r="A5479" s="450"/>
      <c r="B5479" s="439" t="s">
        <v>132</v>
      </c>
      <c r="C5479" s="439" t="s">
        <v>473</v>
      </c>
      <c r="D5479" s="439" t="s">
        <v>474</v>
      </c>
      <c r="E5479" s="439" t="s">
        <v>375</v>
      </c>
      <c r="F5479" s="439" t="s">
        <v>9</v>
      </c>
      <c r="G5479" s="439" t="s">
        <v>131</v>
      </c>
      <c r="H5479" s="439" t="s">
        <v>424</v>
      </c>
    </row>
    <row r="5480" spans="1:8" s="422" customFormat="1" ht="11.25">
      <c r="A5480" s="451" t="s">
        <v>398</v>
      </c>
      <c r="B5480" s="438">
        <v>89506.7</v>
      </c>
      <c r="C5480" s="438">
        <v>0</v>
      </c>
      <c r="D5480" s="438">
        <v>0</v>
      </c>
      <c r="E5480" s="438">
        <v>0</v>
      </c>
      <c r="F5480" s="438">
        <v>0</v>
      </c>
      <c r="G5480" s="438">
        <v>0</v>
      </c>
      <c r="H5480" s="438">
        <v>0</v>
      </c>
    </row>
    <row r="5481" spans="1:8" s="422" customFormat="1" ht="11.25">
      <c r="A5481" s="451" t="s">
        <v>399</v>
      </c>
      <c r="B5481" s="438">
        <v>0</v>
      </c>
      <c r="C5481" s="438">
        <v>0</v>
      </c>
      <c r="D5481" s="438">
        <v>0</v>
      </c>
      <c r="E5481" s="438">
        <v>0</v>
      </c>
      <c r="F5481" s="438">
        <v>0</v>
      </c>
      <c r="G5481" s="438">
        <v>0</v>
      </c>
      <c r="H5481" s="438">
        <v>0</v>
      </c>
    </row>
    <row r="5482" spans="1:8" s="422" customFormat="1" ht="11.25">
      <c r="A5482" s="451" t="s">
        <v>400</v>
      </c>
      <c r="B5482" s="438">
        <v>0</v>
      </c>
      <c r="C5482" s="438">
        <v>0</v>
      </c>
      <c r="D5482" s="438">
        <v>0</v>
      </c>
      <c r="E5482" s="438">
        <v>0</v>
      </c>
      <c r="F5482" s="438">
        <v>0</v>
      </c>
      <c r="G5482" s="438">
        <v>0</v>
      </c>
      <c r="H5482" s="438">
        <v>0</v>
      </c>
    </row>
    <row r="5483" spans="1:8" s="422" customFormat="1" ht="11.25">
      <c r="A5483" s="451" t="s">
        <v>401</v>
      </c>
      <c r="B5483" s="438">
        <v>89506.7</v>
      </c>
      <c r="C5483" s="438">
        <v>0</v>
      </c>
      <c r="D5483" s="438">
        <v>0</v>
      </c>
      <c r="E5483" s="438">
        <v>0</v>
      </c>
      <c r="F5483" s="438">
        <v>0</v>
      </c>
      <c r="G5483" s="438">
        <v>0</v>
      </c>
      <c r="H5483" s="438">
        <v>0</v>
      </c>
    </row>
    <row r="5484" spans="1:8" s="422" customFormat="1" ht="11.25"/>
    <row r="5485" spans="1:8" s="422" customFormat="1" ht="11.25">
      <c r="A5485" s="421" t="s">
        <v>597</v>
      </c>
      <c r="B5485" s="421"/>
      <c r="C5485" s="421"/>
    </row>
    <row r="5486" spans="1:8" s="429" customFormat="1" ht="11.25">
      <c r="A5486" s="428"/>
      <c r="B5486" s="428"/>
      <c r="C5486" s="428"/>
    </row>
    <row r="5487" spans="1:8" s="429" customFormat="1" ht="11.25">
      <c r="A5487" s="428"/>
      <c r="B5487" s="428"/>
      <c r="C5487" s="428"/>
    </row>
    <row r="5488" spans="1:8" s="422" customFormat="1" ht="11.25"/>
    <row r="5489" spans="1:8" s="422" customFormat="1" ht="11.25">
      <c r="A5489" s="421" t="s">
        <v>598</v>
      </c>
      <c r="B5489" s="421"/>
      <c r="C5489" s="421"/>
    </row>
    <row r="5490" spans="1:8" s="422" customFormat="1" ht="11.25">
      <c r="A5490" s="452" t="s">
        <v>599</v>
      </c>
      <c r="B5490" s="447"/>
      <c r="C5490" s="447"/>
      <c r="D5490" s="447"/>
      <c r="E5490" s="439" t="s">
        <v>375</v>
      </c>
      <c r="F5490" s="439" t="s">
        <v>9</v>
      </c>
      <c r="G5490" s="439" t="s">
        <v>131</v>
      </c>
      <c r="H5490" s="439" t="s">
        <v>424</v>
      </c>
    </row>
    <row r="5491" spans="1:8" s="422" customFormat="1" ht="11.25">
      <c r="A5491" s="448"/>
      <c r="B5491" s="449"/>
      <c r="C5491" s="449"/>
      <c r="D5491" s="449"/>
      <c r="E5491" s="438">
        <v>0</v>
      </c>
      <c r="F5491" s="438">
        <v>0</v>
      </c>
      <c r="G5491" s="438">
        <v>0</v>
      </c>
      <c r="H5491" s="438">
        <v>0</v>
      </c>
    </row>
    <row r="5492" spans="1:8" s="421" customFormat="1" ht="11.25">
      <c r="A5492" s="421" t="s">
        <v>391</v>
      </c>
      <c r="D5492" s="421" t="s">
        <v>472</v>
      </c>
    </row>
    <row r="5493" spans="1:8" s="422" customFormat="1" ht="11.25"/>
    <row r="5494" spans="1:8" s="421" customFormat="1" ht="11.25" customHeight="1">
      <c r="A5494" s="423" t="s">
        <v>392</v>
      </c>
      <c r="D5494" s="421" t="s">
        <v>159</v>
      </c>
    </row>
    <row r="5495" spans="1:8" s="421" customFormat="1" ht="7.5" customHeight="1">
      <c r="A5495" s="423"/>
    </row>
    <row r="5496" spans="1:8" s="421" customFormat="1" ht="11.25">
      <c r="A5496" s="424" t="s">
        <v>393</v>
      </c>
      <c r="D5496" s="583" t="s">
        <v>127</v>
      </c>
      <c r="E5496" s="583"/>
      <c r="F5496" s="583"/>
      <c r="G5496" s="583"/>
      <c r="H5496" s="583"/>
    </row>
    <row r="5497" spans="1:8" s="421" customFormat="1" ht="7.5" customHeight="1"/>
    <row r="5498" spans="1:8" s="422" customFormat="1" ht="11.25">
      <c r="A5498" s="421" t="s">
        <v>170</v>
      </c>
      <c r="B5498" s="421"/>
      <c r="C5498" s="421"/>
      <c r="D5498" s="422" t="s">
        <v>296</v>
      </c>
      <c r="E5498" s="422" t="s">
        <v>297</v>
      </c>
    </row>
    <row r="5499" spans="1:8" s="422" customFormat="1" ht="7.5" customHeight="1"/>
    <row r="5500" spans="1:8" s="427" customFormat="1" ht="11.25">
      <c r="A5500" s="425" t="s">
        <v>587</v>
      </c>
      <c r="B5500" s="425"/>
      <c r="C5500" s="425"/>
      <c r="D5500" s="426" t="s">
        <v>1215</v>
      </c>
      <c r="E5500" s="584" t="s">
        <v>1216</v>
      </c>
      <c r="F5500" s="584"/>
      <c r="G5500" s="584"/>
      <c r="H5500" s="584"/>
    </row>
    <row r="5501" spans="1:8" s="427" customFormat="1" ht="11.25">
      <c r="A5501" s="425"/>
      <c r="B5501" s="425"/>
      <c r="C5501" s="425"/>
      <c r="D5501" s="426" t="s">
        <v>1217</v>
      </c>
      <c r="E5501" s="584" t="s">
        <v>1218</v>
      </c>
      <c r="F5501" s="584"/>
      <c r="G5501" s="584"/>
      <c r="H5501" s="584"/>
    </row>
    <row r="5502" spans="1:8" s="427" customFormat="1" ht="11.25">
      <c r="A5502" s="425"/>
      <c r="B5502" s="425"/>
      <c r="C5502" s="425"/>
      <c r="D5502" s="426" t="s">
        <v>1219</v>
      </c>
      <c r="E5502" s="584" t="s">
        <v>1220</v>
      </c>
      <c r="F5502" s="584"/>
      <c r="G5502" s="584"/>
      <c r="H5502" s="584"/>
    </row>
    <row r="5503" spans="1:8" s="427" customFormat="1" ht="11.25">
      <c r="A5503" s="425"/>
      <c r="B5503" s="425"/>
      <c r="C5503" s="425"/>
      <c r="D5503" s="426" t="s">
        <v>1221</v>
      </c>
      <c r="E5503" s="584" t="s">
        <v>1222</v>
      </c>
      <c r="F5503" s="584"/>
      <c r="G5503" s="584"/>
      <c r="H5503" s="584"/>
    </row>
    <row r="5504" spans="1:8" s="427" customFormat="1" ht="11.25">
      <c r="A5504" s="425"/>
      <c r="B5504" s="425"/>
      <c r="C5504" s="425"/>
      <c r="D5504" s="426"/>
      <c r="E5504" s="584"/>
      <c r="F5504" s="584"/>
      <c r="G5504" s="584"/>
      <c r="H5504" s="584"/>
    </row>
    <row r="5505" spans="1:8" s="427" customFormat="1" ht="11.25"/>
    <row r="5506" spans="1:8" s="422" customFormat="1" ht="11.25"/>
    <row r="5507" spans="1:8" s="422" customFormat="1" ht="11.25">
      <c r="A5507" s="421" t="s">
        <v>589</v>
      </c>
      <c r="B5507" s="421"/>
      <c r="C5507" s="421"/>
    </row>
    <row r="5508" spans="1:8" s="429" customFormat="1" ht="11.25">
      <c r="A5508" s="428"/>
      <c r="B5508" s="428"/>
      <c r="C5508" s="428"/>
    </row>
    <row r="5509" spans="1:8" s="429" customFormat="1" ht="5.25" customHeight="1">
      <c r="A5509" s="428"/>
      <c r="B5509" s="428"/>
      <c r="C5509" s="428"/>
    </row>
    <row r="5510" spans="1:8" s="429" customFormat="1" ht="4.5" customHeight="1">
      <c r="A5510" s="428"/>
      <c r="B5510" s="428"/>
      <c r="C5510" s="428"/>
    </row>
    <row r="5511" spans="1:8" s="429" customFormat="1" ht="11.25">
      <c r="A5511" s="428"/>
      <c r="B5511" s="428"/>
      <c r="C5511" s="428"/>
    </row>
    <row r="5512" spans="1:8" s="429" customFormat="1" ht="3.75" customHeight="1">
      <c r="A5512" s="428"/>
      <c r="B5512" s="428"/>
      <c r="C5512" s="428"/>
    </row>
    <row r="5513" spans="1:8" s="429" customFormat="1" ht="8.25" customHeight="1">
      <c r="A5513" s="428"/>
      <c r="B5513" s="428"/>
      <c r="C5513" s="428"/>
    </row>
    <row r="5514" spans="1:8" s="422" customFormat="1" ht="6" customHeight="1">
      <c r="A5514" s="430"/>
      <c r="B5514" s="430"/>
      <c r="C5514" s="430"/>
      <c r="D5514" s="430"/>
      <c r="E5514" s="430"/>
      <c r="F5514" s="430"/>
      <c r="G5514" s="430"/>
      <c r="H5514" s="430"/>
    </row>
    <row r="5515" spans="1:8" s="422" customFormat="1" ht="22.5" customHeight="1">
      <c r="A5515" s="585" t="s">
        <v>590</v>
      </c>
      <c r="B5515" s="585"/>
      <c r="C5515" s="585"/>
      <c r="D5515" s="586"/>
      <c r="E5515" s="586"/>
      <c r="F5515" s="586"/>
      <c r="G5515" s="586"/>
      <c r="H5515" s="586"/>
    </row>
    <row r="5516" spans="1:8" s="429" customFormat="1" ht="11.25">
      <c r="A5516" s="431"/>
      <c r="B5516" s="431"/>
      <c r="C5516" s="431"/>
      <c r="D5516" s="432"/>
      <c r="E5516" s="432"/>
      <c r="F5516" s="432"/>
      <c r="G5516" s="432"/>
      <c r="H5516" s="432"/>
    </row>
    <row r="5517" spans="1:8" s="429" customFormat="1" ht="11.25">
      <c r="A5517" s="431"/>
      <c r="B5517" s="431"/>
      <c r="C5517" s="431"/>
      <c r="D5517" s="432"/>
      <c r="E5517" s="432"/>
      <c r="F5517" s="432"/>
      <c r="G5517" s="432"/>
      <c r="H5517" s="432"/>
    </row>
    <row r="5518" spans="1:8" s="429" customFormat="1" ht="11.25">
      <c r="A5518" s="431"/>
      <c r="B5518" s="431"/>
      <c r="C5518" s="431"/>
      <c r="D5518" s="432"/>
      <c r="E5518" s="432"/>
      <c r="F5518" s="432"/>
      <c r="G5518" s="432"/>
      <c r="H5518" s="432"/>
    </row>
    <row r="5519" spans="1:8" s="429" customFormat="1" ht="94.5" customHeight="1">
      <c r="A5519" s="431"/>
      <c r="B5519" s="431"/>
      <c r="C5519" s="431"/>
      <c r="D5519" s="432"/>
      <c r="E5519" s="432"/>
      <c r="F5519" s="432"/>
      <c r="G5519" s="432"/>
      <c r="H5519" s="432"/>
    </row>
    <row r="5520" spans="1:8" s="422" customFormat="1" ht="9" customHeight="1"/>
    <row r="5521" spans="1:8" s="422" customFormat="1" ht="11.25">
      <c r="A5521" s="421" t="s">
        <v>591</v>
      </c>
      <c r="B5521" s="421"/>
      <c r="C5521" s="421"/>
    </row>
    <row r="5522" spans="1:8" s="429" customFormat="1" ht="10.5" customHeight="1">
      <c r="A5522" s="428"/>
      <c r="B5522" s="428"/>
      <c r="C5522" s="428"/>
    </row>
    <row r="5523" spans="1:8" s="429" customFormat="1" ht="11.25">
      <c r="A5523" s="428"/>
      <c r="B5523" s="428"/>
      <c r="C5523" s="428"/>
    </row>
    <row r="5524" spans="1:8" s="429" customFormat="1" ht="11.25">
      <c r="A5524" s="428"/>
      <c r="B5524" s="428"/>
      <c r="C5524" s="428"/>
    </row>
    <row r="5525" spans="1:8" s="429" customFormat="1" ht="11.25">
      <c r="A5525" s="428"/>
      <c r="B5525" s="428"/>
      <c r="C5525" s="428"/>
    </row>
    <row r="5526" spans="1:8" s="422" customFormat="1" ht="9" customHeight="1"/>
    <row r="5527" spans="1:8" s="422" customFormat="1" ht="11.25">
      <c r="A5527" s="433" t="s">
        <v>592</v>
      </c>
      <c r="B5527" s="434"/>
      <c r="C5527" s="434"/>
      <c r="D5527" s="434"/>
      <c r="E5527" s="434"/>
      <c r="F5527" s="434"/>
      <c r="G5527" s="434"/>
      <c r="H5527" s="434"/>
    </row>
    <row r="5528" spans="1:8" s="429" customFormat="1" ht="11.25">
      <c r="A5528" s="435"/>
      <c r="B5528" s="436"/>
      <c r="C5528" s="436"/>
      <c r="D5528" s="436"/>
      <c r="E5528" s="436"/>
      <c r="F5528" s="436"/>
      <c r="G5528" s="436"/>
      <c r="H5528" s="436"/>
    </row>
    <row r="5529" spans="1:8" s="429" customFormat="1" ht="11.25">
      <c r="A5529" s="435"/>
      <c r="B5529" s="436"/>
      <c r="C5529" s="436"/>
      <c r="D5529" s="436"/>
      <c r="E5529" s="436"/>
      <c r="F5529" s="436"/>
      <c r="G5529" s="436"/>
      <c r="H5529" s="436"/>
    </row>
    <row r="5530" spans="1:8" s="422" customFormat="1" ht="11.25">
      <c r="A5530" s="437"/>
      <c r="B5530" s="437"/>
      <c r="C5530" s="437"/>
      <c r="D5530" s="437"/>
      <c r="E5530" s="437"/>
      <c r="F5530" s="437"/>
      <c r="G5530" s="437"/>
      <c r="H5530" s="437"/>
    </row>
    <row r="5531" spans="1:8" s="422" customFormat="1" ht="11.25">
      <c r="A5531" s="421" t="s">
        <v>593</v>
      </c>
      <c r="B5531" s="421"/>
      <c r="C5531" s="421"/>
    </row>
    <row r="5532" spans="1:8" s="422" customFormat="1" ht="11.25">
      <c r="A5532" s="438"/>
      <c r="B5532" s="439" t="s">
        <v>132</v>
      </c>
      <c r="C5532" s="439" t="s">
        <v>473</v>
      </c>
      <c r="D5532" s="439" t="s">
        <v>474</v>
      </c>
      <c r="E5532" s="439" t="s">
        <v>375</v>
      </c>
      <c r="F5532" s="439" t="s">
        <v>9</v>
      </c>
      <c r="G5532" s="439" t="s">
        <v>131</v>
      </c>
      <c r="H5532" s="439" t="s">
        <v>424</v>
      </c>
    </row>
    <row r="5533" spans="1:8" s="422" customFormat="1" ht="11.25">
      <c r="A5533" s="439" t="s">
        <v>394</v>
      </c>
      <c r="B5533" s="438">
        <v>20274213.140000001</v>
      </c>
      <c r="C5533" s="438">
        <v>14609690.57</v>
      </c>
      <c r="D5533" s="438">
        <v>20588934.460000001</v>
      </c>
      <c r="E5533" s="438">
        <v>20875628.855800003</v>
      </c>
      <c r="F5533" s="438">
        <v>21364770.935799997</v>
      </c>
      <c r="G5533" s="438">
        <v>22778571.689919997</v>
      </c>
      <c r="H5533" s="438">
        <v>26375705.387819998</v>
      </c>
    </row>
    <row r="5534" spans="1:8" s="422" customFormat="1" ht="11.25">
      <c r="A5534" s="439" t="s">
        <v>395</v>
      </c>
      <c r="B5534" s="438">
        <v>-4903090.2</v>
      </c>
      <c r="C5534" s="438">
        <v>-2467071.2999999998</v>
      </c>
      <c r="D5534" s="438">
        <v>-1369008.4200000002</v>
      </c>
      <c r="E5534" s="438">
        <v>-1369008.4200000002</v>
      </c>
      <c r="F5534" s="438">
        <v>-1369008.4200000002</v>
      </c>
      <c r="G5534" s="438">
        <v>-1369008.4200000002</v>
      </c>
      <c r="H5534" s="438">
        <v>-1369008.4200000002</v>
      </c>
    </row>
    <row r="5535" spans="1:8" s="422" customFormat="1" ht="11.25">
      <c r="A5535" s="439" t="s">
        <v>396</v>
      </c>
      <c r="B5535" s="438">
        <v>15371122.940000001</v>
      </c>
      <c r="C5535" s="438">
        <v>12142619.27</v>
      </c>
      <c r="D5535" s="438">
        <v>19219926.039999999</v>
      </c>
      <c r="E5535" s="438">
        <v>19506620.435800001</v>
      </c>
      <c r="F5535" s="438">
        <v>19995762.515799996</v>
      </c>
      <c r="G5535" s="438">
        <v>21409563.269919995</v>
      </c>
      <c r="H5535" s="438">
        <v>25006696.967819996</v>
      </c>
    </row>
    <row r="5536" spans="1:8" s="442" customFormat="1" ht="11.25">
      <c r="A5536" s="440" t="s">
        <v>397</v>
      </c>
      <c r="B5536" s="441">
        <v>0.24183874195967933</v>
      </c>
      <c r="C5536" s="441">
        <v>0.16886540397138608</v>
      </c>
      <c r="D5536" s="441">
        <v>6.6492436636762214E-2</v>
      </c>
      <c r="E5536" s="441">
        <v>6.5579266112486004E-2</v>
      </c>
      <c r="F5536" s="441">
        <v>6.4077842168951765E-2</v>
      </c>
      <c r="G5536" s="441">
        <v>6.0100713891811555E-2</v>
      </c>
      <c r="H5536" s="441">
        <v>5.1904144358246918E-2</v>
      </c>
    </row>
    <row r="5537" spans="1:8" s="422" customFormat="1" ht="11.25"/>
    <row r="5538" spans="1:8" s="422" customFormat="1" ht="11.25">
      <c r="A5538" s="443" t="s">
        <v>594</v>
      </c>
      <c r="B5538" s="443"/>
      <c r="C5538" s="444"/>
    </row>
    <row r="5539" spans="1:8" s="422" customFormat="1" ht="11.25">
      <c r="A5539" s="445" t="s">
        <v>595</v>
      </c>
      <c r="B5539" s="446"/>
      <c r="C5539" s="447"/>
      <c r="D5539" s="439" t="s">
        <v>474</v>
      </c>
      <c r="E5539" s="439" t="s">
        <v>375</v>
      </c>
      <c r="F5539" s="439" t="s">
        <v>9</v>
      </c>
      <c r="G5539" s="439" t="s">
        <v>131</v>
      </c>
      <c r="H5539" s="439" t="s">
        <v>424</v>
      </c>
    </row>
    <row r="5540" spans="1:8" s="422" customFormat="1" ht="45">
      <c r="A5540" s="454" t="s">
        <v>1223</v>
      </c>
      <c r="B5540" s="455"/>
      <c r="C5540" s="455"/>
      <c r="D5540" s="458" t="s">
        <v>1224</v>
      </c>
      <c r="E5540" s="458" t="s">
        <v>1224</v>
      </c>
      <c r="F5540" s="458" t="s">
        <v>1224</v>
      </c>
      <c r="G5540" s="458" t="s">
        <v>1224</v>
      </c>
      <c r="H5540" s="458" t="s">
        <v>1224</v>
      </c>
    </row>
    <row r="5541" spans="1:8" s="422" customFormat="1" ht="11.25">
      <c r="A5541" s="448" t="s">
        <v>1225</v>
      </c>
      <c r="B5541" s="449"/>
      <c r="C5541" s="449"/>
      <c r="D5541" s="457">
        <v>1</v>
      </c>
      <c r="E5541" s="457">
        <v>1</v>
      </c>
      <c r="F5541" s="457">
        <v>1</v>
      </c>
      <c r="G5541" s="457">
        <v>1</v>
      </c>
      <c r="H5541" s="457">
        <v>1</v>
      </c>
    </row>
    <row r="5542" spans="1:8" s="422" customFormat="1" ht="11.25">
      <c r="A5542" s="448"/>
      <c r="B5542" s="449"/>
      <c r="C5542" s="449"/>
      <c r="D5542" s="438"/>
      <c r="E5542" s="438"/>
      <c r="F5542" s="438"/>
      <c r="G5542" s="438"/>
      <c r="H5542" s="438"/>
    </row>
    <row r="5543" spans="1:8" s="422" customFormat="1" ht="11.25"/>
    <row r="5544" spans="1:8" s="422" customFormat="1" ht="11.25">
      <c r="A5544" s="421" t="s">
        <v>423</v>
      </c>
      <c r="B5544" s="421"/>
      <c r="C5544" s="421"/>
    </row>
    <row r="5545" spans="1:8" s="422" customFormat="1" ht="11.25">
      <c r="A5545" s="450"/>
      <c r="B5545" s="439" t="s">
        <v>132</v>
      </c>
      <c r="C5545" s="439" t="s">
        <v>473</v>
      </c>
      <c r="D5545" s="439" t="s">
        <v>474</v>
      </c>
      <c r="E5545" s="439" t="s">
        <v>375</v>
      </c>
      <c r="F5545" s="439" t="s">
        <v>9</v>
      </c>
      <c r="G5545" s="439" t="s">
        <v>131</v>
      </c>
      <c r="H5545" s="439" t="s">
        <v>424</v>
      </c>
    </row>
    <row r="5546" spans="1:8" s="422" customFormat="1" ht="11.25">
      <c r="A5546" s="451" t="s">
        <v>398</v>
      </c>
      <c r="B5546" s="438">
        <v>17756568.879999999</v>
      </c>
      <c r="C5546" s="438">
        <v>7833129.8499999996</v>
      </c>
      <c r="D5546" s="438">
        <v>21983000</v>
      </c>
      <c r="E5546" s="438">
        <v>32575000</v>
      </c>
      <c r="F5546" s="438">
        <v>55594000</v>
      </c>
      <c r="G5546" s="438">
        <v>66870000</v>
      </c>
      <c r="H5546" s="438">
        <v>61885000</v>
      </c>
    </row>
    <row r="5547" spans="1:8" s="422" customFormat="1" ht="11.25">
      <c r="A5547" s="451" t="s">
        <v>399</v>
      </c>
      <c r="B5547" s="438">
        <v>0</v>
      </c>
      <c r="C5547" s="438">
        <v>0</v>
      </c>
      <c r="D5547" s="438">
        <v>919000</v>
      </c>
      <c r="E5547" s="438">
        <v>1214000</v>
      </c>
      <c r="F5547" s="438">
        <v>1619000</v>
      </c>
      <c r="G5547" s="438">
        <v>1569000</v>
      </c>
      <c r="H5547" s="438">
        <v>802000</v>
      </c>
    </row>
    <row r="5548" spans="1:8" s="422" customFormat="1" ht="11.25">
      <c r="A5548" s="451" t="s">
        <v>400</v>
      </c>
      <c r="B5548" s="438">
        <v>-11543888.65</v>
      </c>
      <c r="C5548" s="438">
        <v>-3118449.9</v>
      </c>
      <c r="D5548" s="438">
        <v>-479999</v>
      </c>
      <c r="E5548" s="438">
        <v>-12419999</v>
      </c>
      <c r="F5548" s="438">
        <v>-3710000</v>
      </c>
      <c r="G5548" s="438">
        <v>-9699999</v>
      </c>
      <c r="H5548" s="438">
        <v>-17939999</v>
      </c>
    </row>
    <row r="5549" spans="1:8" s="422" customFormat="1" ht="11.25">
      <c r="A5549" s="451" t="s">
        <v>401</v>
      </c>
      <c r="B5549" s="438">
        <v>6212680.2299999986</v>
      </c>
      <c r="C5549" s="438">
        <v>4714679.9499999993</v>
      </c>
      <c r="D5549" s="438">
        <v>22422001</v>
      </c>
      <c r="E5549" s="438">
        <v>21369001</v>
      </c>
      <c r="F5549" s="438">
        <v>53503000</v>
      </c>
      <c r="G5549" s="438">
        <v>58739001</v>
      </c>
      <c r="H5549" s="438">
        <v>44747001</v>
      </c>
    </row>
    <row r="5550" spans="1:8" s="422" customFormat="1" ht="11.25"/>
    <row r="5551" spans="1:8" s="422" customFormat="1" ht="11.25">
      <c r="A5551" s="421" t="s">
        <v>597</v>
      </c>
      <c r="B5551" s="421"/>
      <c r="C5551" s="421"/>
    </row>
    <row r="5552" spans="1:8" s="429" customFormat="1" ht="11.25">
      <c r="A5552" s="428"/>
      <c r="B5552" s="428"/>
      <c r="C5552" s="428"/>
    </row>
    <row r="5553" spans="1:8" s="429" customFormat="1" ht="11.25">
      <c r="A5553" s="428"/>
      <c r="B5553" s="428"/>
      <c r="C5553" s="428"/>
    </row>
    <row r="5554" spans="1:8" s="429" customFormat="1" ht="9" customHeight="1">
      <c r="A5554" s="428"/>
      <c r="B5554" s="428"/>
      <c r="C5554" s="428"/>
    </row>
    <row r="5555" spans="1:8" s="429" customFormat="1" ht="4.5" customHeight="1">
      <c r="A5555" s="428"/>
      <c r="B5555" s="428"/>
      <c r="C5555" s="428"/>
    </row>
    <row r="5556" spans="1:8" s="422" customFormat="1" ht="11.25"/>
    <row r="5557" spans="1:8" s="422" customFormat="1" ht="5.25" customHeight="1"/>
    <row r="5558" spans="1:8" s="422" customFormat="1" ht="11.25"/>
    <row r="5559" spans="1:8" s="422" customFormat="1" ht="11.25">
      <c r="A5559" s="421" t="s">
        <v>598</v>
      </c>
      <c r="B5559" s="421"/>
      <c r="C5559" s="421"/>
    </row>
    <row r="5560" spans="1:8" s="422" customFormat="1" ht="11.25">
      <c r="A5560" s="452" t="s">
        <v>599</v>
      </c>
      <c r="B5560" s="447"/>
      <c r="C5560" s="447"/>
      <c r="D5560" s="447"/>
      <c r="E5560" s="439" t="s">
        <v>375</v>
      </c>
      <c r="F5560" s="439" t="s">
        <v>9</v>
      </c>
      <c r="G5560" s="439" t="s">
        <v>131</v>
      </c>
      <c r="H5560" s="439" t="s">
        <v>424</v>
      </c>
    </row>
    <row r="5561" spans="1:8" s="422" customFormat="1" ht="11.25">
      <c r="A5561" s="448"/>
      <c r="B5561" s="449"/>
      <c r="C5561" s="449"/>
      <c r="D5561" s="449"/>
      <c r="E5561" s="438">
        <v>0</v>
      </c>
      <c r="F5561" s="438">
        <v>0</v>
      </c>
      <c r="G5561" s="438">
        <v>0</v>
      </c>
      <c r="H5561" s="438">
        <v>0</v>
      </c>
    </row>
    <row r="5562" spans="1:8" s="422" customFormat="1" ht="11.25">
      <c r="A5562" s="448"/>
      <c r="B5562" s="449"/>
      <c r="C5562" s="449"/>
      <c r="D5562" s="449"/>
      <c r="E5562" s="438">
        <v>0</v>
      </c>
      <c r="F5562" s="438">
        <v>0</v>
      </c>
      <c r="G5562" s="438">
        <v>0</v>
      </c>
      <c r="H5562" s="438">
        <v>0</v>
      </c>
    </row>
    <row r="5563" spans="1:8" s="422" customFormat="1" ht="11.25">
      <c r="A5563" s="448"/>
      <c r="B5563" s="449"/>
      <c r="C5563" s="449"/>
      <c r="D5563" s="449"/>
      <c r="E5563" s="438">
        <v>0</v>
      </c>
      <c r="F5563" s="438">
        <v>0</v>
      </c>
      <c r="G5563" s="438">
        <v>0</v>
      </c>
      <c r="H5563" s="438">
        <v>0</v>
      </c>
    </row>
    <row r="5564" spans="1:8" s="421" customFormat="1" ht="11.25">
      <c r="A5564" s="421" t="s">
        <v>391</v>
      </c>
      <c r="D5564" s="421" t="s">
        <v>472</v>
      </c>
    </row>
    <row r="5565" spans="1:8" s="422" customFormat="1" ht="11.25"/>
    <row r="5566" spans="1:8" s="421" customFormat="1" ht="11.25" customHeight="1">
      <c r="A5566" s="423" t="s">
        <v>392</v>
      </c>
      <c r="D5566" s="421" t="s">
        <v>159</v>
      </c>
    </row>
    <row r="5567" spans="1:8" s="421" customFormat="1" ht="7.5" customHeight="1">
      <c r="A5567" s="423"/>
    </row>
    <row r="5568" spans="1:8" s="421" customFormat="1" ht="11.25">
      <c r="A5568" s="424" t="s">
        <v>393</v>
      </c>
      <c r="D5568" s="583" t="s">
        <v>127</v>
      </c>
      <c r="E5568" s="583"/>
      <c r="F5568" s="583"/>
      <c r="G5568" s="583"/>
      <c r="H5568" s="583"/>
    </row>
    <row r="5569" spans="1:8" s="421" customFormat="1" ht="7.5" customHeight="1"/>
    <row r="5570" spans="1:8" s="422" customFormat="1" ht="11.25">
      <c r="A5570" s="421" t="s">
        <v>170</v>
      </c>
      <c r="B5570" s="421"/>
      <c r="C5570" s="421"/>
      <c r="D5570" s="422" t="s">
        <v>298</v>
      </c>
      <c r="E5570" s="422" t="s">
        <v>299</v>
      </c>
    </row>
    <row r="5571" spans="1:8" s="422" customFormat="1" ht="7.5" customHeight="1"/>
    <row r="5572" spans="1:8" s="427" customFormat="1" ht="11.25" customHeight="1">
      <c r="A5572" s="425" t="s">
        <v>587</v>
      </c>
      <c r="B5572" s="425"/>
      <c r="C5572" s="425"/>
      <c r="D5572" s="426" t="s">
        <v>1226</v>
      </c>
      <c r="E5572" s="584" t="s">
        <v>1227</v>
      </c>
      <c r="F5572" s="584"/>
      <c r="G5572" s="584"/>
      <c r="H5572" s="584"/>
    </row>
    <row r="5573" spans="1:8" s="427" customFormat="1" ht="11.25">
      <c r="A5573" s="425"/>
      <c r="B5573" s="425"/>
      <c r="C5573" s="425"/>
      <c r="D5573" s="426" t="s">
        <v>1228</v>
      </c>
      <c r="E5573" s="584" t="s">
        <v>1229</v>
      </c>
      <c r="F5573" s="584"/>
      <c r="G5573" s="584"/>
      <c r="H5573" s="584"/>
    </row>
    <row r="5574" spans="1:8" s="427" customFormat="1" ht="11.25">
      <c r="A5574" s="425"/>
      <c r="B5574" s="425"/>
      <c r="C5574" s="425"/>
      <c r="D5574" s="426" t="s">
        <v>1230</v>
      </c>
      <c r="E5574" s="584" t="s">
        <v>171</v>
      </c>
      <c r="F5574" s="584"/>
      <c r="G5574" s="584"/>
      <c r="H5574" s="584"/>
    </row>
    <row r="5575" spans="1:8" s="427" customFormat="1" ht="11.25">
      <c r="A5575" s="425"/>
      <c r="B5575" s="425"/>
      <c r="C5575" s="425"/>
      <c r="D5575" s="426" t="s">
        <v>1231</v>
      </c>
      <c r="E5575" s="584" t="s">
        <v>1232</v>
      </c>
      <c r="F5575" s="584"/>
      <c r="G5575" s="584"/>
      <c r="H5575" s="584"/>
    </row>
    <row r="5576" spans="1:8" s="427" customFormat="1" ht="11.25">
      <c r="A5576" s="425"/>
      <c r="B5576" s="425"/>
      <c r="C5576" s="425"/>
      <c r="D5576" s="426"/>
      <c r="E5576" s="584"/>
      <c r="F5576" s="584"/>
      <c r="G5576" s="584"/>
      <c r="H5576" s="584"/>
    </row>
    <row r="5577" spans="1:8" s="427" customFormat="1" ht="11.25"/>
    <row r="5578" spans="1:8" s="422" customFormat="1" ht="11.25"/>
    <row r="5579" spans="1:8" s="422" customFormat="1" ht="11.25">
      <c r="A5579" s="421" t="s">
        <v>589</v>
      </c>
      <c r="B5579" s="421"/>
      <c r="C5579" s="421"/>
    </row>
    <row r="5580" spans="1:8" s="429" customFormat="1" ht="11.25">
      <c r="A5580" s="428"/>
      <c r="B5580" s="428"/>
      <c r="C5580" s="428"/>
    </row>
    <row r="5581" spans="1:8" s="429" customFormat="1" ht="11.25">
      <c r="A5581" s="428"/>
      <c r="B5581" s="428"/>
      <c r="C5581" s="428"/>
    </row>
    <row r="5582" spans="1:8" s="429" customFormat="1" ht="11.25">
      <c r="A5582" s="428"/>
      <c r="B5582" s="428"/>
      <c r="C5582" s="428"/>
    </row>
    <row r="5583" spans="1:8" s="429" customFormat="1" ht="18.75" customHeight="1">
      <c r="A5583" s="428"/>
      <c r="B5583" s="428"/>
      <c r="C5583" s="428"/>
    </row>
    <row r="5584" spans="1:8" s="429" customFormat="1" ht="11.25">
      <c r="A5584" s="428"/>
      <c r="B5584" s="428"/>
      <c r="C5584" s="428"/>
    </row>
    <row r="5585" spans="1:8" s="429" customFormat="1" ht="2.25" customHeight="1">
      <c r="A5585" s="428"/>
      <c r="B5585" s="428"/>
      <c r="C5585" s="428"/>
    </row>
    <row r="5586" spans="1:8" s="422" customFormat="1" ht="2.25" customHeight="1">
      <c r="A5586" s="430"/>
      <c r="B5586" s="430"/>
      <c r="C5586" s="430"/>
      <c r="D5586" s="430"/>
      <c r="E5586" s="430"/>
      <c r="F5586" s="430"/>
      <c r="G5586" s="430"/>
      <c r="H5586" s="430"/>
    </row>
    <row r="5587" spans="1:8" s="422" customFormat="1" ht="22.5" customHeight="1">
      <c r="A5587" s="585" t="s">
        <v>590</v>
      </c>
      <c r="B5587" s="585"/>
      <c r="C5587" s="585"/>
      <c r="D5587" s="586"/>
      <c r="E5587" s="586"/>
      <c r="F5587" s="586"/>
      <c r="G5587" s="586"/>
      <c r="H5587" s="586"/>
    </row>
    <row r="5588" spans="1:8" s="429" customFormat="1" ht="11.25">
      <c r="A5588" s="431"/>
      <c r="B5588" s="431"/>
      <c r="C5588" s="431"/>
      <c r="D5588" s="432"/>
      <c r="E5588" s="432"/>
      <c r="F5588" s="432"/>
      <c r="G5588" s="432"/>
      <c r="H5588" s="432"/>
    </row>
    <row r="5589" spans="1:8" s="429" customFormat="1" ht="11.25">
      <c r="A5589" s="431"/>
      <c r="B5589" s="431"/>
      <c r="C5589" s="431"/>
      <c r="D5589" s="432"/>
      <c r="E5589" s="432"/>
      <c r="F5589" s="432"/>
      <c r="G5589" s="432"/>
      <c r="H5589" s="432"/>
    </row>
    <row r="5590" spans="1:8" s="429" customFormat="1" ht="143.25" customHeight="1">
      <c r="A5590" s="431"/>
      <c r="B5590" s="431"/>
      <c r="C5590" s="431"/>
      <c r="D5590" s="432"/>
      <c r="E5590" s="432"/>
      <c r="F5590" s="432"/>
      <c r="G5590" s="432"/>
      <c r="H5590" s="432"/>
    </row>
    <row r="5591" spans="1:8" s="429" customFormat="1" ht="11.25">
      <c r="A5591" s="431"/>
      <c r="B5591" s="431"/>
      <c r="C5591" s="431"/>
      <c r="D5591" s="432"/>
      <c r="E5591" s="432"/>
      <c r="F5591" s="432"/>
      <c r="G5591" s="432"/>
      <c r="H5591" s="432"/>
    </row>
    <row r="5592" spans="1:8" s="422" customFormat="1" ht="9" customHeight="1"/>
    <row r="5593" spans="1:8" s="422" customFormat="1" ht="11.25">
      <c r="A5593" s="421" t="s">
        <v>591</v>
      </c>
      <c r="B5593" s="421"/>
      <c r="C5593" s="421"/>
    </row>
    <row r="5594" spans="1:8" s="429" customFormat="1" ht="11.25">
      <c r="A5594" s="428"/>
      <c r="B5594" s="428"/>
      <c r="C5594" s="428"/>
    </row>
    <row r="5595" spans="1:8" s="429" customFormat="1" ht="11.25">
      <c r="A5595" s="428"/>
      <c r="B5595" s="428"/>
      <c r="C5595" s="428"/>
    </row>
    <row r="5596" spans="1:8" s="429" customFormat="1" ht="11.25">
      <c r="A5596" s="428"/>
      <c r="B5596" s="428"/>
      <c r="C5596" s="428"/>
    </row>
    <row r="5597" spans="1:8" s="429" customFormat="1" ht="20.25" customHeight="1">
      <c r="A5597" s="428"/>
      <c r="B5597" s="428"/>
      <c r="C5597" s="428"/>
    </row>
    <row r="5598" spans="1:8" s="429" customFormat="1" ht="11.25" customHeight="1">
      <c r="A5598" s="428"/>
      <c r="B5598" s="428"/>
      <c r="C5598" s="428"/>
    </row>
    <row r="5599" spans="1:8" s="422" customFormat="1" ht="9" customHeight="1"/>
    <row r="5600" spans="1:8" s="422" customFormat="1" ht="16.5" customHeight="1">
      <c r="A5600" s="433" t="s">
        <v>592</v>
      </c>
      <c r="B5600" s="434"/>
      <c r="C5600" s="434"/>
      <c r="D5600" s="434"/>
      <c r="E5600" s="434"/>
      <c r="F5600" s="434"/>
      <c r="G5600" s="434"/>
      <c r="H5600" s="434"/>
    </row>
    <row r="5601" spans="1:8" s="429" customFormat="1" ht="11.25">
      <c r="A5601" s="435"/>
      <c r="B5601" s="436"/>
      <c r="C5601" s="436"/>
      <c r="D5601" s="436"/>
      <c r="E5601" s="436"/>
      <c r="F5601" s="436"/>
      <c r="G5601" s="436"/>
      <c r="H5601" s="436"/>
    </row>
    <row r="5602" spans="1:8" s="429" customFormat="1" ht="11.25">
      <c r="A5602" s="435"/>
      <c r="B5602" s="436"/>
      <c r="C5602" s="436"/>
      <c r="D5602" s="436"/>
      <c r="E5602" s="436"/>
      <c r="F5602" s="436"/>
      <c r="G5602" s="436"/>
      <c r="H5602" s="436"/>
    </row>
    <row r="5603" spans="1:8" s="422" customFormat="1" ht="11.25">
      <c r="A5603" s="437"/>
      <c r="B5603" s="437"/>
      <c r="C5603" s="437"/>
      <c r="D5603" s="437"/>
      <c r="E5603" s="437"/>
      <c r="F5603" s="437"/>
      <c r="G5603" s="437"/>
      <c r="H5603" s="437"/>
    </row>
    <row r="5604" spans="1:8" s="422" customFormat="1" ht="11.25">
      <c r="A5604" s="421" t="s">
        <v>593</v>
      </c>
      <c r="B5604" s="421"/>
      <c r="C5604" s="421"/>
    </row>
    <row r="5605" spans="1:8" s="422" customFormat="1" ht="11.25">
      <c r="A5605" s="438"/>
      <c r="B5605" s="439" t="s">
        <v>132</v>
      </c>
      <c r="C5605" s="439" t="s">
        <v>473</v>
      </c>
      <c r="D5605" s="439" t="s">
        <v>474</v>
      </c>
      <c r="E5605" s="439" t="s">
        <v>375</v>
      </c>
      <c r="F5605" s="439" t="s">
        <v>9</v>
      </c>
      <c r="G5605" s="439" t="s">
        <v>131</v>
      </c>
      <c r="H5605" s="439" t="s">
        <v>424</v>
      </c>
    </row>
    <row r="5606" spans="1:8" s="422" customFormat="1" ht="11.25">
      <c r="A5606" s="439" t="s">
        <v>394</v>
      </c>
      <c r="B5606" s="438">
        <v>47855667.800000004</v>
      </c>
      <c r="C5606" s="438">
        <v>46573194.830000013</v>
      </c>
      <c r="D5606" s="438">
        <v>46103952.439999998</v>
      </c>
      <c r="E5606" s="438">
        <v>46232158.623999998</v>
      </c>
      <c r="F5606" s="438">
        <v>46402158.623999998</v>
      </c>
      <c r="G5606" s="438">
        <v>47176647.321599998</v>
      </c>
      <c r="H5606" s="438">
        <v>47308250.413599998</v>
      </c>
    </row>
    <row r="5607" spans="1:8" s="422" customFormat="1" ht="11.25">
      <c r="A5607" s="439" t="s">
        <v>395</v>
      </c>
      <c r="B5607" s="438">
        <v>-17373510.880000003</v>
      </c>
      <c r="C5607" s="438">
        <v>-17046009.109999999</v>
      </c>
      <c r="D5607" s="438">
        <v>-17112500</v>
      </c>
      <c r="E5607" s="438">
        <v>-17112500</v>
      </c>
      <c r="F5607" s="438">
        <v>-17112500</v>
      </c>
      <c r="G5607" s="438">
        <v>-17112500</v>
      </c>
      <c r="H5607" s="438">
        <v>-17112500</v>
      </c>
    </row>
    <row r="5608" spans="1:8" s="422" customFormat="1" ht="11.25">
      <c r="A5608" s="439" t="s">
        <v>396</v>
      </c>
      <c r="B5608" s="438">
        <v>30482156.920000002</v>
      </c>
      <c r="C5608" s="438">
        <v>29527185.720000014</v>
      </c>
      <c r="D5608" s="438">
        <v>28991452.439999998</v>
      </c>
      <c r="E5608" s="438">
        <v>29119658.623999998</v>
      </c>
      <c r="F5608" s="438">
        <v>29289658.623999998</v>
      </c>
      <c r="G5608" s="438">
        <v>30064147.321599998</v>
      </c>
      <c r="H5608" s="438">
        <v>30195750.413599998</v>
      </c>
    </row>
    <row r="5609" spans="1:8" s="442" customFormat="1" ht="11.25">
      <c r="A5609" s="440" t="s">
        <v>397</v>
      </c>
      <c r="B5609" s="441">
        <v>0.36303977519670094</v>
      </c>
      <c r="C5609" s="441">
        <v>0.36600471950057961</v>
      </c>
      <c r="D5609" s="441">
        <v>0.37117208166198606</v>
      </c>
      <c r="E5609" s="441">
        <v>0.37014278608908763</v>
      </c>
      <c r="F5609" s="441">
        <v>0.36878672258900297</v>
      </c>
      <c r="G5609" s="441">
        <v>0.36273243164876151</v>
      </c>
      <c r="H5609" s="441">
        <v>0.36172337489531348</v>
      </c>
    </row>
    <row r="5610" spans="1:8" s="422" customFormat="1" ht="11.25"/>
    <row r="5611" spans="1:8" s="422" customFormat="1" ht="11.25">
      <c r="A5611" s="443" t="s">
        <v>594</v>
      </c>
      <c r="B5611" s="443"/>
      <c r="C5611" s="444"/>
    </row>
    <row r="5612" spans="1:8" s="422" customFormat="1" ht="11.25">
      <c r="A5612" s="445" t="s">
        <v>595</v>
      </c>
      <c r="B5612" s="446"/>
      <c r="C5612" s="447"/>
      <c r="D5612" s="439" t="s">
        <v>474</v>
      </c>
      <c r="E5612" s="439" t="s">
        <v>375</v>
      </c>
      <c r="F5612" s="439" t="s">
        <v>9</v>
      </c>
      <c r="G5612" s="439" t="s">
        <v>131</v>
      </c>
      <c r="H5612" s="439" t="s">
        <v>424</v>
      </c>
    </row>
    <row r="5613" spans="1:8" s="422" customFormat="1" ht="11.25">
      <c r="A5613" s="448" t="s">
        <v>1233</v>
      </c>
      <c r="B5613" s="449"/>
      <c r="C5613" s="449"/>
      <c r="D5613" s="507">
        <v>2.7</v>
      </c>
      <c r="E5613" s="507">
        <v>2.7</v>
      </c>
      <c r="F5613" s="507">
        <v>2.7</v>
      </c>
      <c r="G5613" s="507">
        <v>2.7</v>
      </c>
      <c r="H5613" s="507">
        <v>2.7</v>
      </c>
    </row>
    <row r="5614" spans="1:8" s="422" customFormat="1" ht="11.25">
      <c r="A5614" s="448" t="s">
        <v>1234</v>
      </c>
      <c r="B5614" s="449"/>
      <c r="C5614" s="449"/>
      <c r="D5614" s="441">
        <v>5.4000000000000003E-3</v>
      </c>
      <c r="E5614" s="441">
        <v>5.4000000000000003E-3</v>
      </c>
      <c r="F5614" s="441">
        <v>5.4000000000000003E-3</v>
      </c>
      <c r="G5614" s="441">
        <v>5.4000000000000003E-3</v>
      </c>
      <c r="H5614" s="441">
        <v>5.4000000000000003E-3</v>
      </c>
    </row>
    <row r="5615" spans="1:8" s="422" customFormat="1" ht="11.25">
      <c r="A5615" s="448" t="s">
        <v>1235</v>
      </c>
      <c r="B5615" s="449"/>
      <c r="C5615" s="449"/>
      <c r="D5615" s="441">
        <v>8.3999999999999995E-3</v>
      </c>
      <c r="E5615" s="441">
        <v>8.3999999999999995E-3</v>
      </c>
      <c r="F5615" s="441">
        <v>8.3999999999999995E-3</v>
      </c>
      <c r="G5615" s="441">
        <v>8.3999999999999995E-3</v>
      </c>
      <c r="H5615" s="441">
        <v>8.3999999999999995E-3</v>
      </c>
    </row>
    <row r="5616" spans="1:8" s="422" customFormat="1" ht="11.25"/>
    <row r="5617" spans="1:8" s="422" customFormat="1" ht="11.25">
      <c r="A5617" s="421" t="s">
        <v>423</v>
      </c>
      <c r="B5617" s="421"/>
      <c r="C5617" s="421"/>
    </row>
    <row r="5618" spans="1:8" s="422" customFormat="1" ht="11.25">
      <c r="A5618" s="450"/>
      <c r="B5618" s="439" t="s">
        <v>132</v>
      </c>
      <c r="C5618" s="439" t="s">
        <v>473</v>
      </c>
      <c r="D5618" s="439" t="s">
        <v>474</v>
      </c>
      <c r="E5618" s="439" t="s">
        <v>375</v>
      </c>
      <c r="F5618" s="439" t="s">
        <v>9</v>
      </c>
      <c r="G5618" s="439" t="s">
        <v>131</v>
      </c>
      <c r="H5618" s="439" t="s">
        <v>424</v>
      </c>
    </row>
    <row r="5619" spans="1:8" s="422" customFormat="1" ht="11.25">
      <c r="A5619" s="451" t="s">
        <v>398</v>
      </c>
      <c r="B5619" s="438">
        <v>1798261.9</v>
      </c>
      <c r="C5619" s="438">
        <v>1087020.75</v>
      </c>
      <c r="D5619" s="438">
        <v>1158000</v>
      </c>
      <c r="E5619" s="438">
        <v>2056000</v>
      </c>
      <c r="F5619" s="438">
        <v>2566000</v>
      </c>
      <c r="G5619" s="438">
        <v>1972000</v>
      </c>
      <c r="H5619" s="438">
        <v>1147000</v>
      </c>
    </row>
    <row r="5620" spans="1:8" s="422" customFormat="1" ht="11.25">
      <c r="A5620" s="451" t="s">
        <v>399</v>
      </c>
      <c r="B5620" s="438">
        <v>0</v>
      </c>
      <c r="C5620" s="438">
        <v>0</v>
      </c>
      <c r="D5620" s="438">
        <v>4000</v>
      </c>
      <c r="E5620" s="438">
        <v>8000</v>
      </c>
      <c r="F5620" s="438">
        <v>6000</v>
      </c>
      <c r="G5620" s="438">
        <v>3000</v>
      </c>
      <c r="H5620" s="438">
        <v>3000</v>
      </c>
    </row>
    <row r="5621" spans="1:8" s="422" customFormat="1" ht="11.25">
      <c r="A5621" s="451" t="s">
        <v>400</v>
      </c>
      <c r="B5621" s="438">
        <v>-28299</v>
      </c>
      <c r="C5621" s="438">
        <v>-500</v>
      </c>
      <c r="D5621" s="438">
        <v>0</v>
      </c>
      <c r="E5621" s="438">
        <v>0</v>
      </c>
      <c r="F5621" s="438">
        <v>0</v>
      </c>
      <c r="G5621" s="438">
        <v>0</v>
      </c>
      <c r="H5621" s="438">
        <v>0</v>
      </c>
    </row>
    <row r="5622" spans="1:8" s="422" customFormat="1" ht="11.25">
      <c r="A5622" s="451" t="s">
        <v>401</v>
      </c>
      <c r="B5622" s="438">
        <v>1769962.9</v>
      </c>
      <c r="C5622" s="438">
        <v>1086520.75</v>
      </c>
      <c r="D5622" s="438">
        <v>1162000</v>
      </c>
      <c r="E5622" s="438">
        <v>2064000</v>
      </c>
      <c r="F5622" s="438">
        <v>2572000</v>
      </c>
      <c r="G5622" s="438">
        <v>1975000</v>
      </c>
      <c r="H5622" s="438">
        <v>1150000</v>
      </c>
    </row>
    <row r="5623" spans="1:8" s="422" customFormat="1" ht="11.25"/>
    <row r="5624" spans="1:8" s="422" customFormat="1" ht="11.25">
      <c r="A5624" s="421" t="s">
        <v>597</v>
      </c>
      <c r="B5624" s="421"/>
      <c r="C5624" s="421"/>
    </row>
    <row r="5625" spans="1:8" s="429" customFormat="1" ht="11.25">
      <c r="A5625" s="428"/>
      <c r="B5625" s="428"/>
      <c r="C5625" s="428"/>
    </row>
    <row r="5626" spans="1:8" s="429" customFormat="1" ht="11.25">
      <c r="A5626" s="428"/>
      <c r="B5626" s="428"/>
      <c r="C5626" s="428"/>
    </row>
    <row r="5627" spans="1:8" s="429" customFormat="1" ht="11.25">
      <c r="A5627" s="428"/>
      <c r="B5627" s="428"/>
      <c r="C5627" s="428"/>
    </row>
    <row r="5628" spans="1:8" s="422" customFormat="1" ht="11.25"/>
    <row r="5629" spans="1:8" s="422" customFormat="1" ht="11.25">
      <c r="A5629" s="421" t="s">
        <v>598</v>
      </c>
      <c r="B5629" s="421"/>
      <c r="C5629" s="421"/>
    </row>
    <row r="5630" spans="1:8" s="422" customFormat="1" ht="11.25">
      <c r="A5630" s="452" t="s">
        <v>599</v>
      </c>
      <c r="B5630" s="447"/>
      <c r="C5630" s="447"/>
      <c r="D5630" s="447"/>
      <c r="E5630" s="439" t="s">
        <v>375</v>
      </c>
      <c r="F5630" s="439" t="s">
        <v>9</v>
      </c>
      <c r="G5630" s="439" t="s">
        <v>131</v>
      </c>
      <c r="H5630" s="439" t="s">
        <v>424</v>
      </c>
    </row>
    <row r="5631" spans="1:8" s="422" customFormat="1" ht="11.25">
      <c r="A5631" s="448" t="s">
        <v>581</v>
      </c>
      <c r="B5631" s="449"/>
      <c r="C5631" s="449"/>
      <c r="D5631" s="449"/>
      <c r="E5631" s="438">
        <v>170000</v>
      </c>
      <c r="F5631" s="438">
        <v>170000</v>
      </c>
      <c r="G5631" s="438">
        <v>170000</v>
      </c>
      <c r="H5631" s="438">
        <v>170000</v>
      </c>
    </row>
    <row r="5632" spans="1:8" s="422" customFormat="1" ht="11.25">
      <c r="A5632" s="448" t="s">
        <v>462</v>
      </c>
      <c r="B5632" s="449"/>
      <c r="C5632" s="449"/>
      <c r="D5632" s="449"/>
      <c r="E5632" s="438">
        <v>0</v>
      </c>
      <c r="F5632" s="438">
        <v>170000</v>
      </c>
      <c r="G5632" s="438">
        <v>170000</v>
      </c>
      <c r="H5632" s="438">
        <v>170000</v>
      </c>
    </row>
    <row r="5633" spans="1:8" s="422" customFormat="1" ht="11.25">
      <c r="A5633" s="448" t="s">
        <v>463</v>
      </c>
      <c r="B5633" s="449"/>
      <c r="C5633" s="449"/>
      <c r="D5633" s="449"/>
      <c r="E5633" s="438">
        <v>0</v>
      </c>
      <c r="F5633" s="438">
        <v>0</v>
      </c>
      <c r="G5633" s="438">
        <v>351000</v>
      </c>
      <c r="H5633" s="438">
        <v>351000</v>
      </c>
    </row>
    <row r="5634" spans="1:8" s="422" customFormat="1" ht="11.25">
      <c r="A5634" s="448" t="s">
        <v>464</v>
      </c>
      <c r="B5634" s="449"/>
      <c r="C5634" s="449"/>
      <c r="D5634" s="449"/>
      <c r="E5634" s="438">
        <v>0</v>
      </c>
      <c r="F5634" s="438">
        <v>0</v>
      </c>
      <c r="G5634" s="438">
        <v>55000</v>
      </c>
      <c r="H5634" s="438">
        <v>55000</v>
      </c>
    </row>
    <row r="5635" spans="1:8" s="421" customFormat="1" ht="11.25">
      <c r="A5635" s="421" t="s">
        <v>391</v>
      </c>
      <c r="D5635" s="421" t="s">
        <v>472</v>
      </c>
    </row>
    <row r="5636" spans="1:8" s="422" customFormat="1" ht="11.25"/>
    <row r="5637" spans="1:8" s="421" customFormat="1" ht="11.25" customHeight="1">
      <c r="A5637" s="423" t="s">
        <v>392</v>
      </c>
      <c r="D5637" s="421" t="s">
        <v>159</v>
      </c>
    </row>
    <row r="5638" spans="1:8" s="421" customFormat="1" ht="7.5" customHeight="1">
      <c r="A5638" s="423"/>
    </row>
    <row r="5639" spans="1:8" s="421" customFormat="1" ht="11.25">
      <c r="A5639" s="424" t="s">
        <v>393</v>
      </c>
      <c r="D5639" s="583" t="s">
        <v>127</v>
      </c>
      <c r="E5639" s="583"/>
      <c r="F5639" s="583"/>
      <c r="G5639" s="583"/>
      <c r="H5639" s="583"/>
    </row>
    <row r="5640" spans="1:8" s="421" customFormat="1" ht="7.5" customHeight="1"/>
    <row r="5641" spans="1:8" s="422" customFormat="1" ht="11.25">
      <c r="A5641" s="421" t="s">
        <v>170</v>
      </c>
      <c r="B5641" s="421"/>
      <c r="C5641" s="421"/>
      <c r="D5641" s="422" t="s">
        <v>300</v>
      </c>
      <c r="E5641" s="422" t="s">
        <v>1236</v>
      </c>
    </row>
    <row r="5642" spans="1:8" s="422" customFormat="1" ht="7.5" customHeight="1"/>
    <row r="5643" spans="1:8" s="427" customFormat="1" ht="11.25">
      <c r="A5643" s="425" t="s">
        <v>587</v>
      </c>
      <c r="B5643" s="425"/>
      <c r="C5643" s="425"/>
      <c r="D5643" s="426" t="s">
        <v>1237</v>
      </c>
      <c r="E5643" s="584" t="s">
        <v>1238</v>
      </c>
      <c r="F5643" s="584"/>
      <c r="G5643" s="584"/>
      <c r="H5643" s="584"/>
    </row>
    <row r="5644" spans="1:8" s="427" customFormat="1" ht="11.25">
      <c r="A5644" s="425"/>
      <c r="B5644" s="425"/>
      <c r="C5644" s="425"/>
      <c r="D5644" s="426" t="s">
        <v>1239</v>
      </c>
      <c r="E5644" s="584" t="s">
        <v>1240</v>
      </c>
      <c r="F5644" s="584"/>
      <c r="G5644" s="584"/>
      <c r="H5644" s="584"/>
    </row>
    <row r="5645" spans="1:8" s="427" customFormat="1" ht="11.25">
      <c r="A5645" s="425"/>
      <c r="B5645" s="425"/>
      <c r="C5645" s="425"/>
      <c r="D5645" s="426"/>
      <c r="E5645" s="584"/>
      <c r="F5645" s="584"/>
      <c r="G5645" s="584"/>
      <c r="H5645" s="584"/>
    </row>
    <row r="5646" spans="1:8" s="427" customFormat="1" ht="11.25"/>
    <row r="5647" spans="1:8" s="422" customFormat="1" ht="11.25"/>
    <row r="5648" spans="1:8" s="422" customFormat="1" ht="11.25">
      <c r="A5648" s="421" t="s">
        <v>589</v>
      </c>
      <c r="B5648" s="421"/>
      <c r="C5648" s="421"/>
    </row>
    <row r="5649" spans="1:8" s="429" customFormat="1" ht="11.25">
      <c r="A5649" s="428"/>
      <c r="B5649" s="428"/>
      <c r="C5649" s="428"/>
    </row>
    <row r="5650" spans="1:8" s="429" customFormat="1" ht="11.25">
      <c r="A5650" s="428"/>
      <c r="B5650" s="428"/>
      <c r="C5650" s="428"/>
    </row>
    <row r="5651" spans="1:8" s="429" customFormat="1" ht="11.25">
      <c r="A5651" s="428"/>
      <c r="B5651" s="428"/>
      <c r="C5651" s="428"/>
    </row>
    <row r="5652" spans="1:8" s="429" customFormat="1" ht="11.25">
      <c r="A5652" s="428"/>
      <c r="B5652" s="428"/>
      <c r="C5652" s="428"/>
    </row>
    <row r="5653" spans="1:8" s="429" customFormat="1" ht="11.25">
      <c r="A5653" s="428"/>
      <c r="B5653" s="428"/>
      <c r="C5653" s="428"/>
    </row>
    <row r="5654" spans="1:8" s="429" customFormat="1" ht="11.25">
      <c r="A5654" s="428"/>
      <c r="B5654" s="428"/>
      <c r="C5654" s="428"/>
    </row>
    <row r="5655" spans="1:8" s="422" customFormat="1" ht="9" customHeight="1">
      <c r="A5655" s="430"/>
      <c r="B5655" s="430"/>
      <c r="C5655" s="430"/>
      <c r="D5655" s="430"/>
      <c r="E5655" s="430"/>
      <c r="F5655" s="430"/>
      <c r="G5655" s="430"/>
      <c r="H5655" s="430"/>
    </row>
    <row r="5656" spans="1:8" s="422" customFormat="1" ht="9.75" customHeight="1">
      <c r="A5656" s="585" t="s">
        <v>590</v>
      </c>
      <c r="B5656" s="585"/>
      <c r="C5656" s="585"/>
      <c r="D5656" s="586"/>
      <c r="E5656" s="586"/>
      <c r="F5656" s="586"/>
      <c r="G5656" s="586"/>
      <c r="H5656" s="586"/>
    </row>
    <row r="5657" spans="1:8" s="429" customFormat="1" ht="11.25">
      <c r="A5657" s="431"/>
      <c r="B5657" s="431"/>
      <c r="C5657" s="431"/>
      <c r="D5657" s="432"/>
      <c r="E5657" s="432"/>
      <c r="F5657" s="432"/>
      <c r="G5657" s="432"/>
      <c r="H5657" s="432"/>
    </row>
    <row r="5658" spans="1:8" s="429" customFormat="1" ht="11.25">
      <c r="A5658" s="431"/>
      <c r="B5658" s="431"/>
      <c r="C5658" s="431"/>
      <c r="D5658" s="432"/>
      <c r="E5658" s="432"/>
      <c r="F5658" s="432"/>
      <c r="G5658" s="432"/>
      <c r="H5658" s="432"/>
    </row>
    <row r="5659" spans="1:8" s="429" customFormat="1" ht="48" customHeight="1">
      <c r="A5659" s="431"/>
      <c r="B5659" s="431"/>
      <c r="C5659" s="431"/>
      <c r="D5659" s="432"/>
      <c r="E5659" s="432"/>
      <c r="F5659" s="432"/>
      <c r="G5659" s="432"/>
      <c r="H5659" s="432"/>
    </row>
    <row r="5660" spans="1:8" s="429" customFormat="1" ht="11.25">
      <c r="A5660" s="431"/>
      <c r="B5660" s="431"/>
      <c r="C5660" s="431"/>
      <c r="D5660" s="432"/>
      <c r="E5660" s="432"/>
      <c r="F5660" s="432"/>
      <c r="G5660" s="432"/>
      <c r="H5660" s="432"/>
    </row>
    <row r="5661" spans="1:8" s="422" customFormat="1" ht="9" customHeight="1"/>
    <row r="5662" spans="1:8" s="422" customFormat="1" ht="11.25">
      <c r="A5662" s="421" t="s">
        <v>591</v>
      </c>
      <c r="B5662" s="421"/>
      <c r="C5662" s="421"/>
    </row>
    <row r="5663" spans="1:8" s="429" customFormat="1" ht="11.25">
      <c r="A5663" s="428"/>
      <c r="B5663" s="428"/>
      <c r="C5663" s="428"/>
    </row>
    <row r="5664" spans="1:8" s="429" customFormat="1" ht="11.25">
      <c r="A5664" s="428"/>
      <c r="B5664" s="428"/>
      <c r="C5664" s="428"/>
    </row>
    <row r="5665" spans="1:8" s="429" customFormat="1" ht="7.5" customHeight="1">
      <c r="A5665" s="428"/>
      <c r="B5665" s="428"/>
      <c r="C5665" s="428"/>
    </row>
    <row r="5666" spans="1:8" s="429" customFormat="1" ht="11.25">
      <c r="A5666" s="428"/>
      <c r="B5666" s="428"/>
      <c r="C5666" s="428"/>
    </row>
    <row r="5667" spans="1:8" s="429" customFormat="1" ht="11.25">
      <c r="A5667" s="428"/>
      <c r="B5667" s="428"/>
      <c r="C5667" s="428"/>
    </row>
    <row r="5668" spans="1:8" s="422" customFormat="1" ht="9" customHeight="1"/>
    <row r="5669" spans="1:8" s="422" customFormat="1" ht="11.25">
      <c r="A5669" s="433" t="s">
        <v>592</v>
      </c>
      <c r="B5669" s="434"/>
      <c r="C5669" s="434"/>
      <c r="D5669" s="434"/>
      <c r="E5669" s="434"/>
      <c r="F5669" s="434"/>
      <c r="G5669" s="434"/>
      <c r="H5669" s="434"/>
    </row>
    <row r="5670" spans="1:8" s="429" customFormat="1" ht="11.25">
      <c r="A5670" s="435"/>
      <c r="B5670" s="436"/>
      <c r="C5670" s="436"/>
      <c r="D5670" s="436"/>
      <c r="E5670" s="436"/>
      <c r="F5670" s="436"/>
      <c r="G5670" s="436"/>
      <c r="H5670" s="436"/>
    </row>
    <row r="5671" spans="1:8" s="429" customFormat="1" ht="11.25">
      <c r="A5671" s="435"/>
      <c r="B5671" s="436"/>
      <c r="C5671" s="436"/>
      <c r="D5671" s="436"/>
      <c r="E5671" s="436"/>
      <c r="F5671" s="436"/>
      <c r="G5671" s="436"/>
      <c r="H5671" s="436"/>
    </row>
    <row r="5672" spans="1:8" s="422" customFormat="1" ht="11.25">
      <c r="A5672" s="437"/>
      <c r="B5672" s="437"/>
      <c r="C5672" s="437"/>
      <c r="D5672" s="437"/>
      <c r="E5672" s="437"/>
      <c r="F5672" s="437"/>
      <c r="G5672" s="437"/>
      <c r="H5672" s="437"/>
    </row>
    <row r="5673" spans="1:8" s="422" customFormat="1" ht="11.25">
      <c r="A5673" s="421" t="s">
        <v>593</v>
      </c>
      <c r="B5673" s="421"/>
      <c r="C5673" s="421"/>
    </row>
    <row r="5674" spans="1:8" s="422" customFormat="1" ht="11.25">
      <c r="A5674" s="438"/>
      <c r="B5674" s="439" t="s">
        <v>132</v>
      </c>
      <c r="C5674" s="439" t="s">
        <v>473</v>
      </c>
      <c r="D5674" s="439" t="s">
        <v>474</v>
      </c>
      <c r="E5674" s="439" t="s">
        <v>375</v>
      </c>
      <c r="F5674" s="439" t="s">
        <v>9</v>
      </c>
      <c r="G5674" s="439" t="s">
        <v>131</v>
      </c>
      <c r="H5674" s="439" t="s">
        <v>424</v>
      </c>
    </row>
    <row r="5675" spans="1:8" s="422" customFormat="1" ht="11.25">
      <c r="A5675" s="439" t="s">
        <v>394</v>
      </c>
      <c r="B5675" s="438">
        <v>1565345.1099999999</v>
      </c>
      <c r="C5675" s="438">
        <v>1526300.83</v>
      </c>
      <c r="D5675" s="438">
        <v>1507952.3599999999</v>
      </c>
      <c r="E5675" s="438">
        <v>1499119.1091999998</v>
      </c>
      <c r="F5675" s="438">
        <v>1499119.1091999998</v>
      </c>
      <c r="G5675" s="438">
        <v>1514752.5580799999</v>
      </c>
      <c r="H5675" s="438">
        <v>1520335.9326800001</v>
      </c>
    </row>
    <row r="5676" spans="1:8" s="422" customFormat="1" ht="11.25">
      <c r="A5676" s="439" t="s">
        <v>395</v>
      </c>
      <c r="B5676" s="438">
        <v>-7299435.5</v>
      </c>
      <c r="C5676" s="438">
        <v>-6460603.3300000001</v>
      </c>
      <c r="D5676" s="438">
        <v>-6868635.6399999997</v>
      </c>
      <c r="E5676" s="438">
        <v>-7192635.6399999997</v>
      </c>
      <c r="F5676" s="438">
        <v>-7192635.6399999997</v>
      </c>
      <c r="G5676" s="438">
        <v>-7192635.6399999997</v>
      </c>
      <c r="H5676" s="438">
        <v>-7192635.6399999997</v>
      </c>
    </row>
    <row r="5677" spans="1:8" s="422" customFormat="1" ht="11.25">
      <c r="A5677" s="439" t="s">
        <v>396</v>
      </c>
      <c r="B5677" s="438">
        <v>-5734090.3900000006</v>
      </c>
      <c r="C5677" s="438">
        <v>-4934302.5</v>
      </c>
      <c r="D5677" s="438">
        <v>-5360683.2799999993</v>
      </c>
      <c r="E5677" s="438">
        <v>-5693516.5307999998</v>
      </c>
      <c r="F5677" s="438">
        <v>-5693516.5307999998</v>
      </c>
      <c r="G5677" s="438">
        <v>-5677883.0819199998</v>
      </c>
      <c r="H5677" s="438">
        <v>-5672299.7073199991</v>
      </c>
    </row>
    <row r="5678" spans="1:8" s="442" customFormat="1" ht="11.25">
      <c r="A5678" s="440" t="s">
        <v>397</v>
      </c>
      <c r="B5678" s="441">
        <v>4.6631477323233854</v>
      </c>
      <c r="C5678" s="441">
        <v>4.2328505645902057</v>
      </c>
      <c r="D5678" s="441">
        <v>4.5549420672679606</v>
      </c>
      <c r="E5678" s="441">
        <v>4.7979080487062342</v>
      </c>
      <c r="F5678" s="441">
        <v>4.7979080487062342</v>
      </c>
      <c r="G5678" s="441">
        <v>4.7483898288423481</v>
      </c>
      <c r="H5678" s="441">
        <v>4.7309515518198992</v>
      </c>
    </row>
    <row r="5679" spans="1:8" s="422" customFormat="1" ht="11.25"/>
    <row r="5680" spans="1:8" s="422" customFormat="1" ht="11.25">
      <c r="A5680" s="443" t="s">
        <v>594</v>
      </c>
      <c r="B5680" s="443"/>
      <c r="C5680" s="444"/>
    </row>
    <row r="5681" spans="1:8" s="422" customFormat="1" ht="11.25">
      <c r="A5681" s="445" t="s">
        <v>595</v>
      </c>
      <c r="B5681" s="446"/>
      <c r="C5681" s="447"/>
      <c r="D5681" s="439" t="s">
        <v>474</v>
      </c>
      <c r="E5681" s="439" t="s">
        <v>375</v>
      </c>
      <c r="F5681" s="439" t="s">
        <v>9</v>
      </c>
      <c r="G5681" s="439" t="s">
        <v>131</v>
      </c>
      <c r="H5681" s="439" t="s">
        <v>424</v>
      </c>
    </row>
    <row r="5682" spans="1:8" s="422" customFormat="1" ht="11.25">
      <c r="A5682" s="448" t="s">
        <v>521</v>
      </c>
      <c r="B5682" s="449"/>
      <c r="C5682" s="449"/>
      <c r="D5682" s="438"/>
      <c r="E5682" s="438"/>
      <c r="F5682" s="438"/>
      <c r="G5682" s="438"/>
      <c r="H5682" s="438"/>
    </row>
    <row r="5683" spans="1:8" s="422" customFormat="1" ht="11.25">
      <c r="A5683" s="448"/>
      <c r="B5683" s="449"/>
      <c r="C5683" s="449"/>
      <c r="D5683" s="438"/>
      <c r="E5683" s="438"/>
      <c r="F5683" s="438"/>
      <c r="G5683" s="438"/>
      <c r="H5683" s="438"/>
    </row>
    <row r="5684" spans="1:8" s="422" customFormat="1" ht="11.25">
      <c r="A5684" s="448"/>
      <c r="B5684" s="449"/>
      <c r="C5684" s="449"/>
      <c r="D5684" s="438"/>
      <c r="E5684" s="438"/>
      <c r="F5684" s="438"/>
      <c r="G5684" s="438"/>
      <c r="H5684" s="438"/>
    </row>
    <row r="5685" spans="1:8" s="422" customFormat="1" ht="11.25"/>
    <row r="5686" spans="1:8" s="422" customFormat="1" ht="11.25">
      <c r="A5686" s="421" t="s">
        <v>423</v>
      </c>
      <c r="B5686" s="421"/>
      <c r="C5686" s="421"/>
    </row>
    <row r="5687" spans="1:8" s="422" customFormat="1" ht="11.25">
      <c r="A5687" s="450"/>
      <c r="B5687" s="439" t="s">
        <v>132</v>
      </c>
      <c r="C5687" s="439" t="s">
        <v>473</v>
      </c>
      <c r="D5687" s="439" t="s">
        <v>474</v>
      </c>
      <c r="E5687" s="439" t="s">
        <v>375</v>
      </c>
      <c r="F5687" s="439" t="s">
        <v>9</v>
      </c>
      <c r="G5687" s="439" t="s">
        <v>131</v>
      </c>
      <c r="H5687" s="439" t="s">
        <v>424</v>
      </c>
    </row>
    <row r="5688" spans="1:8" s="422" customFormat="1" ht="11.25">
      <c r="A5688" s="451" t="s">
        <v>398</v>
      </c>
      <c r="B5688" s="438">
        <v>0</v>
      </c>
      <c r="C5688" s="438">
        <v>0</v>
      </c>
      <c r="D5688" s="438">
        <v>0</v>
      </c>
      <c r="E5688" s="438">
        <v>0</v>
      </c>
      <c r="F5688" s="438">
        <v>0</v>
      </c>
      <c r="G5688" s="438">
        <v>0</v>
      </c>
      <c r="H5688" s="438">
        <v>0</v>
      </c>
    </row>
    <row r="5689" spans="1:8" s="422" customFormat="1" ht="11.25">
      <c r="A5689" s="451" t="s">
        <v>399</v>
      </c>
      <c r="B5689" s="438">
        <v>0</v>
      </c>
      <c r="C5689" s="438">
        <v>0</v>
      </c>
      <c r="D5689" s="438">
        <v>0</v>
      </c>
      <c r="E5689" s="438">
        <v>0</v>
      </c>
      <c r="F5689" s="438">
        <v>0</v>
      </c>
      <c r="G5689" s="438">
        <v>0</v>
      </c>
      <c r="H5689" s="438">
        <v>0</v>
      </c>
    </row>
    <row r="5690" spans="1:8" s="422" customFormat="1" ht="11.25">
      <c r="A5690" s="451" t="s">
        <v>400</v>
      </c>
      <c r="B5690" s="438">
        <v>0</v>
      </c>
      <c r="C5690" s="438">
        <v>0</v>
      </c>
      <c r="D5690" s="438">
        <v>0</v>
      </c>
      <c r="E5690" s="438">
        <v>0</v>
      </c>
      <c r="F5690" s="438">
        <v>0</v>
      </c>
      <c r="G5690" s="438">
        <v>0</v>
      </c>
      <c r="H5690" s="438">
        <v>0</v>
      </c>
    </row>
    <row r="5691" spans="1:8" s="422" customFormat="1" ht="11.25">
      <c r="A5691" s="451" t="s">
        <v>401</v>
      </c>
      <c r="B5691" s="438">
        <v>0</v>
      </c>
      <c r="C5691" s="438">
        <v>0</v>
      </c>
      <c r="D5691" s="438">
        <v>0</v>
      </c>
      <c r="E5691" s="438">
        <v>0</v>
      </c>
      <c r="F5691" s="438">
        <v>0</v>
      </c>
      <c r="G5691" s="438">
        <v>0</v>
      </c>
      <c r="H5691" s="438">
        <v>0</v>
      </c>
    </row>
    <row r="5692" spans="1:8" s="422" customFormat="1" ht="11.25"/>
    <row r="5693" spans="1:8" s="422" customFormat="1" ht="11.25">
      <c r="A5693" s="421" t="s">
        <v>597</v>
      </c>
      <c r="B5693" s="421"/>
      <c r="C5693" s="421"/>
    </row>
    <row r="5694" spans="1:8" s="429" customFormat="1" ht="11.25">
      <c r="A5694" s="428"/>
      <c r="B5694" s="428"/>
      <c r="C5694" s="428"/>
    </row>
    <row r="5695" spans="1:8" s="429" customFormat="1" ht="11.25">
      <c r="A5695" s="428"/>
      <c r="B5695" s="428"/>
      <c r="C5695" s="428"/>
    </row>
    <row r="5696" spans="1:8" s="429" customFormat="1" ht="11.25">
      <c r="A5696" s="428"/>
      <c r="B5696" s="428"/>
      <c r="C5696" s="428"/>
    </row>
    <row r="5697" spans="1:8" s="422" customFormat="1" ht="11.25"/>
    <row r="5698" spans="1:8" s="422" customFormat="1" ht="11.25">
      <c r="A5698" s="421" t="s">
        <v>598</v>
      </c>
      <c r="B5698" s="421"/>
      <c r="C5698" s="421"/>
    </row>
    <row r="5699" spans="1:8" s="422" customFormat="1" ht="11.25">
      <c r="A5699" s="452" t="s">
        <v>599</v>
      </c>
      <c r="B5699" s="447"/>
      <c r="C5699" s="447"/>
      <c r="D5699" s="447"/>
      <c r="E5699" s="439" t="s">
        <v>375</v>
      </c>
      <c r="F5699" s="439" t="s">
        <v>9</v>
      </c>
      <c r="G5699" s="439" t="s">
        <v>131</v>
      </c>
      <c r="H5699" s="439" t="s">
        <v>424</v>
      </c>
    </row>
    <row r="5700" spans="1:8" s="422" customFormat="1" ht="11.25">
      <c r="A5700" s="448"/>
      <c r="B5700" s="449"/>
      <c r="C5700" s="449"/>
      <c r="D5700" s="449"/>
      <c r="E5700" s="438">
        <v>0</v>
      </c>
      <c r="F5700" s="438">
        <v>0</v>
      </c>
      <c r="G5700" s="438">
        <v>0</v>
      </c>
      <c r="H5700" s="438">
        <v>0</v>
      </c>
    </row>
    <row r="5701" spans="1:8" s="422" customFormat="1" ht="11.25">
      <c r="A5701" s="448"/>
      <c r="B5701" s="449"/>
      <c r="C5701" s="449"/>
      <c r="D5701" s="449"/>
      <c r="E5701" s="438">
        <v>0</v>
      </c>
      <c r="F5701" s="438">
        <v>0</v>
      </c>
      <c r="G5701" s="438">
        <v>0</v>
      </c>
      <c r="H5701" s="438">
        <v>0</v>
      </c>
    </row>
    <row r="5702" spans="1:8" s="422" customFormat="1" ht="11.25">
      <c r="A5702" s="448"/>
      <c r="B5702" s="449"/>
      <c r="C5702" s="449"/>
      <c r="D5702" s="449"/>
      <c r="E5702" s="438">
        <v>0</v>
      </c>
      <c r="F5702" s="438">
        <v>0</v>
      </c>
      <c r="G5702" s="438">
        <v>0</v>
      </c>
      <c r="H5702" s="438">
        <v>0</v>
      </c>
    </row>
    <row r="5703" spans="1:8" s="421" customFormat="1" ht="11.25">
      <c r="A5703" s="421" t="s">
        <v>391</v>
      </c>
      <c r="D5703" s="421" t="s">
        <v>472</v>
      </c>
    </row>
    <row r="5704" spans="1:8" s="422" customFormat="1" ht="11.25"/>
    <row r="5705" spans="1:8" s="421" customFormat="1" ht="11.25" customHeight="1">
      <c r="A5705" s="423" t="s">
        <v>392</v>
      </c>
      <c r="D5705" s="421" t="s">
        <v>159</v>
      </c>
    </row>
    <row r="5706" spans="1:8" s="421" customFormat="1" ht="7.5" customHeight="1">
      <c r="A5706" s="423"/>
    </row>
    <row r="5707" spans="1:8" s="421" customFormat="1" ht="11.25">
      <c r="A5707" s="424" t="s">
        <v>393</v>
      </c>
      <c r="D5707" s="583" t="s">
        <v>127</v>
      </c>
      <c r="E5707" s="583"/>
      <c r="F5707" s="583"/>
      <c r="G5707" s="583"/>
      <c r="H5707" s="583"/>
    </row>
    <row r="5708" spans="1:8" s="421" customFormat="1" ht="7.5" customHeight="1"/>
    <row r="5709" spans="1:8" s="422" customFormat="1" ht="11.25">
      <c r="A5709" s="421" t="s">
        <v>170</v>
      </c>
      <c r="B5709" s="421"/>
      <c r="C5709" s="421"/>
      <c r="D5709" s="422" t="s">
        <v>302</v>
      </c>
      <c r="E5709" s="422" t="s">
        <v>303</v>
      </c>
    </row>
    <row r="5710" spans="1:8" s="422" customFormat="1" ht="7.5" customHeight="1"/>
    <row r="5711" spans="1:8" s="427" customFormat="1" ht="11.25">
      <c r="A5711" s="425" t="s">
        <v>587</v>
      </c>
      <c r="B5711" s="425"/>
      <c r="C5711" s="425"/>
      <c r="D5711" s="426" t="s">
        <v>1241</v>
      </c>
      <c r="E5711" s="584" t="s">
        <v>303</v>
      </c>
      <c r="F5711" s="584"/>
      <c r="G5711" s="584"/>
      <c r="H5711" s="584"/>
    </row>
    <row r="5712" spans="1:8" s="427" customFormat="1" ht="11.25">
      <c r="A5712" s="425"/>
      <c r="B5712" s="425"/>
      <c r="C5712" s="425"/>
      <c r="D5712" s="426"/>
      <c r="E5712" s="584"/>
      <c r="F5712" s="584"/>
      <c r="G5712" s="584"/>
      <c r="H5712" s="584"/>
    </row>
    <row r="5713" spans="1:8" s="427" customFormat="1" ht="11.25"/>
    <row r="5714" spans="1:8" s="422" customFormat="1" ht="11.25"/>
    <row r="5715" spans="1:8" s="422" customFormat="1" ht="11.25">
      <c r="A5715" s="421" t="s">
        <v>589</v>
      </c>
      <c r="B5715" s="421"/>
      <c r="C5715" s="421"/>
    </row>
    <row r="5716" spans="1:8" s="429" customFormat="1" ht="11.25">
      <c r="A5716" s="428"/>
      <c r="B5716" s="428"/>
      <c r="C5716" s="428"/>
    </row>
    <row r="5717" spans="1:8" s="429" customFormat="1" ht="11.25">
      <c r="A5717" s="428"/>
      <c r="B5717" s="428"/>
      <c r="C5717" s="428"/>
    </row>
    <row r="5718" spans="1:8" s="429" customFormat="1" ht="11.25">
      <c r="A5718" s="428"/>
      <c r="B5718" s="428"/>
      <c r="C5718" s="428"/>
    </row>
    <row r="5719" spans="1:8" s="429" customFormat="1" ht="11.25">
      <c r="A5719" s="428"/>
      <c r="B5719" s="428"/>
      <c r="C5719" s="428"/>
    </row>
    <row r="5720" spans="1:8" s="429" customFormat="1" ht="11.25">
      <c r="A5720" s="428"/>
      <c r="B5720" s="428"/>
      <c r="C5720" s="428"/>
    </row>
    <row r="5721" spans="1:8" s="429" customFormat="1" ht="11.25">
      <c r="A5721" s="428"/>
      <c r="B5721" s="428"/>
      <c r="C5721" s="428"/>
    </row>
    <row r="5722" spans="1:8" s="422" customFormat="1" ht="9" customHeight="1">
      <c r="A5722" s="430"/>
      <c r="B5722" s="430"/>
      <c r="C5722" s="430"/>
      <c r="D5722" s="430"/>
      <c r="E5722" s="430"/>
      <c r="F5722" s="430"/>
      <c r="G5722" s="430"/>
      <c r="H5722" s="430"/>
    </row>
    <row r="5723" spans="1:8" s="422" customFormat="1" ht="22.5" customHeight="1">
      <c r="A5723" s="585" t="s">
        <v>590</v>
      </c>
      <c r="B5723" s="585"/>
      <c r="C5723" s="585"/>
      <c r="D5723" s="586"/>
      <c r="E5723" s="586"/>
      <c r="F5723" s="586"/>
      <c r="G5723" s="586"/>
      <c r="H5723" s="586"/>
    </row>
    <row r="5724" spans="1:8" s="429" customFormat="1" ht="11.25">
      <c r="A5724" s="431"/>
      <c r="B5724" s="431"/>
      <c r="C5724" s="431"/>
      <c r="D5724" s="432"/>
      <c r="E5724" s="432"/>
      <c r="F5724" s="432"/>
      <c r="G5724" s="432"/>
      <c r="H5724" s="432"/>
    </row>
    <row r="5725" spans="1:8" s="429" customFormat="1" ht="11.25">
      <c r="A5725" s="431"/>
      <c r="B5725" s="431"/>
      <c r="C5725" s="431"/>
      <c r="D5725" s="432"/>
      <c r="E5725" s="432"/>
      <c r="F5725" s="432"/>
      <c r="G5725" s="432"/>
      <c r="H5725" s="432"/>
    </row>
    <row r="5726" spans="1:8" s="429" customFormat="1" ht="20.25" customHeight="1">
      <c r="A5726" s="431"/>
      <c r="B5726" s="431"/>
      <c r="C5726" s="431"/>
      <c r="D5726" s="432"/>
      <c r="E5726" s="432"/>
      <c r="F5726" s="432"/>
      <c r="G5726" s="432"/>
      <c r="H5726" s="432"/>
    </row>
    <row r="5727" spans="1:8" s="429" customFormat="1" ht="14.25" customHeight="1">
      <c r="A5727" s="431"/>
      <c r="B5727" s="431"/>
      <c r="C5727" s="431"/>
      <c r="D5727" s="432"/>
      <c r="E5727" s="432"/>
      <c r="F5727" s="432"/>
      <c r="G5727" s="432"/>
      <c r="H5727" s="432"/>
    </row>
    <row r="5728" spans="1:8" s="422" customFormat="1" ht="12.75" customHeight="1"/>
    <row r="5729" spans="1:8" s="422" customFormat="1" ht="11.25">
      <c r="A5729" s="421" t="s">
        <v>591</v>
      </c>
      <c r="B5729" s="421"/>
      <c r="C5729" s="421"/>
    </row>
    <row r="5730" spans="1:8" s="429" customFormat="1" ht="11.25">
      <c r="A5730" s="508"/>
      <c r="B5730" s="428"/>
      <c r="C5730" s="428"/>
    </row>
    <row r="5731" spans="1:8" s="429" customFormat="1" ht="11.25">
      <c r="A5731" s="428"/>
      <c r="B5731" s="428"/>
      <c r="C5731" s="428"/>
    </row>
    <row r="5732" spans="1:8" s="429" customFormat="1" ht="11.25">
      <c r="A5732" s="428"/>
      <c r="B5732" s="428"/>
      <c r="C5732" s="428"/>
    </row>
    <row r="5733" spans="1:8" s="429" customFormat="1" ht="10.5" customHeight="1">
      <c r="A5733" s="428"/>
      <c r="B5733" s="428"/>
      <c r="C5733" s="428"/>
    </row>
    <row r="5734" spans="1:8" s="429" customFormat="1" ht="11.25">
      <c r="A5734" s="428"/>
      <c r="B5734" s="428"/>
      <c r="C5734" s="428"/>
    </row>
    <row r="5735" spans="1:8" s="422" customFormat="1" ht="9" customHeight="1"/>
    <row r="5736" spans="1:8" s="422" customFormat="1" ht="11.25">
      <c r="A5736" s="433" t="s">
        <v>592</v>
      </c>
      <c r="B5736" s="434"/>
      <c r="C5736" s="434"/>
      <c r="D5736" s="434"/>
      <c r="E5736" s="434"/>
      <c r="F5736" s="434"/>
      <c r="G5736" s="434"/>
      <c r="H5736" s="434"/>
    </row>
    <row r="5737" spans="1:8" s="429" customFormat="1" ht="11.25">
      <c r="A5737" s="435"/>
      <c r="B5737" s="436"/>
      <c r="C5737" s="436"/>
      <c r="D5737" s="436"/>
      <c r="E5737" s="436"/>
      <c r="F5737" s="436"/>
      <c r="G5737" s="436"/>
      <c r="H5737" s="436"/>
    </row>
    <row r="5738" spans="1:8" s="429" customFormat="1" ht="11.25">
      <c r="A5738" s="435"/>
      <c r="B5738" s="436"/>
      <c r="C5738" s="436"/>
      <c r="D5738" s="436"/>
      <c r="E5738" s="436"/>
      <c r="F5738" s="436"/>
      <c r="G5738" s="436"/>
      <c r="H5738" s="436"/>
    </row>
    <row r="5739" spans="1:8" s="422" customFormat="1" ht="11.25">
      <c r="A5739" s="437"/>
      <c r="B5739" s="437"/>
      <c r="C5739" s="437"/>
      <c r="D5739" s="437"/>
      <c r="E5739" s="437"/>
      <c r="F5739" s="437"/>
      <c r="G5739" s="437"/>
      <c r="H5739" s="437"/>
    </row>
    <row r="5740" spans="1:8" s="422" customFormat="1" ht="11.25">
      <c r="A5740" s="421" t="s">
        <v>593</v>
      </c>
      <c r="B5740" s="421"/>
      <c r="C5740" s="421"/>
    </row>
    <row r="5741" spans="1:8" s="422" customFormat="1" ht="11.25">
      <c r="A5741" s="438"/>
      <c r="B5741" s="439" t="s">
        <v>132</v>
      </c>
      <c r="C5741" s="439" t="s">
        <v>473</v>
      </c>
      <c r="D5741" s="439" t="s">
        <v>474</v>
      </c>
      <c r="E5741" s="439" t="s">
        <v>375</v>
      </c>
      <c r="F5741" s="439" t="s">
        <v>9</v>
      </c>
      <c r="G5741" s="439" t="s">
        <v>131</v>
      </c>
      <c r="H5741" s="439" t="s">
        <v>424</v>
      </c>
    </row>
    <row r="5742" spans="1:8" s="422" customFormat="1" ht="11.25">
      <c r="A5742" s="439" t="s">
        <v>394</v>
      </c>
      <c r="B5742" s="438">
        <v>6317032.5</v>
      </c>
      <c r="C5742" s="438">
        <v>5870741.3499999996</v>
      </c>
      <c r="D5742" s="438">
        <v>5810000</v>
      </c>
      <c r="E5742" s="438">
        <v>5830000</v>
      </c>
      <c r="F5742" s="438">
        <v>5850000</v>
      </c>
      <c r="G5742" s="438">
        <v>5870000</v>
      </c>
      <c r="H5742" s="438">
        <v>5890000</v>
      </c>
    </row>
    <row r="5743" spans="1:8" s="422" customFormat="1" ht="11.25">
      <c r="A5743" s="439" t="s">
        <v>395</v>
      </c>
      <c r="B5743" s="438">
        <v>0</v>
      </c>
      <c r="C5743" s="438">
        <v>-445843.65</v>
      </c>
      <c r="D5743" s="438">
        <v>0</v>
      </c>
      <c r="E5743" s="438">
        <v>0</v>
      </c>
      <c r="F5743" s="438">
        <v>0</v>
      </c>
      <c r="G5743" s="438">
        <v>0</v>
      </c>
      <c r="H5743" s="438">
        <v>0</v>
      </c>
    </row>
    <row r="5744" spans="1:8" s="422" customFormat="1" ht="11.25">
      <c r="A5744" s="439" t="s">
        <v>396</v>
      </c>
      <c r="B5744" s="438">
        <v>6317032.5</v>
      </c>
      <c r="C5744" s="438">
        <v>5424897.6999999993</v>
      </c>
      <c r="D5744" s="438">
        <v>5810000</v>
      </c>
      <c r="E5744" s="438">
        <v>5830000</v>
      </c>
      <c r="F5744" s="438">
        <v>5850000</v>
      </c>
      <c r="G5744" s="438">
        <v>5870000</v>
      </c>
      <c r="H5744" s="438">
        <v>5890000</v>
      </c>
    </row>
    <row r="5745" spans="1:8" s="442" customFormat="1" ht="11.25">
      <c r="A5745" s="440" t="s">
        <v>397</v>
      </c>
      <c r="B5745" s="441">
        <v>0</v>
      </c>
      <c r="C5745" s="441">
        <v>7.594333039386926E-2</v>
      </c>
      <c r="D5745" s="441">
        <v>0</v>
      </c>
      <c r="E5745" s="441">
        <v>0</v>
      </c>
      <c r="F5745" s="441">
        <v>0</v>
      </c>
      <c r="G5745" s="441">
        <v>0</v>
      </c>
      <c r="H5745" s="441">
        <v>0</v>
      </c>
    </row>
    <row r="5746" spans="1:8" s="422" customFormat="1" ht="11.25"/>
    <row r="5747" spans="1:8" s="422" customFormat="1" ht="11.25">
      <c r="A5747" s="443" t="s">
        <v>594</v>
      </c>
      <c r="B5747" s="443"/>
      <c r="C5747" s="444"/>
    </row>
    <row r="5748" spans="1:8" s="422" customFormat="1" ht="11.25">
      <c r="A5748" s="445" t="s">
        <v>595</v>
      </c>
      <c r="B5748" s="446"/>
      <c r="C5748" s="447"/>
      <c r="D5748" s="439" t="s">
        <v>474</v>
      </c>
      <c r="E5748" s="439" t="s">
        <v>375</v>
      </c>
      <c r="F5748" s="439" t="s">
        <v>9</v>
      </c>
      <c r="G5748" s="439" t="s">
        <v>131</v>
      </c>
      <c r="H5748" s="439" t="s">
        <v>424</v>
      </c>
    </row>
    <row r="5749" spans="1:8" s="422" customFormat="1" ht="11.25">
      <c r="A5749" s="448" t="s">
        <v>1242</v>
      </c>
      <c r="B5749" s="449"/>
      <c r="C5749" s="449"/>
      <c r="D5749" s="438" t="s">
        <v>1243</v>
      </c>
      <c r="E5749" s="438" t="s">
        <v>1243</v>
      </c>
      <c r="F5749" s="438" t="s">
        <v>1243</v>
      </c>
      <c r="G5749" s="438" t="s">
        <v>1243</v>
      </c>
      <c r="H5749" s="438" t="s">
        <v>1243</v>
      </c>
    </row>
    <row r="5750" spans="1:8" s="422" customFormat="1" ht="11.25">
      <c r="A5750" s="448"/>
      <c r="B5750" s="449"/>
      <c r="C5750" s="449"/>
      <c r="D5750" s="438"/>
      <c r="E5750" s="438"/>
      <c r="F5750" s="438"/>
      <c r="G5750" s="438"/>
      <c r="H5750" s="438"/>
    </row>
    <row r="5751" spans="1:8" s="422" customFormat="1" ht="11.25">
      <c r="A5751" s="448"/>
      <c r="B5751" s="449"/>
      <c r="C5751" s="449"/>
      <c r="D5751" s="438"/>
      <c r="E5751" s="438"/>
      <c r="F5751" s="438"/>
      <c r="G5751" s="438"/>
      <c r="H5751" s="438"/>
    </row>
    <row r="5752" spans="1:8" s="422" customFormat="1" ht="11.25"/>
    <row r="5753" spans="1:8" s="422" customFormat="1" ht="11.25">
      <c r="A5753" s="421" t="s">
        <v>423</v>
      </c>
      <c r="B5753" s="421"/>
      <c r="C5753" s="421"/>
    </row>
    <row r="5754" spans="1:8" s="422" customFormat="1" ht="11.25">
      <c r="A5754" s="450"/>
      <c r="B5754" s="439" t="s">
        <v>132</v>
      </c>
      <c r="C5754" s="439" t="s">
        <v>473</v>
      </c>
      <c r="D5754" s="439" t="s">
        <v>474</v>
      </c>
      <c r="E5754" s="439" t="s">
        <v>375</v>
      </c>
      <c r="F5754" s="439" t="s">
        <v>9</v>
      </c>
      <c r="G5754" s="439" t="s">
        <v>131</v>
      </c>
      <c r="H5754" s="439" t="s">
        <v>424</v>
      </c>
    </row>
    <row r="5755" spans="1:8" s="422" customFormat="1" ht="11.25">
      <c r="A5755" s="451" t="s">
        <v>398</v>
      </c>
      <c r="B5755" s="438">
        <v>0</v>
      </c>
      <c r="C5755" s="438">
        <v>0</v>
      </c>
      <c r="D5755" s="438">
        <v>0</v>
      </c>
      <c r="E5755" s="438">
        <v>0</v>
      </c>
      <c r="F5755" s="438">
        <v>0</v>
      </c>
      <c r="G5755" s="438">
        <v>0</v>
      </c>
      <c r="H5755" s="438">
        <v>0</v>
      </c>
    </row>
    <row r="5756" spans="1:8" s="422" customFormat="1" ht="11.25">
      <c r="A5756" s="451" t="s">
        <v>399</v>
      </c>
      <c r="B5756" s="438">
        <v>0</v>
      </c>
      <c r="C5756" s="438">
        <v>0</v>
      </c>
      <c r="D5756" s="438">
        <v>0</v>
      </c>
      <c r="E5756" s="438">
        <v>0</v>
      </c>
      <c r="F5756" s="438">
        <v>0</v>
      </c>
      <c r="G5756" s="438">
        <v>0</v>
      </c>
      <c r="H5756" s="438">
        <v>0</v>
      </c>
    </row>
    <row r="5757" spans="1:8" s="422" customFormat="1" ht="11.25">
      <c r="A5757" s="451" t="s">
        <v>400</v>
      </c>
      <c r="B5757" s="438">
        <v>0</v>
      </c>
      <c r="C5757" s="438">
        <v>0</v>
      </c>
      <c r="D5757" s="438">
        <v>0</v>
      </c>
      <c r="E5757" s="438">
        <v>0</v>
      </c>
      <c r="F5757" s="438">
        <v>0</v>
      </c>
      <c r="G5757" s="438">
        <v>0</v>
      </c>
      <c r="H5757" s="438">
        <v>0</v>
      </c>
    </row>
    <row r="5758" spans="1:8" s="422" customFormat="1" ht="11.25">
      <c r="A5758" s="451" t="s">
        <v>401</v>
      </c>
      <c r="B5758" s="438">
        <v>0</v>
      </c>
      <c r="C5758" s="438">
        <v>0</v>
      </c>
      <c r="D5758" s="438">
        <v>0</v>
      </c>
      <c r="E5758" s="438">
        <v>0</v>
      </c>
      <c r="F5758" s="438">
        <v>0</v>
      </c>
      <c r="G5758" s="438">
        <v>0</v>
      </c>
      <c r="H5758" s="438">
        <v>0</v>
      </c>
    </row>
    <row r="5759" spans="1:8" s="422" customFormat="1" ht="11.25"/>
    <row r="5760" spans="1:8" s="422" customFormat="1" ht="11.25">
      <c r="A5760" s="421" t="s">
        <v>597</v>
      </c>
      <c r="B5760" s="421"/>
      <c r="C5760" s="421"/>
    </row>
    <row r="5761" spans="1:8" s="429" customFormat="1" ht="11.25">
      <c r="A5761" s="428"/>
      <c r="B5761" s="428"/>
      <c r="C5761" s="428"/>
    </row>
    <row r="5762" spans="1:8" s="429" customFormat="1" ht="11.25">
      <c r="A5762" s="428"/>
      <c r="B5762" s="428"/>
      <c r="C5762" s="428"/>
    </row>
    <row r="5763" spans="1:8" s="429" customFormat="1" ht="11.25">
      <c r="A5763" s="428"/>
      <c r="B5763" s="428"/>
      <c r="C5763" s="428"/>
    </row>
    <row r="5764" spans="1:8" s="422" customFormat="1" ht="11.25"/>
    <row r="5765" spans="1:8" s="422" customFormat="1" ht="11.25">
      <c r="A5765" s="421" t="s">
        <v>598</v>
      </c>
      <c r="B5765" s="421"/>
      <c r="C5765" s="421"/>
    </row>
    <row r="5766" spans="1:8" s="422" customFormat="1" ht="11.25">
      <c r="A5766" s="452" t="s">
        <v>599</v>
      </c>
      <c r="B5766" s="447"/>
      <c r="C5766" s="447"/>
      <c r="D5766" s="447"/>
      <c r="E5766" s="439" t="s">
        <v>375</v>
      </c>
      <c r="F5766" s="439" t="s">
        <v>9</v>
      </c>
      <c r="G5766" s="439" t="s">
        <v>131</v>
      </c>
      <c r="H5766" s="439" t="s">
        <v>424</v>
      </c>
    </row>
    <row r="5767" spans="1:8" s="422" customFormat="1" ht="11.25">
      <c r="A5767" s="448"/>
      <c r="B5767" s="449"/>
      <c r="C5767" s="449"/>
      <c r="D5767" s="449"/>
      <c r="E5767" s="438">
        <v>0</v>
      </c>
      <c r="F5767" s="438">
        <v>0</v>
      </c>
      <c r="G5767" s="438">
        <v>0</v>
      </c>
      <c r="H5767" s="438">
        <v>0</v>
      </c>
    </row>
    <row r="5768" spans="1:8" s="422" customFormat="1" ht="11.25">
      <c r="A5768" s="448"/>
      <c r="B5768" s="449"/>
      <c r="C5768" s="449"/>
      <c r="D5768" s="449"/>
      <c r="E5768" s="438">
        <v>0</v>
      </c>
      <c r="F5768" s="438">
        <v>0</v>
      </c>
      <c r="G5768" s="438">
        <v>0</v>
      </c>
      <c r="H5768" s="438">
        <v>0</v>
      </c>
    </row>
    <row r="5769" spans="1:8" s="422" customFormat="1" ht="11.25">
      <c r="A5769" s="448"/>
      <c r="B5769" s="449"/>
      <c r="C5769" s="449"/>
      <c r="D5769" s="449"/>
      <c r="E5769" s="438">
        <v>0</v>
      </c>
      <c r="F5769" s="438">
        <v>0</v>
      </c>
      <c r="G5769" s="438">
        <v>0</v>
      </c>
      <c r="H5769" s="438">
        <v>0</v>
      </c>
    </row>
    <row r="5770" spans="1:8" s="421" customFormat="1" ht="11.25">
      <c r="A5770" s="421" t="s">
        <v>391</v>
      </c>
      <c r="D5770" s="421" t="s">
        <v>472</v>
      </c>
    </row>
    <row r="5771" spans="1:8" s="422" customFormat="1" ht="11.25"/>
    <row r="5772" spans="1:8" s="421" customFormat="1" ht="11.25" customHeight="1">
      <c r="A5772" s="423" t="s">
        <v>392</v>
      </c>
      <c r="D5772" s="421" t="s">
        <v>159</v>
      </c>
    </row>
    <row r="5773" spans="1:8" s="421" customFormat="1" ht="11.25">
      <c r="A5773" s="423"/>
    </row>
    <row r="5774" spans="1:8" s="421" customFormat="1" ht="11.25">
      <c r="A5774" s="424" t="s">
        <v>393</v>
      </c>
      <c r="D5774" s="583" t="s">
        <v>160</v>
      </c>
      <c r="E5774" s="583"/>
      <c r="F5774" s="583"/>
      <c r="G5774" s="583"/>
      <c r="H5774" s="583"/>
    </row>
    <row r="5775" spans="1:8" s="421" customFormat="1" ht="7.5" customHeight="1"/>
    <row r="5776" spans="1:8" s="422" customFormat="1" ht="11.25">
      <c r="A5776" s="421" t="s">
        <v>170</v>
      </c>
      <c r="B5776" s="421"/>
      <c r="C5776" s="421"/>
      <c r="D5776" s="422" t="s">
        <v>304</v>
      </c>
      <c r="E5776" s="422" t="s">
        <v>305</v>
      </c>
    </row>
    <row r="5777" spans="1:8" s="422" customFormat="1" ht="7.5" customHeight="1"/>
    <row r="5778" spans="1:8" s="427" customFormat="1" ht="11.25">
      <c r="A5778" s="425" t="s">
        <v>587</v>
      </c>
      <c r="B5778" s="425"/>
      <c r="C5778" s="425"/>
      <c r="D5778" s="426" t="s">
        <v>1244</v>
      </c>
      <c r="E5778" s="584" t="s">
        <v>1245</v>
      </c>
      <c r="F5778" s="584"/>
      <c r="G5778" s="584"/>
      <c r="H5778" s="584"/>
    </row>
    <row r="5779" spans="1:8" s="427" customFormat="1" ht="11.25">
      <c r="A5779" s="425"/>
      <c r="B5779" s="425"/>
      <c r="C5779" s="425"/>
      <c r="D5779" s="426" t="s">
        <v>1246</v>
      </c>
      <c r="E5779" s="584" t="s">
        <v>1247</v>
      </c>
      <c r="F5779" s="584"/>
      <c r="G5779" s="584"/>
      <c r="H5779" s="584"/>
    </row>
    <row r="5780" spans="1:8" s="427" customFormat="1" ht="11.25">
      <c r="A5780" s="425"/>
      <c r="B5780" s="425"/>
      <c r="C5780" s="425"/>
      <c r="D5780" s="426" t="s">
        <v>1248</v>
      </c>
      <c r="E5780" s="584" t="s">
        <v>1249</v>
      </c>
      <c r="F5780" s="584"/>
      <c r="G5780" s="584"/>
      <c r="H5780" s="584"/>
    </row>
    <row r="5781" spans="1:8" s="427" customFormat="1" ht="11.25">
      <c r="A5781" s="425"/>
      <c r="B5781" s="425"/>
      <c r="C5781" s="425"/>
      <c r="D5781" s="426" t="s">
        <v>1250</v>
      </c>
      <c r="E5781" s="584" t="s">
        <v>1251</v>
      </c>
      <c r="F5781" s="584"/>
      <c r="G5781" s="584"/>
      <c r="H5781" s="584"/>
    </row>
    <row r="5782" spans="1:8" s="427" customFormat="1" ht="11.25">
      <c r="A5782" s="425"/>
      <c r="B5782" s="425"/>
      <c r="C5782" s="425"/>
      <c r="D5782" s="426"/>
      <c r="E5782" s="453"/>
      <c r="F5782" s="453"/>
      <c r="G5782" s="453"/>
      <c r="H5782" s="453"/>
    </row>
    <row r="5783" spans="1:8" s="427" customFormat="1" ht="11.25"/>
    <row r="5784" spans="1:8" s="422" customFormat="1" ht="11.25"/>
    <row r="5785" spans="1:8" s="422" customFormat="1" ht="11.25">
      <c r="A5785" s="421" t="s">
        <v>589</v>
      </c>
      <c r="B5785" s="421"/>
      <c r="C5785" s="421"/>
    </row>
    <row r="5786" spans="1:8" s="429" customFormat="1" ht="11.25">
      <c r="A5786" s="428"/>
      <c r="B5786" s="428"/>
      <c r="C5786" s="428"/>
    </row>
    <row r="5787" spans="1:8" s="429" customFormat="1" ht="11.25">
      <c r="A5787" s="428"/>
      <c r="B5787" s="428"/>
      <c r="C5787" s="428"/>
    </row>
    <row r="5788" spans="1:8" s="429" customFormat="1" ht="11.25">
      <c r="A5788" s="428"/>
      <c r="B5788" s="428"/>
      <c r="C5788" s="428"/>
    </row>
    <row r="5789" spans="1:8" s="429" customFormat="1" ht="3.75" customHeight="1">
      <c r="A5789" s="428"/>
      <c r="B5789" s="428"/>
      <c r="C5789" s="428"/>
    </row>
    <row r="5790" spans="1:8" s="429" customFormat="1" ht="3.75" customHeight="1">
      <c r="A5790" s="428"/>
      <c r="B5790" s="428"/>
      <c r="C5790" s="428"/>
    </row>
    <row r="5791" spans="1:8" s="422" customFormat="1" ht="9" customHeight="1">
      <c r="A5791" s="430"/>
      <c r="B5791" s="430"/>
      <c r="C5791" s="430"/>
      <c r="D5791" s="430"/>
      <c r="E5791" s="430"/>
      <c r="F5791" s="430"/>
      <c r="G5791" s="430"/>
      <c r="H5791" s="430"/>
    </row>
    <row r="5792" spans="1:8" s="422" customFormat="1" ht="22.5" customHeight="1">
      <c r="A5792" s="585" t="s">
        <v>590</v>
      </c>
      <c r="B5792" s="585"/>
      <c r="C5792" s="585"/>
      <c r="D5792" s="586"/>
      <c r="E5792" s="586"/>
      <c r="F5792" s="586"/>
      <c r="G5792" s="586"/>
      <c r="H5792" s="586"/>
    </row>
    <row r="5793" spans="1:8" s="429" customFormat="1" ht="11.25">
      <c r="A5793" s="431"/>
      <c r="B5793" s="431"/>
      <c r="C5793" s="431"/>
      <c r="D5793" s="432"/>
      <c r="E5793" s="432"/>
      <c r="F5793" s="432"/>
      <c r="G5793" s="432"/>
      <c r="H5793" s="432"/>
    </row>
    <row r="5794" spans="1:8" s="429" customFormat="1" ht="11.25">
      <c r="A5794" s="431"/>
      <c r="B5794" s="431"/>
      <c r="C5794" s="431"/>
      <c r="D5794" s="432"/>
      <c r="E5794" s="432"/>
      <c r="F5794" s="432"/>
      <c r="G5794" s="432"/>
      <c r="H5794" s="432"/>
    </row>
    <row r="5795" spans="1:8" s="429" customFormat="1" ht="72" customHeight="1">
      <c r="A5795" s="431"/>
      <c r="B5795" s="431"/>
      <c r="C5795" s="431"/>
      <c r="D5795" s="432"/>
      <c r="E5795" s="432"/>
      <c r="F5795" s="432"/>
      <c r="G5795" s="432"/>
      <c r="H5795" s="432"/>
    </row>
    <row r="5796" spans="1:8" s="429" customFormat="1" ht="11.25">
      <c r="A5796" s="431"/>
      <c r="B5796" s="431"/>
      <c r="C5796" s="431"/>
      <c r="D5796" s="432"/>
      <c r="E5796" s="432"/>
      <c r="F5796" s="432"/>
      <c r="G5796" s="432"/>
      <c r="H5796" s="432"/>
    </row>
    <row r="5797" spans="1:8" s="422" customFormat="1" ht="12.75" customHeight="1"/>
    <row r="5798" spans="1:8" s="422" customFormat="1" ht="11.25">
      <c r="A5798" s="421" t="s">
        <v>591</v>
      </c>
      <c r="B5798" s="421"/>
      <c r="C5798" s="421"/>
    </row>
    <row r="5799" spans="1:8" s="429" customFormat="1" ht="11.25">
      <c r="A5799" s="428"/>
      <c r="B5799" s="428"/>
      <c r="C5799" s="428"/>
    </row>
    <row r="5800" spans="1:8" s="429" customFormat="1" ht="11.25">
      <c r="A5800" s="428"/>
      <c r="B5800" s="428"/>
      <c r="C5800" s="428"/>
    </row>
    <row r="5801" spans="1:8" s="429" customFormat="1" ht="11.25">
      <c r="A5801" s="428"/>
      <c r="B5801" s="428"/>
      <c r="C5801" s="428"/>
    </row>
    <row r="5802" spans="1:8" s="429" customFormat="1" ht="10.5" customHeight="1">
      <c r="A5802" s="428"/>
      <c r="B5802" s="428"/>
      <c r="C5802" s="428"/>
    </row>
    <row r="5803" spans="1:8" s="429" customFormat="1" ht="11.25">
      <c r="A5803" s="428"/>
      <c r="B5803" s="428"/>
      <c r="C5803" s="428"/>
    </row>
    <row r="5804" spans="1:8" s="422" customFormat="1" ht="9" customHeight="1"/>
    <row r="5805" spans="1:8" s="422" customFormat="1" ht="11.25">
      <c r="A5805" s="433" t="s">
        <v>592</v>
      </c>
      <c r="B5805" s="434"/>
      <c r="C5805" s="434"/>
      <c r="D5805" s="434"/>
      <c r="E5805" s="434"/>
      <c r="F5805" s="434"/>
      <c r="G5805" s="434"/>
      <c r="H5805" s="434"/>
    </row>
    <row r="5806" spans="1:8" s="429" customFormat="1" ht="11.25">
      <c r="A5806" s="435"/>
      <c r="B5806" s="436"/>
      <c r="C5806" s="436"/>
      <c r="D5806" s="436"/>
      <c r="E5806" s="436"/>
      <c r="F5806" s="436"/>
      <c r="G5806" s="436"/>
      <c r="H5806" s="436"/>
    </row>
    <row r="5807" spans="1:8" s="429" customFormat="1" ht="11.25">
      <c r="A5807" s="435"/>
      <c r="B5807" s="436"/>
      <c r="C5807" s="436"/>
      <c r="D5807" s="436"/>
      <c r="E5807" s="436"/>
      <c r="F5807" s="436"/>
      <c r="G5807" s="436"/>
      <c r="H5807" s="436"/>
    </row>
    <row r="5808" spans="1:8" s="422" customFormat="1" ht="11.25">
      <c r="A5808" s="437"/>
      <c r="B5808" s="437"/>
      <c r="C5808" s="437"/>
      <c r="D5808" s="437"/>
      <c r="E5808" s="437"/>
      <c r="F5808" s="437"/>
      <c r="G5808" s="437"/>
      <c r="H5808" s="437"/>
    </row>
    <row r="5809" spans="1:8" s="422" customFormat="1" ht="11.25">
      <c r="A5809" s="421" t="s">
        <v>593</v>
      </c>
      <c r="B5809" s="421"/>
      <c r="C5809" s="421"/>
    </row>
    <row r="5810" spans="1:8" s="422" customFormat="1" ht="11.25">
      <c r="A5810" s="438"/>
      <c r="B5810" s="439" t="s">
        <v>132</v>
      </c>
      <c r="C5810" s="439" t="s">
        <v>473</v>
      </c>
      <c r="D5810" s="439" t="s">
        <v>474</v>
      </c>
      <c r="E5810" s="439" t="s">
        <v>375</v>
      </c>
      <c r="F5810" s="439" t="s">
        <v>9</v>
      </c>
      <c r="G5810" s="439" t="s">
        <v>131</v>
      </c>
      <c r="H5810" s="439" t="s">
        <v>424</v>
      </c>
    </row>
    <row r="5811" spans="1:8" s="422" customFormat="1" ht="11.25">
      <c r="A5811" s="439" t="s">
        <v>394</v>
      </c>
      <c r="B5811" s="438">
        <v>1547496.16</v>
      </c>
      <c r="C5811" s="438">
        <v>1672561.4599999997</v>
      </c>
      <c r="D5811" s="438">
        <v>1678626.75</v>
      </c>
      <c r="E5811" s="438">
        <v>1781410.1567000002</v>
      </c>
      <c r="F5811" s="438">
        <v>1768127.1567000002</v>
      </c>
      <c r="G5811" s="438">
        <v>1789933.89408</v>
      </c>
      <c r="H5811" s="438">
        <v>1795587.1574299997</v>
      </c>
    </row>
    <row r="5812" spans="1:8" s="422" customFormat="1" ht="11.25">
      <c r="A5812" s="439" t="s">
        <v>395</v>
      </c>
      <c r="B5812" s="438">
        <v>-195202.94</v>
      </c>
      <c r="C5812" s="438">
        <v>-230442.44</v>
      </c>
      <c r="D5812" s="438">
        <v>-230399.92</v>
      </c>
      <c r="E5812" s="438">
        <v>-224399.92</v>
      </c>
      <c r="F5812" s="438">
        <v>-224399.92</v>
      </c>
      <c r="G5812" s="438">
        <v>-224399.92</v>
      </c>
      <c r="H5812" s="438">
        <v>-224399.92</v>
      </c>
    </row>
    <row r="5813" spans="1:8" s="422" customFormat="1" ht="11.25">
      <c r="A5813" s="439" t="s">
        <v>396</v>
      </c>
      <c r="B5813" s="438">
        <v>1352293.22</v>
      </c>
      <c r="C5813" s="438">
        <v>1442119.0199999998</v>
      </c>
      <c r="D5813" s="438">
        <v>1448226.83</v>
      </c>
      <c r="E5813" s="438">
        <v>1557010.2367000002</v>
      </c>
      <c r="F5813" s="438">
        <v>1543727.2367000002</v>
      </c>
      <c r="G5813" s="438">
        <v>1565533.9740800001</v>
      </c>
      <c r="H5813" s="438">
        <v>1571187.2374299997</v>
      </c>
    </row>
    <row r="5814" spans="1:8" s="442" customFormat="1" ht="11.25">
      <c r="A5814" s="440" t="s">
        <v>397</v>
      </c>
      <c r="B5814" s="441">
        <v>0.12614114661195672</v>
      </c>
      <c r="C5814" s="441">
        <v>0.1377781597335144</v>
      </c>
      <c r="D5814" s="441">
        <v>0.13725500323404236</v>
      </c>
      <c r="E5814" s="441">
        <v>0.12596757639222905</v>
      </c>
      <c r="F5814" s="441">
        <v>0.12691390387262411</v>
      </c>
      <c r="G5814" s="441">
        <v>0.1253677137139963</v>
      </c>
      <c r="H5814" s="441">
        <v>0.12497300343870842</v>
      </c>
    </row>
    <row r="5815" spans="1:8" s="422" customFormat="1" ht="11.25"/>
    <row r="5816" spans="1:8" s="422" customFormat="1" ht="11.25">
      <c r="A5816" s="443" t="s">
        <v>594</v>
      </c>
      <c r="B5816" s="443"/>
      <c r="C5816" s="444"/>
    </row>
    <row r="5817" spans="1:8" s="422" customFormat="1" ht="11.25">
      <c r="A5817" s="445" t="s">
        <v>595</v>
      </c>
      <c r="B5817" s="446"/>
      <c r="C5817" s="447"/>
      <c r="D5817" s="439" t="s">
        <v>474</v>
      </c>
      <c r="E5817" s="439" t="s">
        <v>375</v>
      </c>
      <c r="F5817" s="439" t="s">
        <v>9</v>
      </c>
      <c r="G5817" s="439" t="s">
        <v>131</v>
      </c>
      <c r="H5817" s="439" t="s">
        <v>424</v>
      </c>
    </row>
    <row r="5818" spans="1:8" s="422" customFormat="1" ht="11.25">
      <c r="A5818" s="448" t="s">
        <v>1252</v>
      </c>
      <c r="B5818" s="449"/>
      <c r="C5818" s="449"/>
      <c r="D5818" s="438">
        <v>8</v>
      </c>
      <c r="E5818" s="438">
        <v>5</v>
      </c>
      <c r="F5818" s="438">
        <v>5</v>
      </c>
      <c r="G5818" s="438">
        <v>5</v>
      </c>
      <c r="H5818" s="438">
        <v>5</v>
      </c>
    </row>
    <row r="5819" spans="1:8" s="422" customFormat="1" ht="11.25">
      <c r="A5819" s="448" t="s">
        <v>1253</v>
      </c>
      <c r="B5819" s="449"/>
      <c r="C5819" s="449"/>
      <c r="D5819" s="438">
        <v>8</v>
      </c>
      <c r="E5819" s="438">
        <v>12</v>
      </c>
      <c r="F5819" s="438">
        <v>10</v>
      </c>
      <c r="G5819" s="438">
        <v>10</v>
      </c>
      <c r="H5819" s="438">
        <v>10</v>
      </c>
    </row>
    <row r="5820" spans="1:8" s="422" customFormat="1" ht="11.25">
      <c r="A5820" s="448" t="s">
        <v>1254</v>
      </c>
      <c r="B5820" s="449"/>
      <c r="C5820" s="449"/>
      <c r="D5820" s="438">
        <v>10</v>
      </c>
      <c r="E5820" s="438">
        <v>10</v>
      </c>
      <c r="F5820" s="438">
        <v>10</v>
      </c>
      <c r="G5820" s="438">
        <v>10</v>
      </c>
      <c r="H5820" s="438">
        <v>10</v>
      </c>
    </row>
    <row r="5821" spans="1:8" s="422" customFormat="1" ht="11.25"/>
    <row r="5822" spans="1:8" s="422" customFormat="1" ht="11.25">
      <c r="A5822" s="421" t="s">
        <v>423</v>
      </c>
      <c r="B5822" s="421"/>
      <c r="C5822" s="421"/>
    </row>
    <row r="5823" spans="1:8" s="422" customFormat="1" ht="11.25">
      <c r="A5823" s="450"/>
      <c r="B5823" s="439" t="s">
        <v>132</v>
      </c>
      <c r="C5823" s="439" t="s">
        <v>473</v>
      </c>
      <c r="D5823" s="439" t="s">
        <v>474</v>
      </c>
      <c r="E5823" s="439" t="s">
        <v>375</v>
      </c>
      <c r="F5823" s="439" t="s">
        <v>9</v>
      </c>
      <c r="G5823" s="439" t="s">
        <v>131</v>
      </c>
      <c r="H5823" s="439" t="s">
        <v>424</v>
      </c>
    </row>
    <row r="5824" spans="1:8" s="422" customFormat="1" ht="11.25">
      <c r="A5824" s="451" t="s">
        <v>398</v>
      </c>
      <c r="B5824" s="438">
        <v>0</v>
      </c>
      <c r="C5824" s="438">
        <v>2300</v>
      </c>
      <c r="D5824" s="438">
        <v>231500</v>
      </c>
      <c r="E5824" s="438">
        <v>111700</v>
      </c>
      <c r="F5824" s="438">
        <v>61700</v>
      </c>
      <c r="G5824" s="438">
        <v>54000</v>
      </c>
      <c r="H5824" s="438">
        <v>0</v>
      </c>
    </row>
    <row r="5825" spans="1:8" s="422" customFormat="1" ht="11.25">
      <c r="A5825" s="451" t="s">
        <v>399</v>
      </c>
      <c r="B5825" s="438">
        <v>0</v>
      </c>
      <c r="C5825" s="438">
        <v>0</v>
      </c>
      <c r="D5825" s="438">
        <v>25000</v>
      </c>
      <c r="E5825" s="438">
        <v>8300</v>
      </c>
      <c r="F5825" s="438">
        <v>8300</v>
      </c>
      <c r="G5825" s="438">
        <v>7500</v>
      </c>
      <c r="H5825" s="438">
        <v>0</v>
      </c>
    </row>
    <row r="5826" spans="1:8" s="422" customFormat="1" ht="11.25">
      <c r="A5826" s="451" t="s">
        <v>400</v>
      </c>
      <c r="B5826" s="438">
        <v>0</v>
      </c>
      <c r="C5826" s="438">
        <v>0</v>
      </c>
      <c r="D5826" s="438">
        <v>0</v>
      </c>
      <c r="E5826" s="438">
        <v>0</v>
      </c>
      <c r="F5826" s="438">
        <v>0</v>
      </c>
      <c r="G5826" s="438">
        <v>0</v>
      </c>
      <c r="H5826" s="438">
        <v>0</v>
      </c>
    </row>
    <row r="5827" spans="1:8" s="422" customFormat="1" ht="11.25">
      <c r="A5827" s="451" t="s">
        <v>401</v>
      </c>
      <c r="B5827" s="438">
        <v>0</v>
      </c>
      <c r="C5827" s="438">
        <v>2300</v>
      </c>
      <c r="D5827" s="438">
        <v>256500</v>
      </c>
      <c r="E5827" s="438">
        <v>120000</v>
      </c>
      <c r="F5827" s="438">
        <v>70000</v>
      </c>
      <c r="G5827" s="438">
        <v>61500</v>
      </c>
      <c r="H5827" s="438">
        <v>0</v>
      </c>
    </row>
    <row r="5828" spans="1:8" s="422" customFormat="1" ht="11.25"/>
    <row r="5829" spans="1:8" s="422" customFormat="1" ht="11.25">
      <c r="A5829" s="421" t="s">
        <v>597</v>
      </c>
      <c r="B5829" s="421"/>
      <c r="C5829" s="421"/>
    </row>
    <row r="5830" spans="1:8" s="429" customFormat="1" ht="11.25">
      <c r="A5830" s="428"/>
      <c r="B5830" s="428"/>
      <c r="C5830" s="428"/>
    </row>
    <row r="5831" spans="1:8" s="429" customFormat="1" ht="11.25">
      <c r="A5831" s="428"/>
      <c r="B5831" s="428"/>
      <c r="C5831" s="428"/>
    </row>
    <row r="5832" spans="1:8" s="429" customFormat="1" ht="11.25">
      <c r="A5832" s="428"/>
      <c r="B5832" s="428"/>
      <c r="C5832" s="428"/>
    </row>
    <row r="5833" spans="1:8" s="422" customFormat="1" ht="11.25"/>
    <row r="5834" spans="1:8" s="422" customFormat="1" ht="11.25">
      <c r="A5834" s="421" t="s">
        <v>598</v>
      </c>
      <c r="B5834" s="421"/>
      <c r="C5834" s="421"/>
    </row>
    <row r="5835" spans="1:8" s="422" customFormat="1" ht="11.25">
      <c r="A5835" s="452" t="s">
        <v>599</v>
      </c>
      <c r="B5835" s="447"/>
      <c r="C5835" s="447"/>
      <c r="D5835" s="447"/>
      <c r="E5835" s="439" t="s">
        <v>375</v>
      </c>
      <c r="F5835" s="439" t="s">
        <v>9</v>
      </c>
      <c r="G5835" s="439" t="s">
        <v>131</v>
      </c>
      <c r="H5835" s="439" t="s">
        <v>424</v>
      </c>
    </row>
    <row r="5836" spans="1:8" s="422" customFormat="1" ht="11.25">
      <c r="A5836" s="448"/>
      <c r="B5836" s="449"/>
      <c r="C5836" s="449"/>
      <c r="D5836" s="449"/>
      <c r="E5836" s="438">
        <v>0</v>
      </c>
      <c r="F5836" s="438">
        <v>0</v>
      </c>
      <c r="G5836" s="438">
        <v>0</v>
      </c>
      <c r="H5836" s="438">
        <v>0</v>
      </c>
    </row>
    <row r="5837" spans="1:8" s="422" customFormat="1" ht="11.25">
      <c r="A5837" s="448"/>
      <c r="B5837" s="449"/>
      <c r="C5837" s="449"/>
      <c r="D5837" s="449"/>
      <c r="E5837" s="438">
        <v>0</v>
      </c>
      <c r="F5837" s="438">
        <v>0</v>
      </c>
      <c r="G5837" s="438">
        <v>0</v>
      </c>
      <c r="H5837" s="438">
        <v>0</v>
      </c>
    </row>
    <row r="5838" spans="1:8" s="422" customFormat="1" ht="11.25">
      <c r="A5838" s="448"/>
      <c r="B5838" s="449"/>
      <c r="C5838" s="449"/>
      <c r="D5838" s="449"/>
      <c r="E5838" s="438">
        <v>0</v>
      </c>
      <c r="F5838" s="438">
        <v>0</v>
      </c>
      <c r="G5838" s="438">
        <v>0</v>
      </c>
      <c r="H5838" s="438">
        <v>0</v>
      </c>
    </row>
    <row r="5839" spans="1:8" s="421" customFormat="1" ht="11.25">
      <c r="A5839" s="421" t="s">
        <v>391</v>
      </c>
      <c r="D5839" s="421" t="s">
        <v>472</v>
      </c>
    </row>
    <row r="5840" spans="1:8" s="422" customFormat="1" ht="11.25"/>
    <row r="5841" spans="1:8" s="421" customFormat="1" ht="11.25" customHeight="1">
      <c r="A5841" s="423" t="s">
        <v>392</v>
      </c>
      <c r="D5841" s="421" t="s">
        <v>159</v>
      </c>
    </row>
    <row r="5842" spans="1:8" s="421" customFormat="1" ht="7.5" customHeight="1">
      <c r="A5842" s="423"/>
    </row>
    <row r="5843" spans="1:8" s="421" customFormat="1" ht="11.25">
      <c r="A5843" s="424" t="s">
        <v>393</v>
      </c>
      <c r="D5843" s="583" t="s">
        <v>160</v>
      </c>
      <c r="E5843" s="583"/>
      <c r="F5843" s="583"/>
      <c r="G5843" s="583"/>
      <c r="H5843" s="583"/>
    </row>
    <row r="5844" spans="1:8" s="421" customFormat="1" ht="7.5" customHeight="1"/>
    <row r="5845" spans="1:8" s="422" customFormat="1" ht="11.25">
      <c r="A5845" s="421" t="s">
        <v>170</v>
      </c>
      <c r="B5845" s="421"/>
      <c r="C5845" s="421"/>
      <c r="D5845" s="422" t="s">
        <v>306</v>
      </c>
      <c r="E5845" s="422" t="s">
        <v>307</v>
      </c>
    </row>
    <row r="5846" spans="1:8" s="422" customFormat="1" ht="7.5" customHeight="1"/>
    <row r="5847" spans="1:8" s="427" customFormat="1" ht="11.25">
      <c r="A5847" s="425" t="s">
        <v>587</v>
      </c>
      <c r="B5847" s="425"/>
      <c r="C5847" s="425"/>
      <c r="D5847" s="426" t="s">
        <v>1255</v>
      </c>
      <c r="E5847" s="584" t="s">
        <v>1256</v>
      </c>
      <c r="F5847" s="584"/>
      <c r="G5847" s="584"/>
      <c r="H5847" s="584"/>
    </row>
    <row r="5848" spans="1:8" s="427" customFormat="1" ht="11.25">
      <c r="A5848" s="425"/>
      <c r="B5848" s="425"/>
      <c r="C5848" s="425"/>
      <c r="D5848" s="426" t="s">
        <v>1257</v>
      </c>
      <c r="E5848" s="584" t="s">
        <v>1258</v>
      </c>
      <c r="F5848" s="584"/>
      <c r="G5848" s="584"/>
      <c r="H5848" s="584"/>
    </row>
    <row r="5849" spans="1:8" s="427" customFormat="1" ht="11.25">
      <c r="A5849" s="425"/>
      <c r="B5849" s="425"/>
      <c r="C5849" s="425"/>
      <c r="D5849" s="426" t="s">
        <v>1259</v>
      </c>
      <c r="E5849" s="584" t="s">
        <v>1260</v>
      </c>
      <c r="F5849" s="584"/>
      <c r="G5849" s="584"/>
      <c r="H5849" s="584"/>
    </row>
    <row r="5850" spans="1:8" s="427" customFormat="1" ht="11.25">
      <c r="A5850" s="425"/>
      <c r="B5850" s="425"/>
      <c r="C5850" s="425"/>
      <c r="D5850" s="426" t="s">
        <v>1261</v>
      </c>
      <c r="E5850" s="584" t="s">
        <v>1262</v>
      </c>
      <c r="F5850" s="584"/>
      <c r="G5850" s="584"/>
      <c r="H5850" s="584"/>
    </row>
    <row r="5851" spans="1:8" s="427" customFormat="1" ht="11.25">
      <c r="A5851" s="425"/>
      <c r="B5851" s="425"/>
      <c r="C5851" s="425"/>
      <c r="D5851" s="426" t="s">
        <v>1263</v>
      </c>
      <c r="E5851" s="584" t="s">
        <v>1264</v>
      </c>
      <c r="F5851" s="584"/>
      <c r="G5851" s="584"/>
      <c r="H5851" s="584"/>
    </row>
    <row r="5852" spans="1:8" s="427" customFormat="1" ht="11.25">
      <c r="A5852" s="425"/>
      <c r="B5852" s="425"/>
      <c r="C5852" s="425"/>
      <c r="D5852" s="426" t="s">
        <v>1265</v>
      </c>
      <c r="E5852" s="584" t="s">
        <v>1266</v>
      </c>
      <c r="F5852" s="584"/>
      <c r="G5852" s="584"/>
      <c r="H5852" s="584"/>
    </row>
    <row r="5853" spans="1:8" s="427" customFormat="1" ht="11.25">
      <c r="A5853" s="425"/>
      <c r="B5853" s="425"/>
      <c r="C5853" s="425"/>
      <c r="D5853" s="426"/>
      <c r="E5853" s="584"/>
      <c r="F5853" s="584"/>
      <c r="G5853" s="584"/>
      <c r="H5853" s="584"/>
    </row>
    <row r="5854" spans="1:8" s="427" customFormat="1" ht="11.25"/>
    <row r="5855" spans="1:8" s="422" customFormat="1" ht="11.25"/>
    <row r="5856" spans="1:8" s="422" customFormat="1" ht="11.25">
      <c r="A5856" s="421" t="s">
        <v>589</v>
      </c>
      <c r="B5856" s="421"/>
      <c r="C5856" s="421"/>
    </row>
    <row r="5857" spans="1:8" s="429" customFormat="1" ht="11.25">
      <c r="A5857" s="428"/>
      <c r="B5857" s="428"/>
      <c r="C5857" s="428"/>
    </row>
    <row r="5858" spans="1:8" s="429" customFormat="1" ht="11.25">
      <c r="A5858" s="428"/>
      <c r="B5858" s="428"/>
      <c r="C5858" s="428"/>
    </row>
    <row r="5859" spans="1:8" s="422" customFormat="1" ht="9" customHeight="1">
      <c r="A5859" s="430"/>
      <c r="B5859" s="430"/>
      <c r="C5859" s="430"/>
      <c r="D5859" s="430"/>
      <c r="E5859" s="430"/>
      <c r="F5859" s="430"/>
      <c r="G5859" s="430"/>
      <c r="H5859" s="430"/>
    </row>
    <row r="5860" spans="1:8" s="422" customFormat="1" ht="22.5" customHeight="1">
      <c r="A5860" s="585" t="s">
        <v>590</v>
      </c>
      <c r="B5860" s="585"/>
      <c r="C5860" s="585"/>
      <c r="D5860" s="586"/>
      <c r="E5860" s="586"/>
      <c r="F5860" s="586"/>
      <c r="G5860" s="586"/>
      <c r="H5860" s="586"/>
    </row>
    <row r="5861" spans="1:8" s="429" customFormat="1" ht="11.25">
      <c r="A5861" s="431"/>
      <c r="B5861" s="431"/>
      <c r="C5861" s="431"/>
      <c r="D5861" s="432"/>
      <c r="E5861" s="432"/>
      <c r="F5861" s="432"/>
      <c r="G5861" s="432"/>
      <c r="H5861" s="432"/>
    </row>
    <row r="5862" spans="1:8" s="429" customFormat="1" ht="11.25">
      <c r="A5862" s="431"/>
      <c r="B5862" s="431"/>
      <c r="C5862" s="431"/>
      <c r="D5862" s="432"/>
      <c r="E5862" s="432"/>
      <c r="F5862" s="432"/>
      <c r="G5862" s="432"/>
      <c r="H5862" s="432"/>
    </row>
    <row r="5863" spans="1:8" s="429" customFormat="1" ht="68.25" customHeight="1">
      <c r="A5863" s="431"/>
      <c r="B5863" s="431"/>
      <c r="C5863" s="431"/>
      <c r="D5863" s="432"/>
      <c r="E5863" s="432"/>
      <c r="F5863" s="432"/>
      <c r="G5863" s="432"/>
      <c r="H5863" s="432"/>
    </row>
    <row r="5864" spans="1:8" s="429" customFormat="1" ht="11.25">
      <c r="A5864" s="431"/>
      <c r="B5864" s="431"/>
      <c r="C5864" s="431"/>
      <c r="D5864" s="432"/>
      <c r="E5864" s="432"/>
      <c r="F5864" s="432"/>
      <c r="G5864" s="432"/>
      <c r="H5864" s="432"/>
    </row>
    <row r="5865" spans="1:8" s="429" customFormat="1" ht="11.25">
      <c r="A5865" s="431"/>
      <c r="B5865" s="431"/>
      <c r="C5865" s="431"/>
      <c r="D5865" s="432"/>
      <c r="E5865" s="432"/>
      <c r="F5865" s="432"/>
      <c r="G5865" s="432"/>
      <c r="H5865" s="432"/>
    </row>
    <row r="5866" spans="1:8" s="429" customFormat="1" ht="11.25">
      <c r="A5866" s="431"/>
      <c r="B5866" s="431"/>
      <c r="C5866" s="431"/>
      <c r="D5866" s="432"/>
      <c r="E5866" s="432"/>
      <c r="F5866" s="432"/>
      <c r="G5866" s="432"/>
      <c r="H5866" s="432"/>
    </row>
    <row r="5867" spans="1:8" s="429" customFormat="1" ht="11.25">
      <c r="A5867" s="431"/>
      <c r="B5867" s="431"/>
      <c r="C5867" s="431"/>
      <c r="D5867" s="432"/>
      <c r="E5867" s="432"/>
      <c r="F5867" s="432"/>
      <c r="G5867" s="432"/>
      <c r="H5867" s="432"/>
    </row>
    <row r="5868" spans="1:8" s="422" customFormat="1" ht="9" customHeight="1"/>
    <row r="5869" spans="1:8" s="422" customFormat="1" ht="11.25">
      <c r="A5869" s="421" t="s">
        <v>591</v>
      </c>
      <c r="B5869" s="421"/>
      <c r="C5869" s="421"/>
    </row>
    <row r="5870" spans="1:8" s="429" customFormat="1" ht="11.25">
      <c r="A5870" s="428"/>
      <c r="B5870" s="428"/>
      <c r="C5870" s="428"/>
    </row>
    <row r="5871" spans="1:8" s="429" customFormat="1" ht="11.25">
      <c r="A5871" s="428"/>
      <c r="B5871" s="428"/>
      <c r="C5871" s="428"/>
    </row>
    <row r="5872" spans="1:8" s="429" customFormat="1" ht="11.25">
      <c r="A5872" s="428"/>
      <c r="B5872" s="428"/>
      <c r="C5872" s="428"/>
    </row>
    <row r="5873" spans="1:8" s="429" customFormat="1" ht="11.25">
      <c r="A5873" s="428"/>
      <c r="B5873" s="428"/>
      <c r="C5873" s="428"/>
    </row>
    <row r="5874" spans="1:8" s="429" customFormat="1" ht="36" customHeight="1">
      <c r="A5874" s="431"/>
      <c r="B5874" s="431"/>
      <c r="C5874" s="431"/>
      <c r="D5874" s="432"/>
      <c r="E5874" s="432"/>
      <c r="F5874" s="432"/>
      <c r="G5874" s="432"/>
      <c r="H5874" s="432"/>
    </row>
    <row r="5875" spans="1:8" s="429" customFormat="1" ht="11.25" customHeight="1">
      <c r="A5875" s="428"/>
      <c r="B5875" s="428"/>
      <c r="C5875" s="428"/>
    </row>
    <row r="5876" spans="1:8" s="422" customFormat="1" ht="9" customHeight="1"/>
    <row r="5877" spans="1:8" s="422" customFormat="1" ht="11.25">
      <c r="A5877" s="433" t="s">
        <v>592</v>
      </c>
      <c r="B5877" s="434"/>
      <c r="C5877" s="434"/>
      <c r="D5877" s="434"/>
      <c r="E5877" s="434"/>
      <c r="F5877" s="434"/>
      <c r="G5877" s="434"/>
      <c r="H5877" s="434"/>
    </row>
    <row r="5878" spans="1:8" s="429" customFormat="1" ht="11.25">
      <c r="A5878" s="435"/>
      <c r="B5878" s="436"/>
      <c r="C5878" s="436"/>
      <c r="D5878" s="436"/>
      <c r="E5878" s="436"/>
      <c r="F5878" s="436"/>
      <c r="G5878" s="436"/>
      <c r="H5878" s="436"/>
    </row>
    <row r="5879" spans="1:8" s="429" customFormat="1" ht="11.25">
      <c r="A5879" s="435"/>
      <c r="B5879" s="436"/>
      <c r="C5879" s="436"/>
      <c r="D5879" s="436"/>
      <c r="E5879" s="436"/>
      <c r="F5879" s="436"/>
      <c r="G5879" s="436"/>
      <c r="H5879" s="436"/>
    </row>
    <row r="5880" spans="1:8" s="422" customFormat="1" ht="11.25">
      <c r="A5880" s="437"/>
      <c r="B5880" s="437"/>
      <c r="C5880" s="437"/>
      <c r="D5880" s="437"/>
      <c r="E5880" s="437"/>
      <c r="F5880" s="437"/>
      <c r="G5880" s="437"/>
      <c r="H5880" s="437"/>
    </row>
    <row r="5881" spans="1:8" s="422" customFormat="1" ht="11.25">
      <c r="A5881" s="421" t="s">
        <v>593</v>
      </c>
      <c r="B5881" s="421"/>
      <c r="C5881" s="421"/>
    </row>
    <row r="5882" spans="1:8" s="422" customFormat="1" ht="11.25">
      <c r="A5882" s="438"/>
      <c r="B5882" s="439" t="s">
        <v>132</v>
      </c>
      <c r="C5882" s="439" t="s">
        <v>473</v>
      </c>
      <c r="D5882" s="439" t="s">
        <v>474</v>
      </c>
      <c r="E5882" s="439" t="s">
        <v>375</v>
      </c>
      <c r="F5882" s="439" t="s">
        <v>9</v>
      </c>
      <c r="G5882" s="439" t="s">
        <v>131</v>
      </c>
      <c r="H5882" s="439" t="s">
        <v>424</v>
      </c>
    </row>
    <row r="5883" spans="1:8" s="422" customFormat="1" ht="11.25">
      <c r="A5883" s="439" t="s">
        <v>394</v>
      </c>
      <c r="B5883" s="438">
        <v>15535410.219999999</v>
      </c>
      <c r="C5883" s="438">
        <v>15830315.390000001</v>
      </c>
      <c r="D5883" s="438">
        <v>16192989.710000001</v>
      </c>
      <c r="E5883" s="438">
        <v>16612825.658300001</v>
      </c>
      <c r="F5883" s="438">
        <v>16442433.658300001</v>
      </c>
      <c r="G5883" s="438">
        <v>16778363.097920001</v>
      </c>
      <c r="H5883" s="438">
        <v>16940677.612070002</v>
      </c>
    </row>
    <row r="5884" spans="1:8" s="422" customFormat="1" ht="11.25">
      <c r="A5884" s="439" t="s">
        <v>395</v>
      </c>
      <c r="B5884" s="438">
        <v>-5711419.1799999997</v>
      </c>
      <c r="C5884" s="438">
        <v>-5799067.5700000003</v>
      </c>
      <c r="D5884" s="438">
        <v>-5564100.0099999998</v>
      </c>
      <c r="E5884" s="438">
        <v>-5581100.0099999998</v>
      </c>
      <c r="F5884" s="438">
        <v>-5581100.0099999998</v>
      </c>
      <c r="G5884" s="438">
        <v>-5531100.0099999998</v>
      </c>
      <c r="H5884" s="438">
        <v>-5531100.0099999998</v>
      </c>
    </row>
    <row r="5885" spans="1:8" s="422" customFormat="1" ht="11.25">
      <c r="A5885" s="439" t="s">
        <v>396</v>
      </c>
      <c r="B5885" s="438">
        <v>9823991.0399999991</v>
      </c>
      <c r="C5885" s="438">
        <v>10031247.82</v>
      </c>
      <c r="D5885" s="438">
        <v>10628889.700000001</v>
      </c>
      <c r="E5885" s="438">
        <v>11031725.648300001</v>
      </c>
      <c r="F5885" s="438">
        <v>10861333.648300001</v>
      </c>
      <c r="G5885" s="438">
        <v>11247263.087920001</v>
      </c>
      <c r="H5885" s="438">
        <v>11409577.602070002</v>
      </c>
    </row>
    <row r="5886" spans="1:8" s="442" customFormat="1" ht="11.25">
      <c r="A5886" s="440" t="s">
        <v>397</v>
      </c>
      <c r="B5886" s="441">
        <v>0.36763877484530305</v>
      </c>
      <c r="C5886" s="441">
        <v>0.3663267235764151</v>
      </c>
      <c r="D5886" s="441">
        <v>0.34361165600963006</v>
      </c>
      <c r="E5886" s="441">
        <v>0.33595127793396207</v>
      </c>
      <c r="F5886" s="441">
        <v>0.33943272182112211</v>
      </c>
      <c r="G5886" s="441">
        <v>0.32965671190449358</v>
      </c>
      <c r="H5886" s="441">
        <v>0.32649815648809505</v>
      </c>
    </row>
    <row r="5887" spans="1:8" s="422" customFormat="1" ht="11.25"/>
    <row r="5888" spans="1:8" s="422" customFormat="1" ht="11.25">
      <c r="A5888" s="443" t="s">
        <v>594</v>
      </c>
      <c r="B5888" s="443"/>
      <c r="C5888" s="444"/>
    </row>
    <row r="5889" spans="1:8" s="422" customFormat="1" ht="11.25">
      <c r="A5889" s="445" t="s">
        <v>595</v>
      </c>
      <c r="B5889" s="446"/>
      <c r="C5889" s="447"/>
      <c r="D5889" s="439" t="s">
        <v>474</v>
      </c>
      <c r="E5889" s="439" t="s">
        <v>375</v>
      </c>
      <c r="F5889" s="439" t="s">
        <v>9</v>
      </c>
      <c r="G5889" s="439" t="s">
        <v>131</v>
      </c>
      <c r="H5889" s="439" t="s">
        <v>424</v>
      </c>
    </row>
    <row r="5890" spans="1:8" s="422" customFormat="1" ht="11.25">
      <c r="A5890" s="448" t="s">
        <v>1267</v>
      </c>
      <c r="B5890" s="449"/>
      <c r="C5890" s="449"/>
      <c r="D5890" s="509">
        <v>4.45</v>
      </c>
      <c r="E5890" s="509">
        <v>4.9000000000000004</v>
      </c>
      <c r="F5890" s="509">
        <v>5</v>
      </c>
      <c r="G5890" s="509">
        <v>5.15</v>
      </c>
      <c r="H5890" s="509">
        <v>5.25</v>
      </c>
    </row>
    <row r="5891" spans="1:8" s="422" customFormat="1" ht="11.25">
      <c r="A5891" s="448" t="s">
        <v>1268</v>
      </c>
      <c r="B5891" s="449"/>
      <c r="C5891" s="449"/>
      <c r="D5891" s="509">
        <v>3.4</v>
      </c>
      <c r="E5891" s="509">
        <v>3.4</v>
      </c>
      <c r="F5891" s="509">
        <v>3.4</v>
      </c>
      <c r="G5891" s="509">
        <v>3.45</v>
      </c>
      <c r="H5891" s="509">
        <v>3.45</v>
      </c>
    </row>
    <row r="5892" spans="1:8" s="422" customFormat="1" ht="11.25">
      <c r="A5892" s="448" t="s">
        <v>1269</v>
      </c>
      <c r="B5892" s="449"/>
      <c r="C5892" s="449"/>
      <c r="D5892" s="509">
        <v>0.75</v>
      </c>
      <c r="E5892" s="509">
        <v>0.75</v>
      </c>
      <c r="F5892" s="509">
        <v>0.85</v>
      </c>
      <c r="G5892" s="509">
        <v>0.85</v>
      </c>
      <c r="H5892" s="509">
        <v>0.85</v>
      </c>
    </row>
    <row r="5893" spans="1:8" s="422" customFormat="1" ht="11.25"/>
    <row r="5894" spans="1:8" s="422" customFormat="1" ht="11.25">
      <c r="A5894" s="421" t="s">
        <v>423</v>
      </c>
      <c r="B5894" s="421"/>
      <c r="C5894" s="421"/>
    </row>
    <row r="5895" spans="1:8" s="422" customFormat="1" ht="11.25">
      <c r="A5895" s="450"/>
      <c r="B5895" s="439" t="s">
        <v>132</v>
      </c>
      <c r="C5895" s="439" t="s">
        <v>473</v>
      </c>
      <c r="D5895" s="439" t="s">
        <v>474</v>
      </c>
      <c r="E5895" s="439" t="s">
        <v>375</v>
      </c>
      <c r="F5895" s="439" t="s">
        <v>9</v>
      </c>
      <c r="G5895" s="439" t="s">
        <v>131</v>
      </c>
      <c r="H5895" s="439" t="s">
        <v>424</v>
      </c>
    </row>
    <row r="5896" spans="1:8" s="422" customFormat="1" ht="11.25">
      <c r="A5896" s="451" t="s">
        <v>398</v>
      </c>
      <c r="B5896" s="438">
        <v>2912113.96</v>
      </c>
      <c r="C5896" s="438">
        <v>2104130.1</v>
      </c>
      <c r="D5896" s="438">
        <v>3497552</v>
      </c>
      <c r="E5896" s="438">
        <v>4275501</v>
      </c>
      <c r="F5896" s="438">
        <v>4239000</v>
      </c>
      <c r="G5896" s="438">
        <v>4250500</v>
      </c>
      <c r="H5896" s="438">
        <v>2515500</v>
      </c>
    </row>
    <row r="5897" spans="1:8" s="422" customFormat="1" ht="11.25">
      <c r="A5897" s="451" t="s">
        <v>399</v>
      </c>
      <c r="B5897" s="438">
        <v>0</v>
      </c>
      <c r="C5897" s="438">
        <v>0</v>
      </c>
      <c r="D5897" s="438">
        <v>157450</v>
      </c>
      <c r="E5897" s="438">
        <v>249500</v>
      </c>
      <c r="F5897" s="438">
        <v>191000</v>
      </c>
      <c r="G5897" s="438">
        <v>217500</v>
      </c>
      <c r="H5897" s="438">
        <v>104500</v>
      </c>
    </row>
    <row r="5898" spans="1:8" s="422" customFormat="1" ht="11.25">
      <c r="A5898" s="451" t="s">
        <v>400</v>
      </c>
      <c r="B5898" s="438">
        <v>-580078.15</v>
      </c>
      <c r="C5898" s="438">
        <v>-136315.5</v>
      </c>
      <c r="D5898" s="438">
        <v>-1964999</v>
      </c>
      <c r="E5898" s="438">
        <v>-2100000</v>
      </c>
      <c r="F5898" s="438">
        <v>-850000</v>
      </c>
      <c r="G5898" s="438">
        <v>-1050000</v>
      </c>
      <c r="H5898" s="438">
        <v>-350000</v>
      </c>
    </row>
    <row r="5899" spans="1:8" s="422" customFormat="1" ht="11.25">
      <c r="A5899" s="451" t="s">
        <v>401</v>
      </c>
      <c r="B5899" s="438">
        <v>2332035.81</v>
      </c>
      <c r="C5899" s="438">
        <v>1967814.6</v>
      </c>
      <c r="D5899" s="438">
        <v>1690003</v>
      </c>
      <c r="E5899" s="438">
        <v>2425001</v>
      </c>
      <c r="F5899" s="438">
        <v>3580000</v>
      </c>
      <c r="G5899" s="438">
        <v>3418000</v>
      </c>
      <c r="H5899" s="438">
        <v>2270000</v>
      </c>
    </row>
    <row r="5900" spans="1:8" s="422" customFormat="1" ht="11.25"/>
    <row r="5901" spans="1:8" s="422" customFormat="1" ht="11.25">
      <c r="A5901" s="421" t="s">
        <v>597</v>
      </c>
      <c r="B5901" s="421"/>
      <c r="C5901" s="421"/>
    </row>
    <row r="5902" spans="1:8" s="429" customFormat="1" ht="11.25">
      <c r="A5902" s="428"/>
      <c r="B5902" s="428"/>
      <c r="C5902" s="428"/>
    </row>
    <row r="5903" spans="1:8" s="429" customFormat="1" ht="11.25">
      <c r="A5903" s="428"/>
      <c r="B5903" s="428"/>
      <c r="C5903" s="428"/>
    </row>
    <row r="5904" spans="1:8" s="429" customFormat="1" ht="11.25">
      <c r="A5904" s="428"/>
      <c r="B5904" s="428"/>
      <c r="C5904" s="428"/>
    </row>
    <row r="5905" spans="1:8" s="422" customFormat="1" ht="11.25"/>
    <row r="5906" spans="1:8" s="422" customFormat="1" ht="11.25">
      <c r="A5906" s="421" t="s">
        <v>598</v>
      </c>
      <c r="B5906" s="421"/>
      <c r="C5906" s="421"/>
    </row>
    <row r="5907" spans="1:8" s="422" customFormat="1" ht="11.25">
      <c r="A5907" s="452" t="s">
        <v>599</v>
      </c>
      <c r="B5907" s="447"/>
      <c r="C5907" s="447"/>
      <c r="D5907" s="447"/>
      <c r="E5907" s="439" t="s">
        <v>375</v>
      </c>
      <c r="F5907" s="439" t="s">
        <v>9</v>
      </c>
      <c r="G5907" s="439" t="s">
        <v>131</v>
      </c>
      <c r="H5907" s="439" t="s">
        <v>424</v>
      </c>
    </row>
    <row r="5908" spans="1:8" s="422" customFormat="1" ht="11.25">
      <c r="A5908" s="448" t="s">
        <v>465</v>
      </c>
      <c r="B5908" s="449"/>
      <c r="C5908" s="449"/>
      <c r="D5908" s="449"/>
      <c r="E5908" s="438">
        <v>115805</v>
      </c>
      <c r="F5908" s="438">
        <v>166155</v>
      </c>
      <c r="G5908" s="438">
        <v>203360</v>
      </c>
      <c r="H5908" s="438">
        <v>204060</v>
      </c>
    </row>
    <row r="5909" spans="1:8" s="422" customFormat="1" ht="11.25">
      <c r="A5909" s="448" t="s">
        <v>466</v>
      </c>
      <c r="B5909" s="449"/>
      <c r="C5909" s="449"/>
      <c r="D5909" s="449"/>
      <c r="E5909" s="438">
        <v>200000</v>
      </c>
      <c r="F5909" s="438">
        <v>240000</v>
      </c>
      <c r="G5909" s="438">
        <v>280000</v>
      </c>
      <c r="H5909" s="438">
        <v>320000</v>
      </c>
    </row>
    <row r="5910" spans="1:8" s="422" customFormat="1" ht="11.25">
      <c r="A5910" s="448" t="s">
        <v>467</v>
      </c>
      <c r="B5910" s="449"/>
      <c r="C5910" s="449"/>
      <c r="D5910" s="449"/>
      <c r="E5910" s="438">
        <v>0</v>
      </c>
      <c r="F5910" s="438">
        <v>17000</v>
      </c>
      <c r="G5910" s="438">
        <v>40000</v>
      </c>
      <c r="H5910" s="438">
        <v>40000</v>
      </c>
    </row>
    <row r="5911" spans="1:8" s="421" customFormat="1" ht="11.25">
      <c r="A5911" s="421" t="s">
        <v>391</v>
      </c>
      <c r="D5911" s="421" t="s">
        <v>472</v>
      </c>
    </row>
    <row r="5912" spans="1:8" s="422" customFormat="1" ht="11.25"/>
    <row r="5913" spans="1:8" s="421" customFormat="1" ht="11.25" customHeight="1">
      <c r="A5913" s="423" t="s">
        <v>392</v>
      </c>
      <c r="D5913" s="421" t="s">
        <v>159</v>
      </c>
    </row>
    <row r="5914" spans="1:8" s="421" customFormat="1" ht="7.5" customHeight="1">
      <c r="A5914" s="423"/>
    </row>
    <row r="5915" spans="1:8" s="421" customFormat="1" ht="11.25">
      <c r="A5915" s="424" t="s">
        <v>393</v>
      </c>
      <c r="D5915" s="583" t="s">
        <v>160</v>
      </c>
      <c r="E5915" s="583"/>
      <c r="F5915" s="583"/>
      <c r="G5915" s="583"/>
      <c r="H5915" s="583"/>
    </row>
    <row r="5916" spans="1:8" s="421" customFormat="1" ht="7.5" customHeight="1"/>
    <row r="5917" spans="1:8" s="422" customFormat="1" ht="11.25">
      <c r="A5917" s="421" t="s">
        <v>170</v>
      </c>
      <c r="B5917" s="421"/>
      <c r="C5917" s="421"/>
      <c r="D5917" s="422" t="s">
        <v>308</v>
      </c>
      <c r="E5917" s="422" t="s">
        <v>309</v>
      </c>
    </row>
    <row r="5918" spans="1:8" s="422" customFormat="1" ht="7.5" customHeight="1"/>
    <row r="5919" spans="1:8" s="427" customFormat="1" ht="11.25">
      <c r="A5919" s="425" t="s">
        <v>587</v>
      </c>
      <c r="B5919" s="425"/>
      <c r="C5919" s="425"/>
      <c r="D5919" s="426" t="s">
        <v>1270</v>
      </c>
      <c r="E5919" s="584" t="s">
        <v>1271</v>
      </c>
      <c r="F5919" s="584"/>
      <c r="G5919" s="584"/>
      <c r="H5919" s="584"/>
    </row>
    <row r="5920" spans="1:8" s="427" customFormat="1" ht="11.25">
      <c r="A5920" s="425"/>
      <c r="B5920" s="425"/>
      <c r="C5920" s="425"/>
      <c r="D5920" s="426" t="s">
        <v>1272</v>
      </c>
      <c r="E5920" s="584" t="s">
        <v>1273</v>
      </c>
      <c r="F5920" s="584"/>
      <c r="G5920" s="584"/>
      <c r="H5920" s="584"/>
    </row>
    <row r="5921" spans="1:8" s="427" customFormat="1" ht="11.25">
      <c r="A5921" s="425"/>
      <c r="B5921" s="425"/>
      <c r="C5921" s="425"/>
      <c r="D5921" s="426" t="s">
        <v>1274</v>
      </c>
      <c r="E5921" s="584" t="s">
        <v>1275</v>
      </c>
      <c r="F5921" s="584"/>
      <c r="G5921" s="584"/>
      <c r="H5921" s="584"/>
    </row>
    <row r="5922" spans="1:8" s="427" customFormat="1" ht="11.25">
      <c r="A5922" s="425"/>
      <c r="B5922" s="425"/>
      <c r="C5922" s="425"/>
      <c r="D5922" s="426"/>
      <c r="E5922" s="584"/>
      <c r="F5922" s="584"/>
      <c r="G5922" s="584"/>
      <c r="H5922" s="584"/>
    </row>
    <row r="5923" spans="1:8" s="427" customFormat="1" ht="11.25"/>
    <row r="5924" spans="1:8" s="422" customFormat="1" ht="11.25"/>
    <row r="5925" spans="1:8" s="422" customFormat="1" ht="11.25">
      <c r="A5925" s="421" t="s">
        <v>589</v>
      </c>
      <c r="B5925" s="421"/>
      <c r="C5925" s="421"/>
    </row>
    <row r="5926" spans="1:8" s="429" customFormat="1" ht="11.25">
      <c r="A5926" s="428"/>
      <c r="B5926" s="428"/>
      <c r="C5926" s="428"/>
    </row>
    <row r="5927" spans="1:8" s="429" customFormat="1" ht="11.25">
      <c r="A5927" s="428"/>
      <c r="B5927" s="428"/>
      <c r="C5927" s="428"/>
    </row>
    <row r="5928" spans="1:8" s="429" customFormat="1" ht="11.25">
      <c r="A5928" s="428"/>
      <c r="B5928" s="428"/>
      <c r="C5928" s="428"/>
    </row>
    <row r="5929" spans="1:8" s="429" customFormat="1" ht="11.25">
      <c r="A5929" s="428"/>
      <c r="B5929" s="428"/>
      <c r="C5929" s="428"/>
    </row>
    <row r="5930" spans="1:8" s="422" customFormat="1" ht="9" customHeight="1">
      <c r="A5930" s="430"/>
      <c r="B5930" s="430"/>
      <c r="C5930" s="430"/>
      <c r="D5930" s="430"/>
      <c r="E5930" s="430"/>
      <c r="F5930" s="430"/>
      <c r="G5930" s="430"/>
      <c r="H5930" s="430"/>
    </row>
    <row r="5931" spans="1:8" s="422" customFormat="1" ht="22.5" customHeight="1">
      <c r="A5931" s="585" t="s">
        <v>590</v>
      </c>
      <c r="B5931" s="585"/>
      <c r="C5931" s="585"/>
      <c r="D5931" s="586"/>
      <c r="E5931" s="586"/>
      <c r="F5931" s="586"/>
      <c r="G5931" s="586"/>
      <c r="H5931" s="586"/>
    </row>
    <row r="5932" spans="1:8" s="429" customFormat="1" ht="11.25">
      <c r="A5932" s="431"/>
      <c r="B5932" s="431"/>
      <c r="C5932" s="431"/>
      <c r="D5932" s="432"/>
      <c r="E5932" s="432"/>
      <c r="F5932" s="432"/>
      <c r="G5932" s="432"/>
      <c r="H5932" s="432"/>
    </row>
    <row r="5933" spans="1:8" s="429" customFormat="1" ht="11.25">
      <c r="A5933" s="431"/>
      <c r="B5933" s="431"/>
      <c r="C5933" s="431"/>
      <c r="D5933" s="432"/>
      <c r="E5933" s="432"/>
      <c r="F5933" s="432"/>
      <c r="G5933" s="432"/>
      <c r="H5933" s="432"/>
    </row>
    <row r="5934" spans="1:8" s="429" customFormat="1" ht="65.25" customHeight="1">
      <c r="A5934" s="431"/>
      <c r="B5934" s="431"/>
      <c r="C5934" s="431"/>
      <c r="D5934" s="432"/>
      <c r="E5934" s="432"/>
      <c r="F5934" s="432"/>
      <c r="G5934" s="432"/>
      <c r="H5934" s="432"/>
    </row>
    <row r="5935" spans="1:8" s="429" customFormat="1" ht="11.25">
      <c r="A5935" s="431"/>
      <c r="B5935" s="431"/>
      <c r="C5935" s="431"/>
      <c r="D5935" s="432"/>
      <c r="E5935" s="432"/>
      <c r="F5935" s="432"/>
      <c r="G5935" s="432"/>
      <c r="H5935" s="432"/>
    </row>
    <row r="5936" spans="1:8" s="422" customFormat="1" ht="9" customHeight="1"/>
    <row r="5937" spans="1:8" s="422" customFormat="1" ht="11.25">
      <c r="A5937" s="421" t="s">
        <v>591</v>
      </c>
      <c r="B5937" s="421"/>
      <c r="C5937" s="421"/>
    </row>
    <row r="5938" spans="1:8" s="429" customFormat="1" ht="11.25">
      <c r="A5938" s="428"/>
      <c r="B5938" s="428"/>
      <c r="C5938" s="428"/>
    </row>
    <row r="5939" spans="1:8" s="429" customFormat="1" ht="11.25">
      <c r="A5939" s="428"/>
      <c r="B5939" s="428"/>
      <c r="C5939" s="428"/>
    </row>
    <row r="5940" spans="1:8" s="429" customFormat="1" ht="11.25">
      <c r="A5940" s="428"/>
      <c r="B5940" s="428"/>
      <c r="C5940" s="428"/>
    </row>
    <row r="5941" spans="1:8" s="429" customFormat="1" ht="9" customHeight="1">
      <c r="A5941" s="428"/>
      <c r="B5941" s="428"/>
      <c r="C5941" s="428"/>
    </row>
    <row r="5942" spans="1:8" s="429" customFormat="1" ht="11.25">
      <c r="A5942" s="428"/>
      <c r="B5942" s="428"/>
      <c r="C5942" s="428"/>
    </row>
    <row r="5943" spans="1:8" s="422" customFormat="1" ht="9" customHeight="1"/>
    <row r="5944" spans="1:8" s="422" customFormat="1" ht="11.25">
      <c r="A5944" s="433" t="s">
        <v>592</v>
      </c>
      <c r="B5944" s="434"/>
      <c r="C5944" s="434"/>
      <c r="D5944" s="434"/>
      <c r="E5944" s="434"/>
      <c r="F5944" s="434"/>
      <c r="G5944" s="434"/>
      <c r="H5944" s="434"/>
    </row>
    <row r="5945" spans="1:8" s="429" customFormat="1" ht="11.25">
      <c r="A5945" s="435"/>
      <c r="B5945" s="436"/>
      <c r="C5945" s="436"/>
      <c r="D5945" s="436"/>
      <c r="E5945" s="436"/>
      <c r="F5945" s="436"/>
      <c r="G5945" s="436"/>
      <c r="H5945" s="436"/>
    </row>
    <row r="5946" spans="1:8" s="429" customFormat="1" ht="11.25">
      <c r="A5946" s="435"/>
      <c r="B5946" s="436"/>
      <c r="C5946" s="436"/>
      <c r="D5946" s="436"/>
      <c r="E5946" s="436"/>
      <c r="F5946" s="436"/>
      <c r="G5946" s="436"/>
      <c r="H5946" s="436"/>
    </row>
    <row r="5947" spans="1:8" s="422" customFormat="1" ht="11.25">
      <c r="A5947" s="437"/>
      <c r="B5947" s="437"/>
      <c r="C5947" s="437"/>
      <c r="D5947" s="437"/>
      <c r="E5947" s="437"/>
      <c r="F5947" s="437"/>
      <c r="G5947" s="437"/>
      <c r="H5947" s="437"/>
    </row>
    <row r="5948" spans="1:8" s="422" customFormat="1" ht="11.25">
      <c r="A5948" s="421" t="s">
        <v>593</v>
      </c>
      <c r="B5948" s="421"/>
      <c r="C5948" s="421"/>
    </row>
    <row r="5949" spans="1:8" s="422" customFormat="1" ht="11.25">
      <c r="A5949" s="438"/>
      <c r="B5949" s="439" t="s">
        <v>132</v>
      </c>
      <c r="C5949" s="439" t="s">
        <v>473</v>
      </c>
      <c r="D5949" s="439" t="s">
        <v>474</v>
      </c>
      <c r="E5949" s="439" t="s">
        <v>375</v>
      </c>
      <c r="F5949" s="439" t="s">
        <v>9</v>
      </c>
      <c r="G5949" s="439" t="s">
        <v>131</v>
      </c>
      <c r="H5949" s="439" t="s">
        <v>424</v>
      </c>
    </row>
    <row r="5950" spans="1:8" s="422" customFormat="1" ht="11.25">
      <c r="A5950" s="439" t="s">
        <v>394</v>
      </c>
      <c r="B5950" s="438">
        <v>1209764.5</v>
      </c>
      <c r="C5950" s="438">
        <v>1129213.3400000001</v>
      </c>
      <c r="D5950" s="438">
        <v>988795.37</v>
      </c>
      <c r="E5950" s="438">
        <v>870432.73450000014</v>
      </c>
      <c r="F5950" s="438">
        <v>770432.73450000014</v>
      </c>
      <c r="G5950" s="438">
        <v>778302.64480000001</v>
      </c>
      <c r="H5950" s="438">
        <v>781113.32705000008</v>
      </c>
    </row>
    <row r="5951" spans="1:8" s="422" customFormat="1" ht="11.25">
      <c r="A5951" s="439" t="s">
        <v>395</v>
      </c>
      <c r="B5951" s="438">
        <v>-164150.03000000003</v>
      </c>
      <c r="C5951" s="438">
        <v>-169318.97</v>
      </c>
      <c r="D5951" s="438">
        <v>-144599.61000000002</v>
      </c>
      <c r="E5951" s="438">
        <v>-137599.61000000002</v>
      </c>
      <c r="F5951" s="438">
        <v>-137599.61000000002</v>
      </c>
      <c r="G5951" s="438">
        <v>-137599.61000000002</v>
      </c>
      <c r="H5951" s="438">
        <v>-137599.61000000002</v>
      </c>
    </row>
    <row r="5952" spans="1:8" s="422" customFormat="1" ht="11.25">
      <c r="A5952" s="439" t="s">
        <v>396</v>
      </c>
      <c r="B5952" s="438">
        <v>1045614.47</v>
      </c>
      <c r="C5952" s="438">
        <v>959894.37000000011</v>
      </c>
      <c r="D5952" s="438">
        <v>844195.76</v>
      </c>
      <c r="E5952" s="438">
        <v>732833.12450000015</v>
      </c>
      <c r="F5952" s="438">
        <v>632833.12450000015</v>
      </c>
      <c r="G5952" s="438">
        <v>640703.03480000002</v>
      </c>
      <c r="H5952" s="438">
        <v>643513.71705000009</v>
      </c>
    </row>
    <row r="5953" spans="1:8" s="442" customFormat="1" ht="11.25">
      <c r="A5953" s="440" t="s">
        <v>397</v>
      </c>
      <c r="B5953" s="441">
        <v>0.13568759043598982</v>
      </c>
      <c r="C5953" s="441">
        <v>0.14994418149541167</v>
      </c>
      <c r="D5953" s="441">
        <v>0.14623815441207014</v>
      </c>
      <c r="E5953" s="441">
        <v>0.15808184199212236</v>
      </c>
      <c r="F5953" s="441">
        <v>0.17860042004744281</v>
      </c>
      <c r="G5953" s="441">
        <v>0.17679447823970701</v>
      </c>
      <c r="H5953" s="441">
        <v>0.176158318178576</v>
      </c>
    </row>
    <row r="5954" spans="1:8" s="422" customFormat="1" ht="11.25"/>
    <row r="5955" spans="1:8" s="422" customFormat="1" ht="11.25">
      <c r="A5955" s="443" t="s">
        <v>594</v>
      </c>
      <c r="B5955" s="443"/>
      <c r="C5955" s="444"/>
    </row>
    <row r="5956" spans="1:8" s="422" customFormat="1" ht="11.25">
      <c r="A5956" s="445" t="s">
        <v>595</v>
      </c>
      <c r="B5956" s="446"/>
      <c r="C5956" s="447"/>
      <c r="D5956" s="439" t="s">
        <v>474</v>
      </c>
      <c r="E5956" s="439" t="s">
        <v>375</v>
      </c>
      <c r="F5956" s="439" t="s">
        <v>9</v>
      </c>
      <c r="G5956" s="439" t="s">
        <v>131</v>
      </c>
      <c r="H5956" s="439" t="s">
        <v>424</v>
      </c>
    </row>
    <row r="5957" spans="1:8" s="422" customFormat="1" ht="11.25">
      <c r="A5957" s="448" t="s">
        <v>1276</v>
      </c>
      <c r="B5957" s="449"/>
      <c r="C5957" s="449"/>
      <c r="D5957" s="438">
        <v>140</v>
      </c>
      <c r="E5957" s="438">
        <v>140</v>
      </c>
      <c r="F5957" s="438">
        <v>140</v>
      </c>
      <c r="G5957" s="438">
        <v>140</v>
      </c>
      <c r="H5957" s="438">
        <v>140</v>
      </c>
    </row>
    <row r="5958" spans="1:8" s="422" customFormat="1" ht="11.25">
      <c r="A5958" s="448" t="s">
        <v>1277</v>
      </c>
      <c r="B5958" s="449"/>
      <c r="C5958" s="449"/>
      <c r="D5958" s="438">
        <v>22000</v>
      </c>
      <c r="E5958" s="438">
        <v>0</v>
      </c>
      <c r="F5958" s="438">
        <v>0</v>
      </c>
      <c r="G5958" s="438">
        <v>0</v>
      </c>
      <c r="H5958" s="438">
        <v>0</v>
      </c>
    </row>
    <row r="5959" spans="1:8" s="422" customFormat="1" ht="11.25">
      <c r="A5959" s="448" t="s">
        <v>1278</v>
      </c>
      <c r="B5959" s="449"/>
      <c r="C5959" s="449"/>
      <c r="D5959" s="507">
        <v>5</v>
      </c>
      <c r="E5959" s="507">
        <v>0</v>
      </c>
      <c r="F5959" s="507">
        <v>0</v>
      </c>
      <c r="G5959" s="507">
        <v>0</v>
      </c>
      <c r="H5959" s="507">
        <v>0</v>
      </c>
    </row>
    <row r="5960" spans="1:8" s="422" customFormat="1" ht="11.25"/>
    <row r="5961" spans="1:8" s="422" customFormat="1" ht="11.25">
      <c r="A5961" s="421" t="s">
        <v>423</v>
      </c>
      <c r="B5961" s="421"/>
      <c r="C5961" s="421"/>
    </row>
    <row r="5962" spans="1:8" s="422" customFormat="1" ht="11.25">
      <c r="A5962" s="450"/>
      <c r="B5962" s="439" t="s">
        <v>132</v>
      </c>
      <c r="C5962" s="439" t="s">
        <v>473</v>
      </c>
      <c r="D5962" s="439" t="s">
        <v>474</v>
      </c>
      <c r="E5962" s="439" t="s">
        <v>375</v>
      </c>
      <c r="F5962" s="439" t="s">
        <v>9</v>
      </c>
      <c r="G5962" s="439" t="s">
        <v>131</v>
      </c>
      <c r="H5962" s="439" t="s">
        <v>424</v>
      </c>
    </row>
    <row r="5963" spans="1:8" s="422" customFormat="1" ht="11.25">
      <c r="A5963" s="451" t="s">
        <v>398</v>
      </c>
      <c r="B5963" s="438">
        <v>0</v>
      </c>
      <c r="C5963" s="438">
        <v>0</v>
      </c>
      <c r="D5963" s="438">
        <v>0</v>
      </c>
      <c r="E5963" s="438">
        <v>0</v>
      </c>
      <c r="F5963" s="438">
        <v>0</v>
      </c>
      <c r="G5963" s="438">
        <v>0</v>
      </c>
      <c r="H5963" s="438">
        <v>0</v>
      </c>
    </row>
    <row r="5964" spans="1:8" s="422" customFormat="1" ht="11.25">
      <c r="A5964" s="451" t="s">
        <v>399</v>
      </c>
      <c r="B5964" s="438">
        <v>0</v>
      </c>
      <c r="C5964" s="438">
        <v>0</v>
      </c>
      <c r="D5964" s="438">
        <v>0</v>
      </c>
      <c r="E5964" s="438">
        <v>0</v>
      </c>
      <c r="F5964" s="438">
        <v>0</v>
      </c>
      <c r="G5964" s="438">
        <v>0</v>
      </c>
      <c r="H5964" s="438">
        <v>0</v>
      </c>
    </row>
    <row r="5965" spans="1:8" s="422" customFormat="1" ht="11.25">
      <c r="A5965" s="451" t="s">
        <v>400</v>
      </c>
      <c r="B5965" s="438">
        <v>0</v>
      </c>
      <c r="C5965" s="438">
        <v>0</v>
      </c>
      <c r="D5965" s="438">
        <v>0</v>
      </c>
      <c r="E5965" s="438">
        <v>0</v>
      </c>
      <c r="F5965" s="438">
        <v>0</v>
      </c>
      <c r="G5965" s="438">
        <v>0</v>
      </c>
      <c r="H5965" s="438">
        <v>0</v>
      </c>
    </row>
    <row r="5966" spans="1:8" s="422" customFormat="1" ht="11.25">
      <c r="A5966" s="451" t="s">
        <v>401</v>
      </c>
      <c r="B5966" s="438">
        <v>0</v>
      </c>
      <c r="C5966" s="438">
        <v>0</v>
      </c>
      <c r="D5966" s="438">
        <v>0</v>
      </c>
      <c r="E5966" s="438">
        <v>0</v>
      </c>
      <c r="F5966" s="438">
        <v>0</v>
      </c>
      <c r="G5966" s="438">
        <v>0</v>
      </c>
      <c r="H5966" s="438">
        <v>0</v>
      </c>
    </row>
    <row r="5967" spans="1:8" s="422" customFormat="1" ht="11.25"/>
    <row r="5968" spans="1:8" s="422" customFormat="1" ht="11.25">
      <c r="A5968" s="421" t="s">
        <v>597</v>
      </c>
      <c r="B5968" s="421"/>
      <c r="C5968" s="421"/>
    </row>
    <row r="5969" spans="1:8" s="429" customFormat="1" ht="11.25">
      <c r="A5969" s="428"/>
      <c r="B5969" s="428"/>
      <c r="C5969" s="428"/>
    </row>
    <row r="5970" spans="1:8" s="429" customFormat="1" ht="11.25">
      <c r="A5970" s="428"/>
      <c r="B5970" s="428"/>
      <c r="C5970" s="428"/>
    </row>
    <row r="5971" spans="1:8" s="429" customFormat="1" ht="11.25">
      <c r="A5971" s="428"/>
      <c r="B5971" s="428"/>
      <c r="C5971" s="428"/>
    </row>
    <row r="5972" spans="1:8" s="422" customFormat="1" ht="11.25"/>
    <row r="5973" spans="1:8" s="422" customFormat="1" ht="11.25">
      <c r="A5973" s="421" t="s">
        <v>598</v>
      </c>
      <c r="B5973" s="421"/>
      <c r="C5973" s="421"/>
    </row>
    <row r="5974" spans="1:8" s="422" customFormat="1" ht="11.25">
      <c r="A5974" s="452" t="s">
        <v>599</v>
      </c>
      <c r="B5974" s="447"/>
      <c r="C5974" s="447"/>
      <c r="D5974" s="447"/>
      <c r="E5974" s="439" t="s">
        <v>375</v>
      </c>
      <c r="F5974" s="439" t="s">
        <v>9</v>
      </c>
      <c r="G5974" s="439" t="s">
        <v>131</v>
      </c>
      <c r="H5974" s="439" t="s">
        <v>424</v>
      </c>
    </row>
    <row r="5975" spans="1:8" s="422" customFormat="1" ht="11.25">
      <c r="A5975" s="448"/>
      <c r="B5975" s="449"/>
      <c r="C5975" s="449"/>
      <c r="D5975" s="449"/>
      <c r="E5975" s="438">
        <v>0</v>
      </c>
      <c r="F5975" s="438">
        <v>0</v>
      </c>
      <c r="G5975" s="438">
        <v>0</v>
      </c>
      <c r="H5975" s="438">
        <v>0</v>
      </c>
    </row>
    <row r="5976" spans="1:8" s="422" customFormat="1" ht="11.25">
      <c r="A5976" s="448"/>
      <c r="B5976" s="449"/>
      <c r="C5976" s="449"/>
      <c r="D5976" s="449"/>
      <c r="E5976" s="438">
        <v>0</v>
      </c>
      <c r="F5976" s="438">
        <v>0</v>
      </c>
      <c r="G5976" s="438">
        <v>0</v>
      </c>
      <c r="H5976" s="438">
        <v>0</v>
      </c>
    </row>
    <row r="5977" spans="1:8" s="422" customFormat="1" ht="11.25">
      <c r="A5977" s="448"/>
      <c r="B5977" s="449"/>
      <c r="C5977" s="449"/>
      <c r="D5977" s="449"/>
      <c r="E5977" s="438">
        <v>0</v>
      </c>
      <c r="F5977" s="438">
        <v>0</v>
      </c>
      <c r="G5977" s="438">
        <v>0</v>
      </c>
      <c r="H5977" s="438">
        <v>0</v>
      </c>
    </row>
    <row r="5978" spans="1:8" s="421" customFormat="1" ht="11.25">
      <c r="A5978" s="421" t="s">
        <v>391</v>
      </c>
      <c r="D5978" s="421" t="s">
        <v>472</v>
      </c>
    </row>
    <row r="5979" spans="1:8" s="422" customFormat="1" ht="11.25"/>
    <row r="5980" spans="1:8" s="421" customFormat="1" ht="11.25" customHeight="1">
      <c r="A5980" s="423" t="s">
        <v>392</v>
      </c>
      <c r="D5980" s="421" t="s">
        <v>159</v>
      </c>
    </row>
    <row r="5981" spans="1:8" s="421" customFormat="1" ht="7.5" customHeight="1">
      <c r="A5981" s="423"/>
    </row>
    <row r="5982" spans="1:8" s="421" customFormat="1" ht="11.25">
      <c r="A5982" s="424" t="s">
        <v>393</v>
      </c>
      <c r="D5982" s="583" t="s">
        <v>160</v>
      </c>
      <c r="E5982" s="583"/>
      <c r="F5982" s="583"/>
      <c r="G5982" s="583"/>
      <c r="H5982" s="583"/>
    </row>
    <row r="5983" spans="1:8" s="421" customFormat="1" ht="7.5" customHeight="1"/>
    <row r="5984" spans="1:8" s="422" customFormat="1" ht="11.25">
      <c r="A5984" s="421" t="s">
        <v>170</v>
      </c>
      <c r="B5984" s="421"/>
      <c r="C5984" s="421"/>
      <c r="D5984" s="422" t="s">
        <v>310</v>
      </c>
      <c r="E5984" s="422" t="s">
        <v>311</v>
      </c>
    </row>
    <row r="5985" spans="1:8" s="422" customFormat="1" ht="7.5" customHeight="1"/>
    <row r="5986" spans="1:8" s="427" customFormat="1" ht="11.25">
      <c r="A5986" s="425" t="s">
        <v>587</v>
      </c>
      <c r="B5986" s="425"/>
      <c r="C5986" s="425"/>
      <c r="D5986" s="426" t="s">
        <v>1279</v>
      </c>
      <c r="E5986" s="584" t="s">
        <v>1280</v>
      </c>
      <c r="F5986" s="584"/>
      <c r="G5986" s="584"/>
      <c r="H5986" s="584"/>
    </row>
    <row r="5987" spans="1:8" s="427" customFormat="1" ht="11.25">
      <c r="A5987" s="425"/>
      <c r="B5987" s="425"/>
      <c r="C5987" s="425"/>
      <c r="D5987" s="426" t="s">
        <v>1281</v>
      </c>
      <c r="E5987" s="584" t="s">
        <v>1282</v>
      </c>
      <c r="F5987" s="584"/>
      <c r="G5987" s="584"/>
      <c r="H5987" s="584"/>
    </row>
    <row r="5988" spans="1:8" s="427" customFormat="1" ht="11.25">
      <c r="A5988" s="425"/>
      <c r="B5988" s="425"/>
      <c r="C5988" s="425"/>
      <c r="D5988" s="426" t="s">
        <v>1283</v>
      </c>
      <c r="E5988" s="584" t="s">
        <v>171</v>
      </c>
      <c r="F5988" s="584"/>
      <c r="G5988" s="584"/>
      <c r="H5988" s="584"/>
    </row>
    <row r="5989" spans="1:8" s="427" customFormat="1" ht="11.25">
      <c r="A5989" s="425"/>
      <c r="B5989" s="425"/>
      <c r="C5989" s="425"/>
      <c r="D5989" s="426"/>
      <c r="E5989" s="584"/>
      <c r="F5989" s="584"/>
      <c r="G5989" s="584"/>
      <c r="H5989" s="584"/>
    </row>
    <row r="5990" spans="1:8" s="427" customFormat="1" ht="11.25"/>
    <row r="5991" spans="1:8" s="422" customFormat="1" ht="11.25"/>
    <row r="5992" spans="1:8" s="422" customFormat="1" ht="11.25">
      <c r="A5992" s="421" t="s">
        <v>589</v>
      </c>
      <c r="B5992" s="421"/>
      <c r="C5992" s="421"/>
    </row>
    <row r="5993" spans="1:8" s="429" customFormat="1" ht="11.25">
      <c r="A5993" s="428"/>
      <c r="B5993" s="428"/>
      <c r="C5993" s="428"/>
    </row>
    <row r="5994" spans="1:8" s="429" customFormat="1" ht="11.25">
      <c r="A5994" s="428"/>
      <c r="B5994" s="428"/>
      <c r="C5994" s="428"/>
    </row>
    <row r="5995" spans="1:8" s="429" customFormat="1" ht="11.25">
      <c r="A5995" s="428"/>
      <c r="B5995" s="428"/>
      <c r="C5995" s="428"/>
    </row>
    <row r="5996" spans="1:8" s="429" customFormat="1" ht="11.25">
      <c r="A5996" s="428"/>
      <c r="B5996" s="428"/>
      <c r="C5996" s="428"/>
    </row>
    <row r="5997" spans="1:8" s="422" customFormat="1" ht="9" customHeight="1">
      <c r="A5997" s="430"/>
      <c r="B5997" s="430"/>
      <c r="C5997" s="430"/>
      <c r="D5997" s="430"/>
      <c r="E5997" s="430"/>
      <c r="F5997" s="430"/>
      <c r="G5997" s="430"/>
      <c r="H5997" s="430"/>
    </row>
    <row r="5998" spans="1:8" s="422" customFormat="1" ht="22.5" customHeight="1">
      <c r="A5998" s="585" t="s">
        <v>590</v>
      </c>
      <c r="B5998" s="585"/>
      <c r="C5998" s="585"/>
      <c r="D5998" s="586"/>
      <c r="E5998" s="586"/>
      <c r="F5998" s="586"/>
      <c r="G5998" s="586"/>
      <c r="H5998" s="586"/>
    </row>
    <row r="5999" spans="1:8" s="429" customFormat="1" ht="11.25">
      <c r="A5999" s="431"/>
      <c r="B5999" s="431"/>
      <c r="C5999" s="431"/>
      <c r="D5999" s="432"/>
      <c r="E5999" s="432"/>
      <c r="F5999" s="432"/>
      <c r="G5999" s="432"/>
      <c r="H5999" s="432"/>
    </row>
    <row r="6000" spans="1:8" s="429" customFormat="1" ht="15" customHeight="1">
      <c r="A6000" s="431"/>
      <c r="B6000" s="431"/>
      <c r="C6000" s="431"/>
      <c r="D6000" s="432"/>
      <c r="E6000" s="432"/>
      <c r="F6000" s="432"/>
      <c r="G6000" s="432"/>
      <c r="H6000" s="432"/>
    </row>
    <row r="6001" spans="1:8" s="429" customFormat="1" ht="11.25">
      <c r="A6001" s="431"/>
      <c r="B6001" s="431"/>
      <c r="C6001" s="431"/>
      <c r="D6001" s="432"/>
      <c r="E6001" s="432"/>
      <c r="F6001" s="432"/>
      <c r="G6001" s="432"/>
      <c r="H6001" s="432"/>
    </row>
    <row r="6002" spans="1:8" s="429" customFormat="1" ht="51.75" customHeight="1">
      <c r="A6002" s="431"/>
      <c r="B6002" s="431"/>
      <c r="C6002" s="431"/>
      <c r="D6002" s="432"/>
      <c r="E6002" s="432"/>
      <c r="F6002" s="432"/>
      <c r="G6002" s="432"/>
      <c r="H6002" s="432"/>
    </row>
    <row r="6003" spans="1:8" s="422" customFormat="1" ht="9" customHeight="1"/>
    <row r="6004" spans="1:8" s="422" customFormat="1" ht="11.25">
      <c r="A6004" s="421" t="s">
        <v>591</v>
      </c>
      <c r="B6004" s="421"/>
      <c r="C6004" s="421"/>
    </row>
    <row r="6005" spans="1:8" s="429" customFormat="1" ht="11.25">
      <c r="A6005" s="428"/>
      <c r="B6005" s="428"/>
      <c r="C6005" s="428"/>
    </row>
    <row r="6006" spans="1:8" s="429" customFormat="1" ht="11.25">
      <c r="A6006" s="428"/>
      <c r="B6006" s="428"/>
      <c r="C6006" s="428"/>
    </row>
    <row r="6007" spans="1:8" s="429" customFormat="1" ht="11.25">
      <c r="A6007" s="428"/>
      <c r="B6007" s="428"/>
      <c r="C6007" s="428"/>
    </row>
    <row r="6008" spans="1:8" s="429" customFormat="1" ht="11.25" customHeight="1">
      <c r="A6008" s="428"/>
      <c r="B6008" s="428"/>
      <c r="C6008" s="428"/>
    </row>
    <row r="6009" spans="1:8" s="429" customFormat="1" ht="15" customHeight="1">
      <c r="A6009" s="428"/>
      <c r="B6009" s="428"/>
      <c r="C6009" s="428"/>
    </row>
    <row r="6010" spans="1:8" s="429" customFormat="1" ht="15" customHeight="1">
      <c r="A6010" s="428"/>
      <c r="B6010" s="428"/>
      <c r="C6010" s="428"/>
    </row>
    <row r="6011" spans="1:8" s="422" customFormat="1" ht="9" customHeight="1"/>
    <row r="6012" spans="1:8" s="422" customFormat="1" ht="11.25">
      <c r="A6012" s="433" t="s">
        <v>592</v>
      </c>
      <c r="B6012" s="434"/>
      <c r="C6012" s="434"/>
      <c r="D6012" s="434"/>
      <c r="E6012" s="434"/>
      <c r="F6012" s="434"/>
      <c r="G6012" s="434"/>
      <c r="H6012" s="434"/>
    </row>
    <row r="6013" spans="1:8" s="429" customFormat="1" ht="11.25">
      <c r="A6013" s="435"/>
      <c r="B6013" s="436"/>
      <c r="C6013" s="436"/>
      <c r="D6013" s="436"/>
      <c r="E6013" s="436"/>
      <c r="F6013" s="436"/>
      <c r="G6013" s="436"/>
      <c r="H6013" s="436"/>
    </row>
    <row r="6014" spans="1:8" s="429" customFormat="1" ht="11.25">
      <c r="A6014" s="435"/>
      <c r="B6014" s="436"/>
      <c r="C6014" s="436"/>
      <c r="D6014" s="436"/>
      <c r="E6014" s="436"/>
      <c r="F6014" s="436"/>
      <c r="G6014" s="436"/>
      <c r="H6014" s="436"/>
    </row>
    <row r="6015" spans="1:8" s="422" customFormat="1" ht="11.25">
      <c r="A6015" s="437"/>
      <c r="B6015" s="437"/>
      <c r="C6015" s="437"/>
      <c r="D6015" s="437"/>
      <c r="E6015" s="437"/>
      <c r="F6015" s="437"/>
      <c r="G6015" s="437"/>
      <c r="H6015" s="437"/>
    </row>
    <row r="6016" spans="1:8" s="422" customFormat="1" ht="11.25">
      <c r="A6016" s="421" t="s">
        <v>593</v>
      </c>
      <c r="B6016" s="421"/>
      <c r="C6016" s="421"/>
    </row>
    <row r="6017" spans="1:8" s="422" customFormat="1" ht="11.25">
      <c r="A6017" s="438"/>
      <c r="B6017" s="439" t="s">
        <v>132</v>
      </c>
      <c r="C6017" s="439" t="s">
        <v>473</v>
      </c>
      <c r="D6017" s="439" t="s">
        <v>474</v>
      </c>
      <c r="E6017" s="439" t="s">
        <v>375</v>
      </c>
      <c r="F6017" s="439" t="s">
        <v>9</v>
      </c>
      <c r="G6017" s="439" t="s">
        <v>131</v>
      </c>
      <c r="H6017" s="439" t="s">
        <v>424</v>
      </c>
    </row>
    <row r="6018" spans="1:8" s="422" customFormat="1" ht="11.25">
      <c r="A6018" s="439" t="s">
        <v>394</v>
      </c>
      <c r="B6018" s="438">
        <v>8721725.5499999989</v>
      </c>
      <c r="C6018" s="438">
        <v>8539312.5299999993</v>
      </c>
      <c r="D6018" s="438">
        <v>8930286.879999999</v>
      </c>
      <c r="E6018" s="438">
        <v>8898571.0351999979</v>
      </c>
      <c r="F6018" s="438">
        <v>8856215.0351999979</v>
      </c>
      <c r="G6018" s="438">
        <v>8979789.108479999</v>
      </c>
      <c r="H6018" s="438">
        <v>9064172.206079999</v>
      </c>
    </row>
    <row r="6019" spans="1:8" s="422" customFormat="1" ht="11.25">
      <c r="A6019" s="439" t="s">
        <v>395</v>
      </c>
      <c r="B6019" s="438">
        <v>-4658722.8600000003</v>
      </c>
      <c r="C6019" s="438">
        <v>-4510791.1399999997</v>
      </c>
      <c r="D6019" s="438">
        <v>-4602950.46</v>
      </c>
      <c r="E6019" s="438">
        <v>-4270950.46</v>
      </c>
      <c r="F6019" s="438">
        <v>-4270950.46</v>
      </c>
      <c r="G6019" s="438">
        <v>-4270950.46</v>
      </c>
      <c r="H6019" s="438">
        <v>-4270950.46</v>
      </c>
    </row>
    <row r="6020" spans="1:8" s="422" customFormat="1" ht="11.25">
      <c r="A6020" s="439" t="s">
        <v>396</v>
      </c>
      <c r="B6020" s="438">
        <v>4063002.6899999985</v>
      </c>
      <c r="C6020" s="438">
        <v>4028521.3899999997</v>
      </c>
      <c r="D6020" s="438">
        <v>4327336.419999999</v>
      </c>
      <c r="E6020" s="438">
        <v>4627620.575199998</v>
      </c>
      <c r="F6020" s="438">
        <v>4585264.575199998</v>
      </c>
      <c r="G6020" s="438">
        <v>4708838.648479999</v>
      </c>
      <c r="H6020" s="438">
        <v>4793221.746079999</v>
      </c>
    </row>
    <row r="6021" spans="1:8" s="442" customFormat="1" ht="11.25">
      <c r="A6021" s="440" t="s">
        <v>397</v>
      </c>
      <c r="B6021" s="441">
        <v>0.53415150858536253</v>
      </c>
      <c r="C6021" s="441">
        <v>0.52823820701641422</v>
      </c>
      <c r="D6021" s="441">
        <v>0.51543142139236631</v>
      </c>
      <c r="E6021" s="441">
        <v>0.47995913536065954</v>
      </c>
      <c r="F6021" s="441">
        <v>0.48225460233572004</v>
      </c>
      <c r="G6021" s="441">
        <v>0.47561812514803481</v>
      </c>
      <c r="H6021" s="441">
        <v>0.47119034842863677</v>
      </c>
    </row>
    <row r="6022" spans="1:8" s="422" customFormat="1" ht="11.25"/>
    <row r="6023" spans="1:8" s="422" customFormat="1" ht="11.25">
      <c r="A6023" s="443" t="s">
        <v>594</v>
      </c>
      <c r="B6023" s="443"/>
      <c r="C6023" s="444"/>
    </row>
    <row r="6024" spans="1:8" s="422" customFormat="1" ht="11.25">
      <c r="A6024" s="445" t="s">
        <v>595</v>
      </c>
      <c r="B6024" s="446"/>
      <c r="C6024" s="447"/>
      <c r="D6024" s="439" t="s">
        <v>474</v>
      </c>
      <c r="E6024" s="439" t="s">
        <v>375</v>
      </c>
      <c r="F6024" s="439" t="s">
        <v>9</v>
      </c>
      <c r="G6024" s="439" t="s">
        <v>131</v>
      </c>
      <c r="H6024" s="439" t="s">
        <v>424</v>
      </c>
    </row>
    <row r="6025" spans="1:8" s="422" customFormat="1" ht="11.25">
      <c r="A6025" s="448" t="s">
        <v>1284</v>
      </c>
      <c r="B6025" s="449"/>
      <c r="C6025" s="449"/>
      <c r="D6025" s="438">
        <v>180</v>
      </c>
      <c r="E6025" s="438">
        <v>180</v>
      </c>
      <c r="F6025" s="438">
        <v>190</v>
      </c>
      <c r="G6025" s="438">
        <v>190</v>
      </c>
      <c r="H6025" s="438">
        <v>200</v>
      </c>
    </row>
    <row r="6026" spans="1:8" s="422" customFormat="1" ht="11.25">
      <c r="A6026" s="448" t="s">
        <v>1285</v>
      </c>
      <c r="B6026" s="449"/>
      <c r="C6026" s="449"/>
      <c r="D6026" s="438">
        <v>1200</v>
      </c>
      <c r="E6026" s="438">
        <v>1200</v>
      </c>
      <c r="F6026" s="438">
        <v>1250</v>
      </c>
      <c r="G6026" s="438">
        <v>1250</v>
      </c>
      <c r="H6026" s="438">
        <v>1300</v>
      </c>
    </row>
    <row r="6027" spans="1:8" s="422" customFormat="1" ht="11.25">
      <c r="A6027" s="448"/>
      <c r="B6027" s="449"/>
      <c r="C6027" s="449"/>
      <c r="D6027" s="438"/>
      <c r="E6027" s="438"/>
      <c r="F6027" s="438"/>
      <c r="G6027" s="438"/>
      <c r="H6027" s="438"/>
    </row>
    <row r="6028" spans="1:8" s="422" customFormat="1" ht="11.25"/>
    <row r="6029" spans="1:8" s="422" customFormat="1" ht="11.25">
      <c r="A6029" s="421" t="s">
        <v>423</v>
      </c>
      <c r="B6029" s="421"/>
      <c r="C6029" s="421"/>
    </row>
    <row r="6030" spans="1:8" s="422" customFormat="1" ht="11.25">
      <c r="A6030" s="450"/>
      <c r="B6030" s="439" t="s">
        <v>132</v>
      </c>
      <c r="C6030" s="439" t="s">
        <v>473</v>
      </c>
      <c r="D6030" s="439" t="s">
        <v>474</v>
      </c>
      <c r="E6030" s="439" t="s">
        <v>375</v>
      </c>
      <c r="F6030" s="439" t="s">
        <v>9</v>
      </c>
      <c r="G6030" s="439" t="s">
        <v>131</v>
      </c>
      <c r="H6030" s="439" t="s">
        <v>424</v>
      </c>
    </row>
    <row r="6031" spans="1:8" s="422" customFormat="1" ht="11.25">
      <c r="A6031" s="451" t="s">
        <v>398</v>
      </c>
      <c r="B6031" s="438">
        <v>325360.45</v>
      </c>
      <c r="C6031" s="438">
        <v>964042</v>
      </c>
      <c r="D6031" s="438">
        <v>1318497</v>
      </c>
      <c r="E6031" s="438">
        <v>869999</v>
      </c>
      <c r="F6031" s="438">
        <v>1200000</v>
      </c>
      <c r="G6031" s="438">
        <v>900500</v>
      </c>
      <c r="H6031" s="438">
        <v>1510000</v>
      </c>
    </row>
    <row r="6032" spans="1:8" s="422" customFormat="1" ht="11.25">
      <c r="A6032" s="451" t="s">
        <v>399</v>
      </c>
      <c r="B6032" s="438">
        <v>0</v>
      </c>
      <c r="C6032" s="438">
        <v>0</v>
      </c>
      <c r="D6032" s="438">
        <v>75000</v>
      </c>
      <c r="E6032" s="438">
        <v>25000</v>
      </c>
      <c r="F6032" s="438">
        <v>50000</v>
      </c>
      <c r="G6032" s="438">
        <v>0</v>
      </c>
      <c r="H6032" s="438">
        <v>0</v>
      </c>
    </row>
    <row r="6033" spans="1:8" s="422" customFormat="1" ht="11.25">
      <c r="A6033" s="451" t="s">
        <v>400</v>
      </c>
      <c r="B6033" s="438">
        <v>-22415.9</v>
      </c>
      <c r="C6033" s="438">
        <v>0</v>
      </c>
      <c r="D6033" s="438">
        <v>0</v>
      </c>
      <c r="E6033" s="438">
        <v>0</v>
      </c>
      <c r="F6033" s="438">
        <v>0</v>
      </c>
      <c r="G6033" s="438">
        <v>0</v>
      </c>
      <c r="H6033" s="438">
        <v>0</v>
      </c>
    </row>
    <row r="6034" spans="1:8" s="422" customFormat="1" ht="11.25">
      <c r="A6034" s="451" t="s">
        <v>401</v>
      </c>
      <c r="B6034" s="438">
        <v>302944.55</v>
      </c>
      <c r="C6034" s="438">
        <v>964042</v>
      </c>
      <c r="D6034" s="438">
        <v>1393497</v>
      </c>
      <c r="E6034" s="438">
        <v>894999</v>
      </c>
      <c r="F6034" s="438">
        <v>1250000</v>
      </c>
      <c r="G6034" s="438">
        <v>900500</v>
      </c>
      <c r="H6034" s="438">
        <v>1510000</v>
      </c>
    </row>
    <row r="6035" spans="1:8" s="422" customFormat="1" ht="11.25"/>
    <row r="6036" spans="1:8" s="422" customFormat="1" ht="11.25">
      <c r="A6036" s="421" t="s">
        <v>597</v>
      </c>
      <c r="B6036" s="421"/>
      <c r="C6036" s="421"/>
    </row>
    <row r="6037" spans="1:8" s="429" customFormat="1" ht="11.25">
      <c r="A6037" s="428"/>
      <c r="B6037" s="428"/>
      <c r="C6037" s="428"/>
    </row>
    <row r="6038" spans="1:8" s="429" customFormat="1" ht="11.25">
      <c r="A6038" s="428"/>
      <c r="B6038" s="428"/>
      <c r="C6038" s="428"/>
    </row>
    <row r="6039" spans="1:8" s="429" customFormat="1" ht="11.25">
      <c r="A6039" s="428"/>
      <c r="B6039" s="428"/>
      <c r="C6039" s="428"/>
    </row>
    <row r="6040" spans="1:8" s="422" customFormat="1" ht="11.25"/>
    <row r="6041" spans="1:8" s="422" customFormat="1" ht="11.25">
      <c r="A6041" s="421" t="s">
        <v>598</v>
      </c>
      <c r="B6041" s="421"/>
      <c r="C6041" s="421"/>
    </row>
    <row r="6042" spans="1:8" s="422" customFormat="1" ht="11.25">
      <c r="A6042" s="452" t="s">
        <v>599</v>
      </c>
      <c r="B6042" s="447"/>
      <c r="C6042" s="447"/>
      <c r="D6042" s="447"/>
      <c r="E6042" s="439" t="s">
        <v>375</v>
      </c>
      <c r="F6042" s="439" t="s">
        <v>9</v>
      </c>
      <c r="G6042" s="439" t="s">
        <v>131</v>
      </c>
      <c r="H6042" s="439" t="s">
        <v>424</v>
      </c>
    </row>
    <row r="6043" spans="1:8" s="422" customFormat="1" ht="11.25">
      <c r="A6043" s="448"/>
      <c r="B6043" s="449"/>
      <c r="C6043" s="449"/>
      <c r="D6043" s="449"/>
      <c r="E6043" s="438">
        <v>0</v>
      </c>
      <c r="F6043" s="438">
        <v>0</v>
      </c>
      <c r="G6043" s="438">
        <v>0</v>
      </c>
      <c r="H6043" s="438">
        <v>0</v>
      </c>
    </row>
    <row r="6044" spans="1:8" s="422" customFormat="1" ht="11.25">
      <c r="A6044" s="448"/>
      <c r="B6044" s="449"/>
      <c r="C6044" s="449"/>
      <c r="D6044" s="449"/>
      <c r="E6044" s="438">
        <v>0</v>
      </c>
      <c r="F6044" s="438">
        <v>0</v>
      </c>
      <c r="G6044" s="438">
        <v>0</v>
      </c>
      <c r="H6044" s="438">
        <v>0</v>
      </c>
    </row>
    <row r="6045" spans="1:8" s="422" customFormat="1" ht="11.25">
      <c r="A6045" s="448"/>
      <c r="B6045" s="449"/>
      <c r="C6045" s="449"/>
      <c r="D6045" s="449"/>
      <c r="E6045" s="438">
        <v>0</v>
      </c>
      <c r="F6045" s="438">
        <v>0</v>
      </c>
      <c r="G6045" s="438">
        <v>0</v>
      </c>
      <c r="H6045" s="438">
        <v>0</v>
      </c>
    </row>
    <row r="6046" spans="1:8" s="421" customFormat="1" ht="11.25">
      <c r="A6046" s="421" t="s">
        <v>391</v>
      </c>
      <c r="D6046" s="421" t="s">
        <v>472</v>
      </c>
    </row>
    <row r="6047" spans="1:8" s="422" customFormat="1" ht="11.25"/>
    <row r="6048" spans="1:8" s="421" customFormat="1" ht="11.25" customHeight="1">
      <c r="A6048" s="423" t="s">
        <v>392</v>
      </c>
      <c r="D6048" s="421" t="s">
        <v>159</v>
      </c>
    </row>
    <row r="6049" spans="1:8" s="421" customFormat="1" ht="11.25" customHeight="1">
      <c r="A6049" s="423"/>
    </row>
    <row r="6050" spans="1:8" s="421" customFormat="1" ht="11.25">
      <c r="A6050" s="424" t="s">
        <v>393</v>
      </c>
      <c r="D6050" s="583" t="s">
        <v>38</v>
      </c>
      <c r="E6050" s="583"/>
      <c r="F6050" s="583"/>
      <c r="G6050" s="583"/>
      <c r="H6050" s="583"/>
    </row>
    <row r="6051" spans="1:8" s="421" customFormat="1" ht="7.5" customHeight="1"/>
    <row r="6052" spans="1:8" s="422" customFormat="1" ht="11.25">
      <c r="A6052" s="421" t="s">
        <v>170</v>
      </c>
      <c r="B6052" s="421"/>
      <c r="C6052" s="421"/>
      <c r="D6052" s="422" t="s">
        <v>313</v>
      </c>
      <c r="E6052" s="422" t="s">
        <v>314</v>
      </c>
    </row>
    <row r="6053" spans="1:8" s="422" customFormat="1" ht="7.5" customHeight="1"/>
    <row r="6054" spans="1:8" s="427" customFormat="1" ht="11.25">
      <c r="A6054" s="425" t="s">
        <v>587</v>
      </c>
      <c r="B6054" s="425"/>
      <c r="C6054" s="425"/>
      <c r="D6054" s="426" t="s">
        <v>1286</v>
      </c>
      <c r="E6054" s="584" t="s">
        <v>1287</v>
      </c>
      <c r="F6054" s="584"/>
      <c r="G6054" s="584"/>
      <c r="H6054" s="584"/>
    </row>
    <row r="6055" spans="1:8" s="427" customFormat="1" ht="11.25">
      <c r="A6055" s="425"/>
      <c r="B6055" s="425"/>
      <c r="C6055" s="425"/>
      <c r="D6055" s="426" t="s">
        <v>1288</v>
      </c>
      <c r="E6055" s="584" t="s">
        <v>1289</v>
      </c>
      <c r="F6055" s="584"/>
      <c r="G6055" s="584"/>
      <c r="H6055" s="584"/>
    </row>
    <row r="6056" spans="1:8" s="427" customFormat="1" ht="11.25">
      <c r="A6056" s="425"/>
      <c r="B6056" s="425"/>
      <c r="C6056" s="425"/>
      <c r="D6056" s="426" t="s">
        <v>1290</v>
      </c>
      <c r="E6056" s="584" t="s">
        <v>1291</v>
      </c>
      <c r="F6056" s="584"/>
      <c r="G6056" s="584"/>
      <c r="H6056" s="584"/>
    </row>
    <row r="6057" spans="1:8" s="427" customFormat="1" ht="3.75" customHeight="1">
      <c r="A6057" s="425"/>
      <c r="B6057" s="425"/>
      <c r="C6057" s="425"/>
      <c r="D6057" s="426"/>
      <c r="E6057" s="584"/>
      <c r="F6057" s="584"/>
      <c r="G6057" s="584"/>
      <c r="H6057" s="584"/>
    </row>
    <row r="6058" spans="1:8" s="427" customFormat="1" ht="5.25" customHeight="1"/>
    <row r="6059" spans="1:8" s="422" customFormat="1" ht="11.25"/>
    <row r="6060" spans="1:8" s="422" customFormat="1" ht="11.25">
      <c r="A6060" s="421" t="s">
        <v>589</v>
      </c>
      <c r="B6060" s="421"/>
      <c r="C6060" s="421"/>
    </row>
    <row r="6061" spans="1:8" s="429" customFormat="1" ht="11.25">
      <c r="A6061" s="428"/>
      <c r="B6061" s="428"/>
      <c r="C6061" s="428"/>
    </row>
    <row r="6062" spans="1:8" s="429" customFormat="1" ht="11.25">
      <c r="A6062" s="428"/>
      <c r="B6062" s="428"/>
      <c r="C6062" s="428"/>
    </row>
    <row r="6063" spans="1:8" s="429" customFormat="1" ht="11.25">
      <c r="A6063" s="428"/>
      <c r="B6063" s="428"/>
      <c r="C6063" s="428"/>
    </row>
    <row r="6064" spans="1:8" s="429" customFormat="1" ht="7.5" customHeight="1">
      <c r="A6064" s="428"/>
      <c r="B6064" s="428"/>
      <c r="C6064" s="428"/>
    </row>
    <row r="6065" spans="1:8" s="429" customFormat="1" ht="11.25">
      <c r="A6065" s="428"/>
      <c r="B6065" s="428"/>
      <c r="C6065" s="428"/>
    </row>
    <row r="6066" spans="1:8" s="429" customFormat="1" ht="4.5" customHeight="1">
      <c r="A6066" s="428"/>
      <c r="B6066" s="428"/>
      <c r="C6066" s="428"/>
    </row>
    <row r="6067" spans="1:8" s="422" customFormat="1" ht="4.5" customHeight="1">
      <c r="A6067" s="430"/>
      <c r="B6067" s="430"/>
      <c r="C6067" s="430"/>
      <c r="D6067" s="430"/>
      <c r="E6067" s="430"/>
      <c r="F6067" s="430"/>
      <c r="G6067" s="430"/>
      <c r="H6067" s="430"/>
    </row>
    <row r="6068" spans="1:8" s="422" customFormat="1" ht="22.5" customHeight="1">
      <c r="A6068" s="585" t="s">
        <v>590</v>
      </c>
      <c r="B6068" s="585"/>
      <c r="C6068" s="585"/>
      <c r="D6068" s="586"/>
      <c r="E6068" s="586"/>
      <c r="F6068" s="586"/>
      <c r="G6068" s="586"/>
      <c r="H6068" s="586"/>
    </row>
    <row r="6069" spans="1:8" s="429" customFormat="1" ht="11.25">
      <c r="A6069" s="431"/>
      <c r="B6069" s="431"/>
      <c r="C6069" s="431"/>
      <c r="D6069" s="432"/>
      <c r="E6069" s="432"/>
      <c r="F6069" s="432"/>
      <c r="G6069" s="432"/>
      <c r="H6069" s="432"/>
    </row>
    <row r="6070" spans="1:8" s="429" customFormat="1" ht="11.25">
      <c r="A6070" s="431"/>
      <c r="B6070" s="431"/>
      <c r="C6070" s="431"/>
      <c r="D6070" s="432"/>
      <c r="E6070" s="432"/>
      <c r="F6070" s="432"/>
      <c r="G6070" s="432"/>
      <c r="H6070" s="432"/>
    </row>
    <row r="6071" spans="1:8" s="429" customFormat="1" ht="11.25">
      <c r="A6071" s="431"/>
      <c r="B6071" s="431"/>
      <c r="C6071" s="431"/>
      <c r="D6071" s="432"/>
      <c r="E6071" s="432"/>
      <c r="F6071" s="432"/>
      <c r="G6071" s="432"/>
      <c r="H6071" s="432"/>
    </row>
    <row r="6072" spans="1:8" s="429" customFormat="1" ht="36.75" customHeight="1">
      <c r="A6072" s="431"/>
      <c r="B6072" s="431"/>
      <c r="C6072" s="431"/>
      <c r="D6072" s="432"/>
      <c r="E6072" s="432"/>
      <c r="F6072" s="432"/>
      <c r="G6072" s="432"/>
      <c r="H6072" s="432"/>
    </row>
    <row r="6073" spans="1:8" s="422" customFormat="1" ht="7.5" customHeight="1"/>
    <row r="6074" spans="1:8" s="422" customFormat="1" ht="11.25">
      <c r="A6074" s="421" t="s">
        <v>591</v>
      </c>
      <c r="B6074" s="421"/>
      <c r="C6074" s="421"/>
    </row>
    <row r="6075" spans="1:8" s="429" customFormat="1" ht="11.25">
      <c r="A6075" s="428"/>
      <c r="B6075" s="428"/>
      <c r="C6075" s="428"/>
    </row>
    <row r="6076" spans="1:8" s="429" customFormat="1" ht="11.25">
      <c r="A6076" s="428"/>
      <c r="B6076" s="428"/>
      <c r="C6076" s="428"/>
    </row>
    <row r="6077" spans="1:8" s="429" customFormat="1" ht="11.25">
      <c r="A6077" s="428"/>
      <c r="B6077" s="428"/>
      <c r="C6077" s="428"/>
    </row>
    <row r="6078" spans="1:8" s="429" customFormat="1" ht="11.25">
      <c r="A6078" s="428"/>
      <c r="B6078" s="428"/>
      <c r="C6078" s="428"/>
    </row>
    <row r="6079" spans="1:8" s="429" customFormat="1" ht="12" customHeight="1">
      <c r="A6079" s="428"/>
      <c r="B6079" s="428"/>
      <c r="C6079" s="428"/>
    </row>
    <row r="6080" spans="1:8" s="422" customFormat="1" ht="38.25" customHeight="1">
      <c r="A6080" s="421"/>
      <c r="B6080" s="421"/>
      <c r="C6080" s="421"/>
    </row>
    <row r="6081" spans="1:8" s="422" customFormat="1" ht="37.5" customHeight="1">
      <c r="A6081" s="421"/>
      <c r="B6081" s="421"/>
      <c r="C6081" s="421"/>
    </row>
    <row r="6082" spans="1:8" s="422" customFormat="1" ht="11.25">
      <c r="A6082" s="421" t="s">
        <v>592</v>
      </c>
      <c r="B6082" s="421"/>
      <c r="C6082" s="421"/>
    </row>
    <row r="6083" spans="1:8" s="422" customFormat="1" ht="1.5" customHeight="1">
      <c r="A6083" s="433"/>
      <c r="B6083" s="434"/>
      <c r="C6083" s="434"/>
      <c r="D6083" s="434"/>
      <c r="E6083" s="434"/>
      <c r="F6083" s="434"/>
      <c r="G6083" s="434"/>
      <c r="H6083" s="434"/>
    </row>
    <row r="6084" spans="1:8" s="429" customFormat="1" ht="11.25">
      <c r="A6084" s="435"/>
      <c r="B6084" s="436"/>
      <c r="C6084" s="436"/>
      <c r="D6084" s="436"/>
      <c r="E6084" s="436"/>
      <c r="F6084" s="436"/>
      <c r="G6084" s="436"/>
      <c r="H6084" s="436"/>
    </row>
    <row r="6085" spans="1:8" s="429" customFormat="1" ht="11.25">
      <c r="A6085" s="435"/>
      <c r="B6085" s="436"/>
      <c r="C6085" s="436"/>
      <c r="D6085" s="436"/>
      <c r="E6085" s="436"/>
      <c r="F6085" s="436"/>
      <c r="G6085" s="436"/>
      <c r="H6085" s="436"/>
    </row>
    <row r="6086" spans="1:8" s="429" customFormat="1" ht="14.25" customHeight="1">
      <c r="A6086" s="435"/>
      <c r="B6086" s="436"/>
      <c r="C6086" s="436"/>
      <c r="D6086" s="436"/>
      <c r="E6086" s="436"/>
      <c r="F6086" s="436"/>
      <c r="G6086" s="436"/>
      <c r="H6086" s="436"/>
    </row>
    <row r="6087" spans="1:8" s="429" customFormat="1" ht="11.25" hidden="1">
      <c r="A6087" s="435"/>
      <c r="B6087" s="436"/>
      <c r="C6087" s="436"/>
      <c r="D6087" s="436"/>
      <c r="E6087" s="436"/>
      <c r="F6087" s="436"/>
      <c r="G6087" s="436"/>
      <c r="H6087" s="436"/>
    </row>
    <row r="6088" spans="1:8" s="422" customFormat="1" ht="11.25">
      <c r="A6088" s="437"/>
      <c r="B6088" s="437"/>
      <c r="C6088" s="437"/>
      <c r="D6088" s="437"/>
      <c r="E6088" s="437"/>
      <c r="F6088" s="437"/>
      <c r="G6088" s="437"/>
      <c r="H6088" s="437"/>
    </row>
    <row r="6089" spans="1:8" s="422" customFormat="1" ht="11.25">
      <c r="A6089" s="421" t="s">
        <v>593</v>
      </c>
      <c r="B6089" s="421"/>
      <c r="C6089" s="421"/>
    </row>
    <row r="6090" spans="1:8" s="422" customFormat="1" ht="11.25">
      <c r="A6090" s="438"/>
      <c r="B6090" s="439" t="s">
        <v>132</v>
      </c>
      <c r="C6090" s="439" t="s">
        <v>473</v>
      </c>
      <c r="D6090" s="439" t="s">
        <v>474</v>
      </c>
      <c r="E6090" s="439" t="s">
        <v>375</v>
      </c>
      <c r="F6090" s="439" t="s">
        <v>9</v>
      </c>
      <c r="G6090" s="439" t="s">
        <v>131</v>
      </c>
      <c r="H6090" s="439" t="s">
        <v>424</v>
      </c>
    </row>
    <row r="6091" spans="1:8" s="422" customFormat="1" ht="11.25">
      <c r="A6091" s="439" t="s">
        <v>394</v>
      </c>
      <c r="B6091" s="438">
        <v>4911964.21</v>
      </c>
      <c r="C6091" s="438">
        <v>4985874.2700000005</v>
      </c>
      <c r="D6091" s="438">
        <v>5167163.8600000003</v>
      </c>
      <c r="E6091" s="438">
        <v>5088500</v>
      </c>
      <c r="F6091" s="438">
        <v>4902400</v>
      </c>
      <c r="G6091" s="438">
        <v>4977333.1840000004</v>
      </c>
      <c r="H6091" s="438">
        <v>5058496.6859999998</v>
      </c>
    </row>
    <row r="6092" spans="1:8" s="422" customFormat="1" ht="11.25">
      <c r="A6092" s="439" t="s">
        <v>395</v>
      </c>
      <c r="B6092" s="438">
        <v>-3624112.18</v>
      </c>
      <c r="C6092" s="438">
        <v>-3908845.0700000003</v>
      </c>
      <c r="D6092" s="438">
        <v>-3725531.19</v>
      </c>
      <c r="E6092" s="438">
        <v>-3513000</v>
      </c>
      <c r="F6092" s="438">
        <v>-3480000</v>
      </c>
      <c r="G6092" s="438">
        <v>-3520000</v>
      </c>
      <c r="H6092" s="438">
        <v>-3500000</v>
      </c>
    </row>
    <row r="6093" spans="1:8" s="422" customFormat="1" ht="11.25">
      <c r="A6093" s="439" t="s">
        <v>396</v>
      </c>
      <c r="B6093" s="438">
        <v>1287852.0299999998</v>
      </c>
      <c r="C6093" s="438">
        <v>1077029.2000000002</v>
      </c>
      <c r="D6093" s="438">
        <v>1441632.6700000004</v>
      </c>
      <c r="E6093" s="438">
        <v>1575500</v>
      </c>
      <c r="F6093" s="438">
        <v>1422400</v>
      </c>
      <c r="G6093" s="438">
        <v>1457333.1840000004</v>
      </c>
      <c r="H6093" s="438">
        <v>1558496.6859999998</v>
      </c>
    </row>
    <row r="6094" spans="1:8" s="442" customFormat="1" ht="11.25">
      <c r="A6094" s="440" t="s">
        <v>397</v>
      </c>
      <c r="B6094" s="441">
        <v>0.73781323011716327</v>
      </c>
      <c r="C6094" s="441">
        <v>0.7839838829309268</v>
      </c>
      <c r="D6094" s="441">
        <v>0.72100117026286825</v>
      </c>
      <c r="E6094" s="441">
        <v>0.69038026923454854</v>
      </c>
      <c r="F6094" s="441">
        <v>0.70985639686684077</v>
      </c>
      <c r="G6094" s="441">
        <v>0.70720602175383718</v>
      </c>
      <c r="H6094" s="441">
        <v>0.6919051681276519</v>
      </c>
    </row>
    <row r="6095" spans="1:8" s="422" customFormat="1" ht="11.25"/>
    <row r="6096" spans="1:8" s="422" customFormat="1" ht="11.25">
      <c r="A6096" s="443" t="s">
        <v>594</v>
      </c>
      <c r="B6096" s="443"/>
      <c r="C6096" s="444"/>
    </row>
    <row r="6097" spans="1:8" s="422" customFormat="1" ht="11.25">
      <c r="A6097" s="445" t="s">
        <v>595</v>
      </c>
      <c r="B6097" s="446"/>
      <c r="C6097" s="447"/>
      <c r="D6097" s="439" t="s">
        <v>474</v>
      </c>
      <c r="E6097" s="439" t="s">
        <v>375</v>
      </c>
      <c r="F6097" s="439" t="s">
        <v>9</v>
      </c>
      <c r="G6097" s="439" t="s">
        <v>131</v>
      </c>
      <c r="H6097" s="439" t="s">
        <v>424</v>
      </c>
    </row>
    <row r="6098" spans="1:8" s="422" customFormat="1" ht="45.75" customHeight="1">
      <c r="A6098" s="454" t="s">
        <v>1292</v>
      </c>
      <c r="B6098" s="455"/>
      <c r="C6098" s="455"/>
      <c r="D6098" s="438" t="s">
        <v>1293</v>
      </c>
      <c r="E6098" s="438" t="s">
        <v>1293</v>
      </c>
      <c r="F6098" s="438" t="s">
        <v>1293</v>
      </c>
      <c r="G6098" s="438" t="s">
        <v>1293</v>
      </c>
      <c r="H6098" s="438" t="s">
        <v>1293</v>
      </c>
    </row>
    <row r="6099" spans="1:8" s="422" customFormat="1" ht="11.25" customHeight="1">
      <c r="A6099" s="448" t="s">
        <v>1294</v>
      </c>
      <c r="B6099" s="449"/>
      <c r="C6099" s="449"/>
      <c r="D6099" s="510" t="s">
        <v>1295</v>
      </c>
      <c r="E6099" s="510" t="s">
        <v>1296</v>
      </c>
      <c r="F6099" s="510" t="s">
        <v>1297</v>
      </c>
      <c r="G6099" s="510" t="s">
        <v>1297</v>
      </c>
      <c r="H6099" s="510" t="s">
        <v>1296</v>
      </c>
    </row>
    <row r="6100" spans="1:8" s="422" customFormat="1" ht="11.25">
      <c r="A6100" s="448"/>
      <c r="B6100" s="449"/>
      <c r="C6100" s="449"/>
      <c r="D6100" s="438"/>
      <c r="E6100" s="438"/>
      <c r="F6100" s="438"/>
      <c r="G6100" s="438"/>
      <c r="H6100" s="438"/>
    </row>
    <row r="6101" spans="1:8" s="422" customFormat="1" ht="11.25"/>
    <row r="6102" spans="1:8" s="422" customFormat="1" ht="11.25">
      <c r="A6102" s="421" t="s">
        <v>423</v>
      </c>
      <c r="B6102" s="421"/>
      <c r="C6102" s="421"/>
    </row>
    <row r="6103" spans="1:8" s="422" customFormat="1" ht="11.25">
      <c r="A6103" s="450"/>
      <c r="B6103" s="439" t="s">
        <v>132</v>
      </c>
      <c r="C6103" s="439" t="s">
        <v>473</v>
      </c>
      <c r="D6103" s="439" t="s">
        <v>474</v>
      </c>
      <c r="E6103" s="439" t="s">
        <v>375</v>
      </c>
      <c r="F6103" s="439" t="s">
        <v>9</v>
      </c>
      <c r="G6103" s="439" t="s">
        <v>131</v>
      </c>
      <c r="H6103" s="439" t="s">
        <v>424</v>
      </c>
    </row>
    <row r="6104" spans="1:8" s="422" customFormat="1" ht="11.25">
      <c r="A6104" s="451" t="s">
        <v>398</v>
      </c>
      <c r="B6104" s="438">
        <v>915548.16000000003</v>
      </c>
      <c r="C6104" s="438">
        <v>805140.92</v>
      </c>
      <c r="D6104" s="438">
        <v>723000</v>
      </c>
      <c r="E6104" s="438">
        <v>275000</v>
      </c>
      <c r="F6104" s="438">
        <v>320000</v>
      </c>
      <c r="G6104" s="438">
        <v>270000</v>
      </c>
      <c r="H6104" s="438">
        <v>220000</v>
      </c>
    </row>
    <row r="6105" spans="1:8" s="422" customFormat="1" ht="11.25">
      <c r="A6105" s="451" t="s">
        <v>399</v>
      </c>
      <c r="B6105" s="438">
        <v>0</v>
      </c>
      <c r="C6105" s="438">
        <v>0</v>
      </c>
      <c r="D6105" s="438">
        <v>107000</v>
      </c>
      <c r="E6105" s="438">
        <v>60000</v>
      </c>
      <c r="F6105" s="438">
        <v>55000</v>
      </c>
      <c r="G6105" s="438">
        <v>125000</v>
      </c>
      <c r="H6105" s="438">
        <v>150000</v>
      </c>
    </row>
    <row r="6106" spans="1:8" s="422" customFormat="1" ht="11.25">
      <c r="A6106" s="451" t="s">
        <v>400</v>
      </c>
      <c r="B6106" s="438">
        <v>-64560</v>
      </c>
      <c r="C6106" s="438">
        <v>0</v>
      </c>
      <c r="D6106" s="438">
        <v>-130000</v>
      </c>
      <c r="E6106" s="438">
        <v>-100000</v>
      </c>
      <c r="F6106" s="438">
        <v>-112500</v>
      </c>
      <c r="G6106" s="438">
        <v>-125000</v>
      </c>
      <c r="H6106" s="438">
        <v>-37500</v>
      </c>
    </row>
    <row r="6107" spans="1:8" s="422" customFormat="1" ht="11.25">
      <c r="A6107" s="451" t="s">
        <v>401</v>
      </c>
      <c r="B6107" s="438">
        <v>850988.16</v>
      </c>
      <c r="C6107" s="438">
        <v>805140.92</v>
      </c>
      <c r="D6107" s="438">
        <v>700000</v>
      </c>
      <c r="E6107" s="438">
        <v>235000</v>
      </c>
      <c r="F6107" s="438">
        <v>262500</v>
      </c>
      <c r="G6107" s="438">
        <v>270000</v>
      </c>
      <c r="H6107" s="438">
        <v>332500</v>
      </c>
    </row>
    <row r="6108" spans="1:8" s="422" customFormat="1" ht="11.25"/>
    <row r="6109" spans="1:8" s="422" customFormat="1" ht="11.25">
      <c r="A6109" s="421" t="s">
        <v>597</v>
      </c>
      <c r="B6109" s="421"/>
      <c r="C6109" s="421"/>
    </row>
    <row r="6110" spans="1:8" s="429" customFormat="1" ht="11.25">
      <c r="A6110" s="428"/>
      <c r="B6110" s="428"/>
      <c r="C6110" s="428"/>
    </row>
    <row r="6111" spans="1:8" s="429" customFormat="1" ht="11.25">
      <c r="A6111" s="428"/>
      <c r="B6111" s="428"/>
      <c r="C6111" s="428"/>
    </row>
    <row r="6112" spans="1:8" s="429" customFormat="1" ht="11.25">
      <c r="A6112" s="428"/>
      <c r="B6112" s="428"/>
      <c r="C6112" s="428"/>
    </row>
    <row r="6113" spans="1:8" s="422" customFormat="1" ht="11.25"/>
    <row r="6114" spans="1:8" s="422" customFormat="1" ht="11.25">
      <c r="A6114" s="421" t="s">
        <v>598</v>
      </c>
      <c r="B6114" s="421"/>
      <c r="C6114" s="421"/>
    </row>
    <row r="6115" spans="1:8" s="422" customFormat="1" ht="11.25">
      <c r="A6115" s="452" t="s">
        <v>599</v>
      </c>
      <c r="B6115" s="447"/>
      <c r="C6115" s="447"/>
      <c r="D6115" s="447"/>
      <c r="E6115" s="439" t="s">
        <v>375</v>
      </c>
      <c r="F6115" s="439" t="s">
        <v>9</v>
      </c>
      <c r="G6115" s="439" t="s">
        <v>131</v>
      </c>
      <c r="H6115" s="439" t="s">
        <v>424</v>
      </c>
    </row>
    <row r="6116" spans="1:8" s="422" customFormat="1" ht="11.25">
      <c r="A6116" s="448" t="s">
        <v>543</v>
      </c>
      <c r="B6116" s="449"/>
      <c r="C6116" s="449"/>
      <c r="D6116" s="449"/>
      <c r="E6116" s="438">
        <v>75000</v>
      </c>
      <c r="F6116" s="438">
        <v>0</v>
      </c>
      <c r="G6116" s="438">
        <v>0</v>
      </c>
      <c r="H6116" s="438">
        <v>0</v>
      </c>
    </row>
    <row r="6117" spans="1:8" s="422" customFormat="1" ht="11.25">
      <c r="A6117" s="448"/>
      <c r="B6117" s="449"/>
      <c r="C6117" s="449"/>
      <c r="D6117" s="449"/>
      <c r="E6117" s="438">
        <v>0</v>
      </c>
      <c r="F6117" s="438">
        <v>0</v>
      </c>
      <c r="G6117" s="438">
        <v>0</v>
      </c>
      <c r="H6117" s="438">
        <v>0</v>
      </c>
    </row>
    <row r="6118" spans="1:8" s="422" customFormat="1" ht="11.25">
      <c r="A6118" s="448"/>
      <c r="B6118" s="449"/>
      <c r="C6118" s="449"/>
      <c r="D6118" s="449"/>
      <c r="E6118" s="438">
        <v>0</v>
      </c>
      <c r="F6118" s="438">
        <v>0</v>
      </c>
      <c r="G6118" s="438">
        <v>0</v>
      </c>
      <c r="H6118" s="438">
        <v>0</v>
      </c>
    </row>
    <row r="6119" spans="1:8" s="421" customFormat="1" ht="11.25">
      <c r="A6119" s="421" t="s">
        <v>391</v>
      </c>
      <c r="D6119" s="421" t="s">
        <v>472</v>
      </c>
    </row>
    <row r="6120" spans="1:8" s="422" customFormat="1" ht="11.25"/>
    <row r="6121" spans="1:8" s="421" customFormat="1" ht="11.25" customHeight="1">
      <c r="A6121" s="423" t="s">
        <v>392</v>
      </c>
      <c r="D6121" s="421" t="s">
        <v>159</v>
      </c>
    </row>
    <row r="6122" spans="1:8" s="421" customFormat="1" ht="7.5" customHeight="1">
      <c r="A6122" s="423"/>
    </row>
    <row r="6123" spans="1:8" s="421" customFormat="1" ht="11.25">
      <c r="A6123" s="424" t="s">
        <v>393</v>
      </c>
      <c r="D6123" s="583" t="s">
        <v>316</v>
      </c>
      <c r="E6123" s="583"/>
      <c r="F6123" s="583"/>
      <c r="G6123" s="583"/>
      <c r="H6123" s="583"/>
    </row>
    <row r="6124" spans="1:8" s="421" customFormat="1" ht="7.5" customHeight="1"/>
    <row r="6125" spans="1:8" s="422" customFormat="1" ht="11.25">
      <c r="A6125" s="421" t="s">
        <v>170</v>
      </c>
      <c r="B6125" s="421"/>
      <c r="C6125" s="421"/>
      <c r="D6125" s="422" t="s">
        <v>315</v>
      </c>
      <c r="E6125" s="422" t="s">
        <v>316</v>
      </c>
    </row>
    <row r="6126" spans="1:8" s="422" customFormat="1" ht="7.5" customHeight="1"/>
    <row r="6127" spans="1:8" s="427" customFormat="1" ht="11.25">
      <c r="A6127" s="425" t="s">
        <v>587</v>
      </c>
      <c r="B6127" s="425"/>
      <c r="C6127" s="425"/>
      <c r="D6127" s="426" t="s">
        <v>1298</v>
      </c>
      <c r="E6127" s="584" t="s">
        <v>1299</v>
      </c>
      <c r="F6127" s="584"/>
      <c r="G6127" s="584"/>
      <c r="H6127" s="584"/>
    </row>
    <row r="6128" spans="1:8" s="427" customFormat="1" ht="11.25">
      <c r="A6128" s="425"/>
      <c r="B6128" s="425"/>
      <c r="C6128" s="425"/>
      <c r="D6128" s="426" t="s">
        <v>1300</v>
      </c>
      <c r="E6128" s="584" t="s">
        <v>1301</v>
      </c>
      <c r="F6128" s="584"/>
      <c r="G6128" s="584"/>
      <c r="H6128" s="584"/>
    </row>
    <row r="6129" spans="1:8" s="427" customFormat="1" ht="11.25">
      <c r="A6129" s="425"/>
      <c r="B6129" s="425"/>
      <c r="C6129" s="425"/>
      <c r="D6129" s="426" t="s">
        <v>1302</v>
      </c>
      <c r="E6129" s="584" t="s">
        <v>1303</v>
      </c>
      <c r="F6129" s="584"/>
      <c r="G6129" s="584"/>
      <c r="H6129" s="584"/>
    </row>
    <row r="6130" spans="1:8" s="427" customFormat="1" ht="11.25">
      <c r="A6130" s="425"/>
      <c r="B6130" s="425"/>
      <c r="C6130" s="425"/>
      <c r="D6130" s="426" t="s">
        <v>1304</v>
      </c>
      <c r="E6130" s="584" t="s">
        <v>1305</v>
      </c>
      <c r="F6130" s="584"/>
      <c r="G6130" s="584"/>
      <c r="H6130" s="584"/>
    </row>
    <row r="6131" spans="1:8" s="427" customFormat="1" ht="11.25">
      <c r="A6131" s="425"/>
      <c r="B6131" s="425"/>
      <c r="C6131" s="425"/>
      <c r="D6131" s="426"/>
      <c r="E6131" s="584"/>
      <c r="F6131" s="584"/>
      <c r="G6131" s="584"/>
      <c r="H6131" s="584"/>
    </row>
    <row r="6132" spans="1:8" s="427" customFormat="1" ht="11.25"/>
    <row r="6133" spans="1:8" s="422" customFormat="1" ht="11.25"/>
    <row r="6134" spans="1:8" s="422" customFormat="1" ht="11.25">
      <c r="A6134" s="421" t="s">
        <v>589</v>
      </c>
      <c r="B6134" s="421"/>
      <c r="C6134" s="421"/>
    </row>
    <row r="6135" spans="1:8" s="429" customFormat="1" ht="11.25">
      <c r="A6135" s="428"/>
      <c r="B6135" s="428"/>
      <c r="C6135" s="428"/>
    </row>
    <row r="6136" spans="1:8" s="429" customFormat="1" ht="11.25">
      <c r="A6136" s="428"/>
      <c r="B6136" s="428"/>
      <c r="C6136" s="428"/>
    </row>
    <row r="6137" spans="1:8" s="429" customFormat="1" ht="11.25">
      <c r="A6137" s="428"/>
      <c r="B6137" s="428"/>
      <c r="C6137" s="428"/>
    </row>
    <row r="6138" spans="1:8" s="429" customFormat="1" ht="0.75" customHeight="1">
      <c r="A6138" s="428"/>
      <c r="B6138" s="428"/>
      <c r="C6138" s="428"/>
    </row>
    <row r="6139" spans="1:8" s="429" customFormat="1" ht="0.75" hidden="1" customHeight="1">
      <c r="A6139" s="428"/>
      <c r="B6139" s="428"/>
      <c r="C6139" s="428"/>
    </row>
    <row r="6140" spans="1:8" s="422" customFormat="1" ht="9" customHeight="1">
      <c r="A6140" s="430"/>
      <c r="B6140" s="430"/>
      <c r="C6140" s="430"/>
      <c r="D6140" s="430"/>
      <c r="E6140" s="430"/>
      <c r="F6140" s="430"/>
      <c r="G6140" s="430"/>
      <c r="H6140" s="430"/>
    </row>
    <row r="6141" spans="1:8" s="422" customFormat="1" ht="22.5" customHeight="1">
      <c r="A6141" s="585" t="s">
        <v>590</v>
      </c>
      <c r="B6141" s="585"/>
      <c r="C6141" s="585"/>
      <c r="D6141" s="586"/>
      <c r="E6141" s="586"/>
      <c r="F6141" s="586"/>
      <c r="G6141" s="586"/>
      <c r="H6141" s="586"/>
    </row>
    <row r="6142" spans="1:8" s="429" customFormat="1" ht="11.25">
      <c r="A6142" s="431"/>
      <c r="B6142" s="431"/>
      <c r="C6142" s="431"/>
      <c r="D6142" s="432"/>
      <c r="E6142" s="432"/>
      <c r="F6142" s="432"/>
      <c r="G6142" s="432"/>
      <c r="H6142" s="432"/>
    </row>
    <row r="6143" spans="1:8" s="429" customFormat="1" ht="11.25">
      <c r="A6143" s="431"/>
      <c r="B6143" s="431"/>
      <c r="C6143" s="431"/>
      <c r="D6143" s="432"/>
      <c r="E6143" s="432"/>
      <c r="F6143" s="432"/>
      <c r="G6143" s="432"/>
      <c r="H6143" s="432"/>
    </row>
    <row r="6144" spans="1:8" s="429" customFormat="1" ht="11.25">
      <c r="A6144" s="431"/>
      <c r="B6144" s="431"/>
      <c r="C6144" s="431"/>
      <c r="D6144" s="432"/>
      <c r="E6144" s="432"/>
      <c r="F6144" s="432"/>
      <c r="G6144" s="432"/>
      <c r="H6144" s="432"/>
    </row>
    <row r="6145" spans="1:8" s="429" customFormat="1" ht="11.25">
      <c r="A6145" s="431"/>
      <c r="B6145" s="431"/>
      <c r="C6145" s="431"/>
      <c r="D6145" s="432"/>
      <c r="E6145" s="432"/>
      <c r="F6145" s="432"/>
      <c r="G6145" s="432"/>
      <c r="H6145" s="432"/>
    </row>
    <row r="6146" spans="1:8" s="429" customFormat="1" ht="11.25">
      <c r="A6146" s="431"/>
      <c r="B6146" s="431"/>
      <c r="C6146" s="431"/>
      <c r="D6146" s="432"/>
      <c r="E6146" s="432"/>
      <c r="F6146" s="432"/>
      <c r="G6146" s="432"/>
      <c r="H6146" s="432"/>
    </row>
    <row r="6147" spans="1:8" s="429" customFormat="1" ht="11.25">
      <c r="A6147" s="431"/>
      <c r="B6147" s="431"/>
      <c r="C6147" s="431"/>
      <c r="D6147" s="432"/>
      <c r="E6147" s="432"/>
      <c r="F6147" s="432"/>
      <c r="G6147" s="432"/>
      <c r="H6147" s="432"/>
    </row>
    <row r="6148" spans="1:8" s="429" customFormat="1" ht="11.25">
      <c r="A6148" s="431"/>
      <c r="B6148" s="431"/>
      <c r="C6148" s="431"/>
      <c r="D6148" s="432"/>
      <c r="E6148" s="432"/>
      <c r="F6148" s="432"/>
      <c r="G6148" s="432"/>
      <c r="H6148" s="432"/>
    </row>
    <row r="6149" spans="1:8" s="429" customFormat="1" ht="11.25">
      <c r="A6149" s="431"/>
      <c r="B6149" s="431"/>
      <c r="C6149" s="431"/>
      <c r="D6149" s="432"/>
      <c r="E6149" s="432"/>
      <c r="F6149" s="432"/>
      <c r="G6149" s="432"/>
      <c r="H6149" s="432"/>
    </row>
    <row r="6150" spans="1:8" s="429" customFormat="1" ht="10.5" customHeight="1">
      <c r="A6150" s="431"/>
      <c r="B6150" s="431"/>
      <c r="C6150" s="431"/>
      <c r="D6150" s="432"/>
      <c r="E6150" s="432"/>
      <c r="F6150" s="432"/>
      <c r="G6150" s="432"/>
      <c r="H6150" s="432"/>
    </row>
    <row r="6151" spans="1:8" s="429" customFormat="1" ht="11.25">
      <c r="A6151" s="431"/>
      <c r="B6151" s="431"/>
      <c r="C6151" s="431"/>
      <c r="D6151" s="432"/>
      <c r="E6151" s="432"/>
      <c r="F6151" s="432"/>
      <c r="G6151" s="432"/>
      <c r="H6151" s="432"/>
    </row>
    <row r="6152" spans="1:8" s="429" customFormat="1" ht="10.5" customHeight="1">
      <c r="A6152" s="431"/>
      <c r="B6152" s="431"/>
      <c r="C6152" s="431"/>
      <c r="D6152" s="432"/>
      <c r="E6152" s="432"/>
      <c r="F6152" s="432"/>
      <c r="G6152" s="432"/>
      <c r="H6152" s="432"/>
    </row>
    <row r="6153" spans="1:8" s="429" customFormat="1" ht="10.5" customHeight="1">
      <c r="A6153" s="431"/>
      <c r="B6153" s="431"/>
      <c r="C6153" s="431"/>
      <c r="D6153" s="432"/>
      <c r="E6153" s="432"/>
      <c r="F6153" s="432"/>
      <c r="G6153" s="432"/>
      <c r="H6153" s="432"/>
    </row>
    <row r="6154" spans="1:8" s="429" customFormat="1" ht="11.25">
      <c r="A6154" s="431"/>
      <c r="B6154" s="431"/>
      <c r="C6154" s="431"/>
      <c r="D6154" s="432"/>
      <c r="E6154" s="432"/>
      <c r="F6154" s="432"/>
      <c r="G6154" s="432"/>
      <c r="H6154" s="432"/>
    </row>
    <row r="6155" spans="1:8" s="429" customFormat="1" ht="11.25">
      <c r="A6155" s="431"/>
      <c r="B6155" s="431"/>
      <c r="C6155" s="431"/>
      <c r="D6155" s="432"/>
      <c r="E6155" s="432"/>
      <c r="F6155" s="432"/>
      <c r="G6155" s="432"/>
      <c r="H6155" s="432"/>
    </row>
    <row r="6156" spans="1:8" s="422" customFormat="1" ht="8.25" customHeight="1"/>
    <row r="6157" spans="1:8" s="422" customFormat="1" ht="11.25"/>
    <row r="6158" spans="1:8" s="422" customFormat="1" ht="11.25">
      <c r="A6158" s="421" t="s">
        <v>591</v>
      </c>
      <c r="B6158" s="421"/>
      <c r="C6158" s="421"/>
    </row>
    <row r="6159" spans="1:8" s="429" customFormat="1" ht="11.25">
      <c r="A6159" s="428"/>
      <c r="B6159" s="428"/>
      <c r="C6159" s="428"/>
    </row>
    <row r="6160" spans="1:8" s="429" customFormat="1" ht="9.75" customHeight="1">
      <c r="A6160" s="428"/>
      <c r="B6160" s="428"/>
      <c r="C6160" s="428"/>
    </row>
    <row r="6161" spans="1:8" s="429" customFormat="1" ht="11.25">
      <c r="A6161" s="428"/>
      <c r="B6161" s="428"/>
      <c r="C6161" s="428"/>
    </row>
    <row r="6162" spans="1:8" s="429" customFormat="1" ht="11.25" hidden="1">
      <c r="A6162" s="428"/>
      <c r="B6162" s="428"/>
      <c r="C6162" s="428"/>
    </row>
    <row r="6163" spans="1:8" s="429" customFormat="1" ht="11.25" hidden="1">
      <c r="A6163" s="428"/>
      <c r="B6163" s="428"/>
      <c r="C6163" s="428"/>
    </row>
    <row r="6164" spans="1:8" s="429" customFormat="1" ht="69" customHeight="1">
      <c r="A6164" s="428"/>
      <c r="B6164" s="428"/>
      <c r="C6164" s="428"/>
    </row>
    <row r="6165" spans="1:8" s="422" customFormat="1" ht="11.25"/>
    <row r="6166" spans="1:8" s="422" customFormat="1" ht="11.25">
      <c r="A6166" s="433" t="s">
        <v>592</v>
      </c>
      <c r="B6166" s="434"/>
      <c r="C6166" s="434"/>
      <c r="D6166" s="434"/>
      <c r="E6166" s="434"/>
      <c r="F6166" s="434"/>
      <c r="G6166" s="434"/>
      <c r="H6166" s="434"/>
    </row>
    <row r="6167" spans="1:8" s="429" customFormat="1" ht="11.25">
      <c r="A6167" s="435"/>
      <c r="B6167" s="436"/>
      <c r="C6167" s="436"/>
      <c r="D6167" s="436"/>
      <c r="E6167" s="436"/>
      <c r="F6167" s="436"/>
      <c r="G6167" s="436"/>
      <c r="H6167" s="436"/>
    </row>
    <row r="6168" spans="1:8" s="429" customFormat="1" ht="1.5" customHeight="1">
      <c r="A6168" s="435"/>
      <c r="B6168" s="436"/>
      <c r="C6168" s="436"/>
      <c r="D6168" s="436"/>
      <c r="E6168" s="436"/>
      <c r="F6168" s="436"/>
      <c r="G6168" s="436"/>
      <c r="H6168" s="436"/>
    </row>
    <row r="6169" spans="1:8" s="422" customFormat="1" ht="11.25">
      <c r="A6169" s="437"/>
      <c r="B6169" s="437"/>
      <c r="C6169" s="437"/>
      <c r="D6169" s="437"/>
      <c r="E6169" s="437"/>
      <c r="F6169" s="437"/>
      <c r="G6169" s="437"/>
      <c r="H6169" s="437"/>
    </row>
    <row r="6170" spans="1:8" s="422" customFormat="1" ht="11.25">
      <c r="A6170" s="421" t="s">
        <v>593</v>
      </c>
      <c r="B6170" s="421"/>
      <c r="C6170" s="421"/>
    </row>
    <row r="6171" spans="1:8" s="422" customFormat="1" ht="11.25">
      <c r="A6171" s="438"/>
      <c r="B6171" s="439" t="s">
        <v>132</v>
      </c>
      <c r="C6171" s="439" t="s">
        <v>473</v>
      </c>
      <c r="D6171" s="439" t="s">
        <v>474</v>
      </c>
      <c r="E6171" s="439" t="s">
        <v>375</v>
      </c>
      <c r="F6171" s="439" t="s">
        <v>9</v>
      </c>
      <c r="G6171" s="439" t="s">
        <v>131</v>
      </c>
      <c r="H6171" s="439" t="s">
        <v>424</v>
      </c>
    </row>
    <row r="6172" spans="1:8" s="422" customFormat="1" ht="11.25">
      <c r="A6172" s="439" t="s">
        <v>394</v>
      </c>
      <c r="B6172" s="438">
        <v>6324955.9800000004</v>
      </c>
      <c r="C6172" s="438">
        <v>4050972.2099999995</v>
      </c>
      <c r="D6172" s="438">
        <v>5362413.8600000003</v>
      </c>
      <c r="E6172" s="438">
        <v>4612215.1557999998</v>
      </c>
      <c r="F6172" s="438">
        <v>4561757.4258000003</v>
      </c>
      <c r="G6172" s="438">
        <v>4366654.63992</v>
      </c>
      <c r="H6172" s="438">
        <v>4436424.4628199991</v>
      </c>
    </row>
    <row r="6173" spans="1:8" s="422" customFormat="1" ht="11.25">
      <c r="A6173" s="439" t="s">
        <v>395</v>
      </c>
      <c r="B6173" s="438">
        <v>-120698.85</v>
      </c>
      <c r="C6173" s="438">
        <v>-362643.66000000003</v>
      </c>
      <c r="D6173" s="438">
        <v>-985029.72</v>
      </c>
      <c r="E6173" s="438">
        <v>-113551</v>
      </c>
      <c r="F6173" s="438">
        <v>-113551</v>
      </c>
      <c r="G6173" s="438">
        <v>-13551</v>
      </c>
      <c r="H6173" s="438">
        <v>-13551</v>
      </c>
    </row>
    <row r="6174" spans="1:8" s="422" customFormat="1" ht="11.25">
      <c r="A6174" s="439" t="s">
        <v>396</v>
      </c>
      <c r="B6174" s="438">
        <v>6204257.1300000008</v>
      </c>
      <c r="C6174" s="438">
        <v>3688328.5499999993</v>
      </c>
      <c r="D6174" s="438">
        <v>4377384.1400000006</v>
      </c>
      <c r="E6174" s="438">
        <v>4498664.1557999998</v>
      </c>
      <c r="F6174" s="438">
        <v>4448206.4258000003</v>
      </c>
      <c r="G6174" s="438">
        <v>4353103.63992</v>
      </c>
      <c r="H6174" s="438">
        <v>4422873.4628199991</v>
      </c>
    </row>
    <row r="6175" spans="1:8" s="442" customFormat="1" ht="11.25">
      <c r="A6175" s="440" t="s">
        <v>397</v>
      </c>
      <c r="B6175" s="441">
        <v>1.9082954945719637E-2</v>
      </c>
      <c r="C6175" s="441">
        <v>8.9520154965466933E-2</v>
      </c>
      <c r="D6175" s="441">
        <v>0.18369147658439028</v>
      </c>
      <c r="E6175" s="441">
        <v>2.4619623361934056E-2</v>
      </c>
      <c r="F6175" s="441">
        <v>2.4891941723553274E-2</v>
      </c>
      <c r="G6175" s="441">
        <v>3.1032909898842521E-3</v>
      </c>
      <c r="H6175" s="441">
        <v>3.0544868088177367E-3</v>
      </c>
    </row>
    <row r="6176" spans="1:8" s="422" customFormat="1" ht="11.25"/>
    <row r="6177" spans="1:8" s="422" customFormat="1" ht="11.25">
      <c r="A6177" s="443" t="s">
        <v>594</v>
      </c>
      <c r="B6177" s="443"/>
      <c r="C6177" s="444"/>
    </row>
    <row r="6178" spans="1:8" s="422" customFormat="1" ht="11.25">
      <c r="A6178" s="445" t="s">
        <v>595</v>
      </c>
      <c r="B6178" s="446"/>
      <c r="C6178" s="447"/>
      <c r="D6178" s="439" t="s">
        <v>474</v>
      </c>
      <c r="E6178" s="439" t="s">
        <v>375</v>
      </c>
      <c r="F6178" s="439" t="s">
        <v>9</v>
      </c>
      <c r="G6178" s="439" t="s">
        <v>131</v>
      </c>
      <c r="H6178" s="439" t="s">
        <v>424</v>
      </c>
    </row>
    <row r="6179" spans="1:8" s="422" customFormat="1" ht="11.25">
      <c r="A6179" s="448" t="s">
        <v>1306</v>
      </c>
      <c r="B6179" s="449"/>
      <c r="C6179" s="449"/>
      <c r="D6179" s="438" t="s">
        <v>1307</v>
      </c>
      <c r="E6179" s="511" t="s">
        <v>1308</v>
      </c>
      <c r="F6179" s="511" t="s">
        <v>1308</v>
      </c>
      <c r="G6179" s="511" t="s">
        <v>1308</v>
      </c>
      <c r="H6179" s="511" t="s">
        <v>1308</v>
      </c>
    </row>
    <row r="6180" spans="1:8" s="422" customFormat="1" ht="11.25">
      <c r="A6180" s="448" t="s">
        <v>1309</v>
      </c>
      <c r="B6180" s="449"/>
      <c r="C6180" s="449"/>
      <c r="D6180" s="511" t="s">
        <v>1310</v>
      </c>
      <c r="E6180" s="511" t="s">
        <v>1310</v>
      </c>
      <c r="F6180" s="511" t="s">
        <v>1310</v>
      </c>
      <c r="G6180" s="511" t="s">
        <v>1310</v>
      </c>
      <c r="H6180" s="511" t="s">
        <v>1310</v>
      </c>
    </row>
    <row r="6181" spans="1:8" s="422" customFormat="1" ht="11.25">
      <c r="A6181" s="448"/>
      <c r="B6181" s="449"/>
      <c r="C6181" s="449"/>
      <c r="D6181" s="438"/>
      <c r="E6181" s="438"/>
      <c r="F6181" s="438"/>
      <c r="G6181" s="438"/>
      <c r="H6181" s="438"/>
    </row>
    <row r="6182" spans="1:8" s="422" customFormat="1" ht="11.25"/>
    <row r="6183" spans="1:8" s="422" customFormat="1" ht="11.25">
      <c r="A6183" s="421" t="s">
        <v>423</v>
      </c>
      <c r="B6183" s="421"/>
      <c r="C6183" s="421"/>
    </row>
    <row r="6184" spans="1:8" s="422" customFormat="1" ht="11.25">
      <c r="A6184" s="450"/>
      <c r="B6184" s="439" t="s">
        <v>132</v>
      </c>
      <c r="C6184" s="439" t="s">
        <v>473</v>
      </c>
      <c r="D6184" s="439" t="s">
        <v>474</v>
      </c>
      <c r="E6184" s="439" t="s">
        <v>375</v>
      </c>
      <c r="F6184" s="439" t="s">
        <v>9</v>
      </c>
      <c r="G6184" s="439" t="s">
        <v>131</v>
      </c>
      <c r="H6184" s="439" t="s">
        <v>424</v>
      </c>
    </row>
    <row r="6185" spans="1:8" s="422" customFormat="1" ht="11.25">
      <c r="A6185" s="451" t="s">
        <v>398</v>
      </c>
      <c r="B6185" s="438">
        <v>1025723.15</v>
      </c>
      <c r="C6185" s="438">
        <v>1377658.45</v>
      </c>
      <c r="D6185" s="438">
        <v>2265000</v>
      </c>
      <c r="E6185" s="438">
        <v>2510000</v>
      </c>
      <c r="F6185" s="438">
        <v>5795000</v>
      </c>
      <c r="G6185" s="438">
        <v>4960000</v>
      </c>
      <c r="H6185" s="438">
        <v>7335000</v>
      </c>
    </row>
    <row r="6186" spans="1:8" s="422" customFormat="1" ht="11.25">
      <c r="A6186" s="451" t="s">
        <v>399</v>
      </c>
      <c r="B6186" s="438">
        <v>0</v>
      </c>
      <c r="C6186" s="438">
        <v>0</v>
      </c>
      <c r="D6186" s="438">
        <v>35000</v>
      </c>
      <c r="E6186" s="438">
        <v>125000</v>
      </c>
      <c r="F6186" s="438">
        <v>145000</v>
      </c>
      <c r="G6186" s="438">
        <v>190000</v>
      </c>
      <c r="H6186" s="438">
        <v>535000</v>
      </c>
    </row>
    <row r="6187" spans="1:8" s="422" customFormat="1" ht="11.25">
      <c r="A6187" s="451" t="s">
        <v>400</v>
      </c>
      <c r="B6187" s="438">
        <v>-60500</v>
      </c>
      <c r="C6187" s="438">
        <v>-7500</v>
      </c>
      <c r="D6187" s="438">
        <v>-500000</v>
      </c>
      <c r="E6187" s="438">
        <v>-153000</v>
      </c>
      <c r="F6187" s="438">
        <v>-378000</v>
      </c>
      <c r="G6187" s="438">
        <v>-464000</v>
      </c>
      <c r="H6187" s="438">
        <v>-2800000</v>
      </c>
    </row>
    <row r="6188" spans="1:8" s="422" customFormat="1" ht="11.25">
      <c r="A6188" s="451" t="s">
        <v>401</v>
      </c>
      <c r="B6188" s="438">
        <v>965223.15</v>
      </c>
      <c r="C6188" s="438">
        <v>1370158.45</v>
      </c>
      <c r="D6188" s="438">
        <v>1800000</v>
      </c>
      <c r="E6188" s="438">
        <v>2482000</v>
      </c>
      <c r="F6188" s="438">
        <v>5562000</v>
      </c>
      <c r="G6188" s="438">
        <v>4686000</v>
      </c>
      <c r="H6188" s="438">
        <v>5070000</v>
      </c>
    </row>
    <row r="6189" spans="1:8" s="422" customFormat="1" ht="11.25"/>
    <row r="6190" spans="1:8" s="422" customFormat="1" ht="11.25">
      <c r="A6190" s="421" t="s">
        <v>597</v>
      </c>
      <c r="B6190" s="421"/>
      <c r="C6190" s="421"/>
    </row>
    <row r="6191" spans="1:8" s="429" customFormat="1" ht="11.25">
      <c r="A6191" s="428"/>
      <c r="B6191" s="428"/>
      <c r="C6191" s="428"/>
    </row>
    <row r="6192" spans="1:8" s="429" customFormat="1" ht="11.25">
      <c r="A6192" s="428"/>
      <c r="B6192" s="428"/>
      <c r="C6192" s="428"/>
    </row>
    <row r="6193" spans="1:8" s="429" customFormat="1" ht="11.25">
      <c r="A6193" s="428"/>
      <c r="B6193" s="428"/>
      <c r="C6193" s="428"/>
    </row>
    <row r="6194" spans="1:8" s="422" customFormat="1" ht="11.25"/>
    <row r="6195" spans="1:8" s="422" customFormat="1" ht="11.25">
      <c r="A6195" s="421" t="s">
        <v>598</v>
      </c>
      <c r="B6195" s="421"/>
      <c r="C6195" s="421"/>
    </row>
    <row r="6196" spans="1:8" s="422" customFormat="1" ht="11.25">
      <c r="A6196" s="452" t="s">
        <v>599</v>
      </c>
      <c r="B6196" s="447"/>
      <c r="C6196" s="447"/>
      <c r="D6196" s="447"/>
      <c r="E6196" s="439" t="s">
        <v>375</v>
      </c>
      <c r="F6196" s="439" t="s">
        <v>9</v>
      </c>
      <c r="G6196" s="439" t="s">
        <v>131</v>
      </c>
      <c r="H6196" s="439" t="s">
        <v>424</v>
      </c>
    </row>
    <row r="6197" spans="1:8" s="422" customFormat="1" ht="11.25">
      <c r="A6197" s="448" t="s">
        <v>468</v>
      </c>
      <c r="B6197" s="449"/>
      <c r="C6197" s="449"/>
      <c r="D6197" s="449"/>
      <c r="E6197" s="438">
        <v>0</v>
      </c>
      <c r="F6197" s="438">
        <v>0</v>
      </c>
      <c r="G6197" s="438">
        <v>318000</v>
      </c>
      <c r="H6197" s="438">
        <v>318000</v>
      </c>
    </row>
    <row r="6198" spans="1:8" s="421" customFormat="1" ht="11.25">
      <c r="A6198" s="421" t="s">
        <v>391</v>
      </c>
      <c r="D6198" s="421" t="s">
        <v>472</v>
      </c>
    </row>
    <row r="6199" spans="1:8" s="422" customFormat="1" ht="11.25"/>
    <row r="6200" spans="1:8" s="421" customFormat="1" ht="11.25" customHeight="1">
      <c r="A6200" s="423" t="s">
        <v>392</v>
      </c>
      <c r="D6200" s="421" t="s">
        <v>161</v>
      </c>
    </row>
    <row r="6201" spans="1:8" s="421" customFormat="1" ht="7.5" customHeight="1">
      <c r="A6201" s="423"/>
    </row>
    <row r="6202" spans="1:8" s="421" customFormat="1" ht="11.25">
      <c r="A6202" s="424" t="s">
        <v>393</v>
      </c>
      <c r="D6202" s="583" t="s">
        <v>1311</v>
      </c>
      <c r="E6202" s="583"/>
      <c r="F6202" s="583"/>
      <c r="G6202" s="583"/>
      <c r="H6202" s="583"/>
    </row>
    <row r="6203" spans="1:8" s="421" customFormat="1" ht="7.5" customHeight="1"/>
    <row r="6204" spans="1:8" s="422" customFormat="1" ht="11.25">
      <c r="A6204" s="421" t="s">
        <v>170</v>
      </c>
      <c r="B6204" s="421"/>
      <c r="C6204" s="421"/>
      <c r="D6204" s="422" t="s">
        <v>319</v>
      </c>
      <c r="E6204" s="422" t="s">
        <v>615</v>
      </c>
    </row>
    <row r="6205" spans="1:8" s="422" customFormat="1" ht="7.5" customHeight="1"/>
    <row r="6206" spans="1:8" s="427" customFormat="1" ht="11.25">
      <c r="A6206" s="425" t="s">
        <v>587</v>
      </c>
      <c r="B6206" s="425"/>
      <c r="C6206" s="425"/>
      <c r="D6206" s="426" t="s">
        <v>1312</v>
      </c>
      <c r="E6206" s="584" t="s">
        <v>655</v>
      </c>
      <c r="F6206" s="584"/>
      <c r="G6206" s="584"/>
      <c r="H6206" s="584"/>
    </row>
    <row r="6207" spans="1:8" s="427" customFormat="1" ht="11.25">
      <c r="A6207" s="425"/>
      <c r="B6207" s="425"/>
      <c r="C6207" s="425"/>
      <c r="D6207" s="426"/>
      <c r="E6207" s="584"/>
      <c r="F6207" s="584"/>
      <c r="G6207" s="584"/>
      <c r="H6207" s="584"/>
    </row>
    <row r="6208" spans="1:8" s="427" customFormat="1" ht="11.25"/>
    <row r="6209" spans="1:8" s="422" customFormat="1" ht="11.25"/>
    <row r="6210" spans="1:8" s="422" customFormat="1" ht="11.25">
      <c r="A6210" s="421" t="s">
        <v>589</v>
      </c>
      <c r="B6210" s="421"/>
      <c r="C6210" s="421"/>
    </row>
    <row r="6211" spans="1:8" s="429" customFormat="1" ht="11.25">
      <c r="A6211" s="428"/>
      <c r="B6211" s="428"/>
      <c r="C6211" s="428"/>
    </row>
    <row r="6212" spans="1:8" s="429" customFormat="1" ht="11.25">
      <c r="A6212" s="428"/>
      <c r="B6212" s="428"/>
      <c r="C6212" s="428"/>
    </row>
    <row r="6213" spans="1:8" s="429" customFormat="1" ht="11.25">
      <c r="A6213" s="428"/>
      <c r="B6213" s="428"/>
      <c r="C6213" s="428"/>
    </row>
    <row r="6214" spans="1:8" s="429" customFormat="1" ht="11.25">
      <c r="A6214" s="428"/>
      <c r="B6214" s="428"/>
      <c r="C6214" s="428"/>
    </row>
    <row r="6215" spans="1:8" s="429" customFormat="1" ht="11.25">
      <c r="A6215" s="428"/>
      <c r="B6215" s="428"/>
      <c r="C6215" s="428"/>
    </row>
    <row r="6216" spans="1:8" s="429" customFormat="1" ht="11.25">
      <c r="A6216" s="428"/>
      <c r="B6216" s="428"/>
      <c r="C6216" s="428"/>
    </row>
    <row r="6217" spans="1:8" s="422" customFormat="1" ht="9" customHeight="1">
      <c r="A6217" s="430"/>
      <c r="B6217" s="430"/>
      <c r="C6217" s="430"/>
      <c r="D6217" s="430"/>
      <c r="E6217" s="430"/>
      <c r="F6217" s="430"/>
      <c r="G6217" s="430"/>
      <c r="H6217" s="430"/>
    </row>
    <row r="6218" spans="1:8" s="422" customFormat="1" ht="22.5" customHeight="1">
      <c r="A6218" s="585" t="s">
        <v>590</v>
      </c>
      <c r="B6218" s="585"/>
      <c r="C6218" s="585"/>
      <c r="D6218" s="586"/>
      <c r="E6218" s="586"/>
      <c r="F6218" s="586"/>
      <c r="G6218" s="586"/>
      <c r="H6218" s="586"/>
    </row>
    <row r="6219" spans="1:8" s="429" customFormat="1" ht="11.25">
      <c r="A6219" s="431"/>
      <c r="B6219" s="431"/>
      <c r="C6219" s="431"/>
      <c r="D6219" s="432"/>
      <c r="E6219" s="432"/>
      <c r="F6219" s="432"/>
      <c r="G6219" s="432"/>
      <c r="H6219" s="432"/>
    </row>
    <row r="6220" spans="1:8" s="429" customFormat="1" ht="11.25">
      <c r="A6220" s="431"/>
      <c r="B6220" s="431"/>
      <c r="C6220" s="431"/>
      <c r="D6220" s="432"/>
      <c r="E6220" s="432"/>
      <c r="F6220" s="432"/>
      <c r="G6220" s="432"/>
      <c r="H6220" s="432"/>
    </row>
    <row r="6221" spans="1:8" s="429" customFormat="1" ht="11.25">
      <c r="A6221" s="431"/>
      <c r="B6221" s="431"/>
      <c r="C6221" s="431"/>
      <c r="D6221" s="432"/>
      <c r="E6221" s="432"/>
      <c r="F6221" s="432"/>
      <c r="G6221" s="432"/>
      <c r="H6221" s="432"/>
    </row>
    <row r="6222" spans="1:8" s="429" customFormat="1" ht="11.25">
      <c r="A6222" s="431"/>
      <c r="B6222" s="431"/>
      <c r="C6222" s="431"/>
      <c r="D6222" s="432"/>
      <c r="E6222" s="432"/>
      <c r="F6222" s="432"/>
      <c r="G6222" s="432"/>
      <c r="H6222" s="432"/>
    </row>
    <row r="6223" spans="1:8" s="422" customFormat="1" ht="9" customHeight="1"/>
    <row r="6224" spans="1:8" s="422" customFormat="1" ht="11.25">
      <c r="A6224" s="421" t="s">
        <v>591</v>
      </c>
      <c r="B6224" s="421"/>
      <c r="C6224" s="421"/>
    </row>
    <row r="6225" spans="1:8" s="429" customFormat="1" ht="11.25">
      <c r="A6225" s="428"/>
      <c r="B6225" s="428"/>
      <c r="C6225" s="428"/>
    </row>
    <row r="6226" spans="1:8" s="429" customFormat="1" ht="11.25">
      <c r="A6226" s="428"/>
      <c r="B6226" s="428"/>
      <c r="C6226" s="428"/>
    </row>
    <row r="6227" spans="1:8" s="429" customFormat="1" ht="11.25">
      <c r="A6227" s="428"/>
      <c r="B6227" s="428"/>
      <c r="C6227" s="428"/>
    </row>
    <row r="6228" spans="1:8" s="429" customFormat="1" ht="11.25">
      <c r="A6228" s="428"/>
      <c r="B6228" s="428"/>
      <c r="C6228" s="428"/>
    </row>
    <row r="6229" spans="1:8" s="429" customFormat="1" ht="11.25">
      <c r="A6229" s="428"/>
      <c r="B6229" s="428"/>
      <c r="C6229" s="428"/>
    </row>
    <row r="6230" spans="1:8" s="422" customFormat="1" ht="9" customHeight="1"/>
    <row r="6231" spans="1:8" s="422" customFormat="1" ht="11.25">
      <c r="A6231" s="433" t="s">
        <v>592</v>
      </c>
      <c r="B6231" s="434"/>
      <c r="C6231" s="434"/>
      <c r="D6231" s="434"/>
      <c r="E6231" s="434"/>
      <c r="F6231" s="434"/>
      <c r="G6231" s="434"/>
      <c r="H6231" s="434"/>
    </row>
    <row r="6232" spans="1:8" s="429" customFormat="1" ht="11.25">
      <c r="A6232" s="435"/>
      <c r="B6232" s="436"/>
      <c r="C6232" s="436"/>
      <c r="D6232" s="436"/>
      <c r="E6232" s="436"/>
      <c r="F6232" s="436"/>
      <c r="G6232" s="436"/>
      <c r="H6232" s="436"/>
    </row>
    <row r="6233" spans="1:8" s="429" customFormat="1" ht="11.25">
      <c r="A6233" s="435"/>
      <c r="B6233" s="436"/>
      <c r="C6233" s="436"/>
      <c r="D6233" s="436"/>
      <c r="E6233" s="436"/>
      <c r="F6233" s="436"/>
      <c r="G6233" s="436"/>
      <c r="H6233" s="436"/>
    </row>
    <row r="6234" spans="1:8" s="422" customFormat="1" ht="11.25">
      <c r="A6234" s="437"/>
      <c r="B6234" s="437"/>
      <c r="C6234" s="437"/>
      <c r="D6234" s="437"/>
      <c r="E6234" s="437"/>
      <c r="F6234" s="437"/>
      <c r="G6234" s="437"/>
      <c r="H6234" s="437"/>
    </row>
    <row r="6235" spans="1:8" s="422" customFormat="1" ht="11.25">
      <c r="A6235" s="421" t="s">
        <v>593</v>
      </c>
      <c r="B6235" s="421"/>
      <c r="C6235" s="421"/>
    </row>
    <row r="6236" spans="1:8" s="422" customFormat="1" ht="11.25">
      <c r="A6236" s="438"/>
      <c r="B6236" s="439" t="s">
        <v>132</v>
      </c>
      <c r="C6236" s="439" t="s">
        <v>473</v>
      </c>
      <c r="D6236" s="439" t="s">
        <v>474</v>
      </c>
      <c r="E6236" s="439" t="s">
        <v>375</v>
      </c>
      <c r="F6236" s="439" t="s">
        <v>9</v>
      </c>
      <c r="G6236" s="439" t="s">
        <v>131</v>
      </c>
      <c r="H6236" s="439" t="s">
        <v>424</v>
      </c>
    </row>
    <row r="6237" spans="1:8" s="422" customFormat="1" ht="11.25">
      <c r="A6237" s="439" t="s">
        <v>394</v>
      </c>
      <c r="B6237" s="438">
        <v>1105312.8800000001</v>
      </c>
      <c r="C6237" s="438">
        <v>1039147.2399999999</v>
      </c>
      <c r="D6237" s="438">
        <v>1175107.7800000003</v>
      </c>
      <c r="E6237" s="438">
        <v>1205862.548</v>
      </c>
      <c r="F6237" s="438">
        <v>1198229.2179999999</v>
      </c>
      <c r="G6237" s="438">
        <v>1209418.0571999999</v>
      </c>
      <c r="H6237" s="438">
        <v>1212785.7162000001</v>
      </c>
    </row>
    <row r="6238" spans="1:8" s="422" customFormat="1" ht="11.25">
      <c r="A6238" s="439" t="s">
        <v>395</v>
      </c>
      <c r="B6238" s="438">
        <v>-189935.1</v>
      </c>
      <c r="C6238" s="438">
        <v>-176940.75</v>
      </c>
      <c r="D6238" s="438">
        <v>-173561.96000000002</v>
      </c>
      <c r="E6238" s="438">
        <v>-173754.13</v>
      </c>
      <c r="F6238" s="438">
        <v>-173950.89</v>
      </c>
      <c r="G6238" s="438">
        <v>-174272.26</v>
      </c>
      <c r="H6238" s="438">
        <v>-174650.32</v>
      </c>
    </row>
    <row r="6239" spans="1:8" s="422" customFormat="1" ht="11.25">
      <c r="A6239" s="439" t="s">
        <v>396</v>
      </c>
      <c r="B6239" s="438">
        <v>915377.78000000014</v>
      </c>
      <c r="C6239" s="438">
        <v>862206.48999999987</v>
      </c>
      <c r="D6239" s="438">
        <v>1001545.8200000003</v>
      </c>
      <c r="E6239" s="438">
        <v>1032108.4179999999</v>
      </c>
      <c r="F6239" s="438">
        <v>1024278.3279999999</v>
      </c>
      <c r="G6239" s="438">
        <v>1035145.7971999999</v>
      </c>
      <c r="H6239" s="438">
        <v>1038135.3962000001</v>
      </c>
    </row>
    <row r="6240" spans="1:8" s="442" customFormat="1" ht="11.25">
      <c r="A6240" s="440" t="s">
        <v>397</v>
      </c>
      <c r="B6240" s="441">
        <v>0.17183831242426126</v>
      </c>
      <c r="C6240" s="441">
        <v>0.1702749554528962</v>
      </c>
      <c r="D6240" s="441">
        <v>0.14769875832155582</v>
      </c>
      <c r="E6240" s="441">
        <v>0.14409115722864296</v>
      </c>
      <c r="F6240" s="441">
        <v>0.14517330022242875</v>
      </c>
      <c r="G6240" s="441">
        <v>0.14409596331269331</v>
      </c>
      <c r="H6240" s="441">
        <v>0.14400756676721815</v>
      </c>
    </row>
    <row r="6241" spans="1:8" s="422" customFormat="1" ht="11.25"/>
    <row r="6242" spans="1:8" s="422" customFormat="1" ht="11.25">
      <c r="A6242" s="443" t="s">
        <v>594</v>
      </c>
      <c r="B6242" s="443"/>
      <c r="C6242" s="444"/>
    </row>
    <row r="6243" spans="1:8" s="422" customFormat="1" ht="11.25">
      <c r="A6243" s="445" t="s">
        <v>595</v>
      </c>
      <c r="B6243" s="446"/>
      <c r="C6243" s="447"/>
      <c r="D6243" s="439" t="s">
        <v>474</v>
      </c>
      <c r="E6243" s="439" t="s">
        <v>375</v>
      </c>
      <c r="F6243" s="439" t="s">
        <v>9</v>
      </c>
      <c r="G6243" s="439" t="s">
        <v>131</v>
      </c>
      <c r="H6243" s="439" t="s">
        <v>424</v>
      </c>
    </row>
    <row r="6244" spans="1:8" s="422" customFormat="1" ht="11.25">
      <c r="A6244" s="448" t="s">
        <v>596</v>
      </c>
      <c r="B6244" s="449"/>
      <c r="C6244" s="449"/>
      <c r="D6244" s="438"/>
      <c r="E6244" s="438"/>
      <c r="F6244" s="438"/>
      <c r="G6244" s="438"/>
      <c r="H6244" s="438"/>
    </row>
    <row r="6245" spans="1:8" s="422" customFormat="1" ht="11.25">
      <c r="A6245" s="448"/>
      <c r="B6245" s="449"/>
      <c r="C6245" s="449"/>
      <c r="D6245" s="438"/>
      <c r="E6245" s="438"/>
      <c r="F6245" s="438"/>
      <c r="G6245" s="438"/>
      <c r="H6245" s="438"/>
    </row>
    <row r="6246" spans="1:8" s="422" customFormat="1" ht="11.25">
      <c r="A6246" s="448"/>
      <c r="B6246" s="449"/>
      <c r="C6246" s="449"/>
      <c r="D6246" s="438"/>
      <c r="E6246" s="438"/>
      <c r="F6246" s="438"/>
      <c r="G6246" s="438"/>
      <c r="H6246" s="438"/>
    </row>
    <row r="6247" spans="1:8" s="422" customFormat="1" ht="11.25"/>
    <row r="6248" spans="1:8" s="422" customFormat="1" ht="11.25">
      <c r="A6248" s="421" t="s">
        <v>423</v>
      </c>
      <c r="B6248" s="421"/>
      <c r="C6248" s="421"/>
    </row>
    <row r="6249" spans="1:8" s="422" customFormat="1" ht="11.25">
      <c r="A6249" s="450"/>
      <c r="B6249" s="439" t="s">
        <v>132</v>
      </c>
      <c r="C6249" s="439" t="s">
        <v>473</v>
      </c>
      <c r="D6249" s="439" t="s">
        <v>474</v>
      </c>
      <c r="E6249" s="439" t="s">
        <v>375</v>
      </c>
      <c r="F6249" s="439" t="s">
        <v>9</v>
      </c>
      <c r="G6249" s="439" t="s">
        <v>131</v>
      </c>
      <c r="H6249" s="439" t="s">
        <v>424</v>
      </c>
    </row>
    <row r="6250" spans="1:8" s="422" customFormat="1" ht="11.25">
      <c r="A6250" s="451" t="s">
        <v>398</v>
      </c>
      <c r="B6250" s="438">
        <v>2690</v>
      </c>
      <c r="C6250" s="438">
        <v>55460.65</v>
      </c>
      <c r="D6250" s="438">
        <v>0</v>
      </c>
      <c r="E6250" s="438">
        <v>0</v>
      </c>
      <c r="F6250" s="438">
        <v>0</v>
      </c>
      <c r="G6250" s="438">
        <v>0</v>
      </c>
      <c r="H6250" s="438">
        <v>0</v>
      </c>
    </row>
    <row r="6251" spans="1:8" s="422" customFormat="1" ht="11.25">
      <c r="A6251" s="451" t="s">
        <v>399</v>
      </c>
      <c r="B6251" s="438">
        <v>0</v>
      </c>
      <c r="C6251" s="438">
        <v>0</v>
      </c>
      <c r="D6251" s="438">
        <v>0</v>
      </c>
      <c r="E6251" s="438">
        <v>0</v>
      </c>
      <c r="F6251" s="438">
        <v>0</v>
      </c>
      <c r="G6251" s="438">
        <v>0</v>
      </c>
      <c r="H6251" s="438">
        <v>0</v>
      </c>
    </row>
    <row r="6252" spans="1:8" s="422" customFormat="1" ht="11.25">
      <c r="A6252" s="451" t="s">
        <v>400</v>
      </c>
      <c r="B6252" s="438">
        <v>0</v>
      </c>
      <c r="C6252" s="438">
        <v>0</v>
      </c>
      <c r="D6252" s="438">
        <v>0</v>
      </c>
      <c r="E6252" s="438">
        <v>0</v>
      </c>
      <c r="F6252" s="438">
        <v>0</v>
      </c>
      <c r="G6252" s="438">
        <v>0</v>
      </c>
      <c r="H6252" s="438">
        <v>0</v>
      </c>
    </row>
    <row r="6253" spans="1:8" s="422" customFormat="1" ht="11.25">
      <c r="A6253" s="451" t="s">
        <v>401</v>
      </c>
      <c r="B6253" s="438">
        <v>2690</v>
      </c>
      <c r="C6253" s="438">
        <v>55460.65</v>
      </c>
      <c r="D6253" s="438">
        <v>0</v>
      </c>
      <c r="E6253" s="438">
        <v>0</v>
      </c>
      <c r="F6253" s="438">
        <v>0</v>
      </c>
      <c r="G6253" s="438">
        <v>0</v>
      </c>
      <c r="H6253" s="438">
        <v>0</v>
      </c>
    </row>
    <row r="6254" spans="1:8" s="422" customFormat="1" ht="11.25"/>
    <row r="6255" spans="1:8" s="422" customFormat="1" ht="11.25">
      <c r="A6255" s="421" t="s">
        <v>597</v>
      </c>
      <c r="B6255" s="421"/>
      <c r="C6255" s="421"/>
    </row>
    <row r="6256" spans="1:8" s="429" customFormat="1" ht="11.25">
      <c r="A6256" s="428"/>
      <c r="B6256" s="428"/>
      <c r="C6256" s="428"/>
    </row>
    <row r="6257" spans="1:8" s="429" customFormat="1" ht="11.25">
      <c r="A6257" s="428"/>
      <c r="B6257" s="428"/>
      <c r="C6257" s="428"/>
    </row>
    <row r="6258" spans="1:8" s="429" customFormat="1" ht="11.25">
      <c r="A6258" s="428"/>
      <c r="B6258" s="428"/>
      <c r="C6258" s="428"/>
    </row>
    <row r="6259" spans="1:8" s="422" customFormat="1" ht="11.25"/>
    <row r="6260" spans="1:8" s="422" customFormat="1" ht="11.25">
      <c r="A6260" s="421" t="s">
        <v>598</v>
      </c>
      <c r="B6260" s="421"/>
      <c r="C6260" s="421"/>
    </row>
    <row r="6261" spans="1:8" s="422" customFormat="1" ht="11.25">
      <c r="A6261" s="452" t="s">
        <v>599</v>
      </c>
      <c r="B6261" s="447"/>
      <c r="C6261" s="447"/>
      <c r="D6261" s="447"/>
      <c r="E6261" s="439" t="s">
        <v>375</v>
      </c>
      <c r="F6261" s="439" t="s">
        <v>9</v>
      </c>
      <c r="G6261" s="439" t="s">
        <v>131</v>
      </c>
      <c r="H6261" s="439" t="s">
        <v>424</v>
      </c>
    </row>
    <row r="6262" spans="1:8" s="422" customFormat="1" ht="11.25">
      <c r="A6262" s="448"/>
      <c r="B6262" s="449"/>
      <c r="C6262" s="449"/>
      <c r="D6262" s="449"/>
      <c r="E6262" s="438">
        <v>0</v>
      </c>
      <c r="F6262" s="438">
        <v>0</v>
      </c>
      <c r="G6262" s="438">
        <v>0</v>
      </c>
      <c r="H6262" s="438">
        <v>0</v>
      </c>
    </row>
    <row r="6263" spans="1:8" s="422" customFormat="1" ht="11.25">
      <c r="A6263" s="448"/>
      <c r="B6263" s="449"/>
      <c r="C6263" s="449"/>
      <c r="D6263" s="449"/>
      <c r="E6263" s="438">
        <v>0</v>
      </c>
      <c r="F6263" s="438">
        <v>0</v>
      </c>
      <c r="G6263" s="438">
        <v>0</v>
      </c>
      <c r="H6263" s="438">
        <v>0</v>
      </c>
    </row>
    <row r="6264" spans="1:8" s="422" customFormat="1" ht="11.25">
      <c r="A6264" s="448"/>
      <c r="B6264" s="449"/>
      <c r="C6264" s="449"/>
      <c r="D6264" s="449"/>
      <c r="E6264" s="438">
        <v>0</v>
      </c>
      <c r="F6264" s="438">
        <v>0</v>
      </c>
      <c r="G6264" s="438">
        <v>0</v>
      </c>
      <c r="H6264" s="438">
        <v>0</v>
      </c>
    </row>
    <row r="6265" spans="1:8" s="421" customFormat="1" ht="11.25">
      <c r="A6265" s="421" t="s">
        <v>391</v>
      </c>
      <c r="D6265" s="421" t="s">
        <v>472</v>
      </c>
    </row>
    <row r="6266" spans="1:8" s="422" customFormat="1" ht="11.25"/>
    <row r="6267" spans="1:8" s="421" customFormat="1" ht="11.25" customHeight="1">
      <c r="A6267" s="423" t="s">
        <v>392</v>
      </c>
      <c r="D6267" s="421" t="s">
        <v>161</v>
      </c>
    </row>
    <row r="6268" spans="1:8" s="421" customFormat="1" ht="7.5" customHeight="1">
      <c r="A6268" s="423"/>
    </row>
    <row r="6269" spans="1:8" s="421" customFormat="1" ht="11.25">
      <c r="A6269" s="424" t="s">
        <v>393</v>
      </c>
      <c r="D6269" s="583" t="s">
        <v>1311</v>
      </c>
      <c r="E6269" s="583"/>
      <c r="F6269" s="583"/>
      <c r="G6269" s="583"/>
      <c r="H6269" s="583"/>
    </row>
    <row r="6270" spans="1:8" s="421" customFormat="1" ht="7.5" customHeight="1"/>
    <row r="6271" spans="1:8" s="422" customFormat="1" ht="11.25">
      <c r="A6271" s="421" t="s">
        <v>170</v>
      </c>
      <c r="B6271" s="421"/>
      <c r="C6271" s="421"/>
      <c r="D6271" s="422" t="s">
        <v>361</v>
      </c>
      <c r="E6271" s="422" t="s">
        <v>1313</v>
      </c>
    </row>
    <row r="6272" spans="1:8" s="422" customFormat="1" ht="7.5" customHeight="1"/>
    <row r="6273" spans="1:8" s="427" customFormat="1" ht="11.25">
      <c r="A6273" s="425" t="s">
        <v>587</v>
      </c>
      <c r="B6273" s="425"/>
      <c r="C6273" s="425"/>
      <c r="D6273" s="426" t="s">
        <v>1314</v>
      </c>
      <c r="E6273" s="584" t="s">
        <v>1315</v>
      </c>
      <c r="F6273" s="584"/>
      <c r="G6273" s="584"/>
      <c r="H6273" s="584"/>
    </row>
    <row r="6274" spans="1:8" s="427" customFormat="1" ht="11.25">
      <c r="A6274" s="425"/>
      <c r="B6274" s="425"/>
      <c r="C6274" s="425"/>
      <c r="D6274" s="426" t="s">
        <v>1316</v>
      </c>
      <c r="E6274" s="584" t="s">
        <v>1317</v>
      </c>
      <c r="F6274" s="584"/>
      <c r="G6274" s="584"/>
      <c r="H6274" s="584"/>
    </row>
    <row r="6275" spans="1:8" s="427" customFormat="1" ht="11.25">
      <c r="A6275" s="425"/>
      <c r="B6275" s="425"/>
      <c r="C6275" s="425"/>
      <c r="D6275" s="426"/>
      <c r="E6275" s="584"/>
      <c r="F6275" s="584"/>
      <c r="G6275" s="584"/>
      <c r="H6275" s="584"/>
    </row>
    <row r="6276" spans="1:8" s="427" customFormat="1" ht="11.25"/>
    <row r="6277" spans="1:8" s="422" customFormat="1" ht="11.25"/>
    <row r="6278" spans="1:8" s="422" customFormat="1" ht="11.25">
      <c r="A6278" s="421" t="s">
        <v>589</v>
      </c>
      <c r="B6278" s="421"/>
      <c r="C6278" s="421"/>
    </row>
    <row r="6279" spans="1:8" s="429" customFormat="1" ht="11.25">
      <c r="A6279" s="428"/>
      <c r="B6279" s="428"/>
      <c r="C6279" s="428"/>
    </row>
    <row r="6280" spans="1:8" s="429" customFormat="1" ht="11.25">
      <c r="A6280" s="428"/>
      <c r="B6280" s="428"/>
      <c r="C6280" s="428"/>
    </row>
    <row r="6281" spans="1:8" s="429" customFormat="1" ht="11.25">
      <c r="A6281" s="428"/>
      <c r="B6281" s="428"/>
      <c r="C6281" s="428"/>
    </row>
    <row r="6282" spans="1:8" s="429" customFormat="1" ht="11.25">
      <c r="A6282" s="428"/>
      <c r="B6282" s="428"/>
      <c r="C6282" s="428"/>
    </row>
    <row r="6283" spans="1:8" s="429" customFormat="1" ht="11.25">
      <c r="A6283" s="428"/>
      <c r="B6283" s="428"/>
      <c r="C6283" s="428"/>
    </row>
    <row r="6284" spans="1:8" s="429" customFormat="1" ht="11.25">
      <c r="A6284" s="428"/>
      <c r="B6284" s="428"/>
      <c r="C6284" s="428"/>
    </row>
    <row r="6285" spans="1:8" s="422" customFormat="1" ht="9" customHeight="1">
      <c r="A6285" s="430"/>
      <c r="B6285" s="430"/>
      <c r="C6285" s="430"/>
      <c r="D6285" s="430"/>
      <c r="E6285" s="430"/>
      <c r="F6285" s="430"/>
      <c r="G6285" s="430"/>
      <c r="H6285" s="430"/>
    </row>
    <row r="6286" spans="1:8" s="422" customFormat="1" ht="22.5" customHeight="1">
      <c r="A6286" s="585" t="s">
        <v>590</v>
      </c>
      <c r="B6286" s="585"/>
      <c r="C6286" s="585"/>
      <c r="D6286" s="586"/>
      <c r="E6286" s="586"/>
      <c r="F6286" s="586"/>
      <c r="G6286" s="586"/>
      <c r="H6286" s="586"/>
    </row>
    <row r="6287" spans="1:8" s="429" customFormat="1" ht="11.25">
      <c r="A6287" s="431"/>
      <c r="B6287" s="431"/>
      <c r="C6287" s="431"/>
      <c r="D6287" s="432"/>
      <c r="E6287" s="432"/>
      <c r="F6287" s="432"/>
      <c r="G6287" s="432"/>
      <c r="H6287" s="432"/>
    </row>
    <row r="6288" spans="1:8" s="429" customFormat="1" ht="11.25">
      <c r="A6288" s="431"/>
      <c r="B6288" s="431"/>
      <c r="C6288" s="431"/>
      <c r="D6288" s="432"/>
      <c r="E6288" s="432"/>
      <c r="F6288" s="432"/>
      <c r="G6288" s="432"/>
      <c r="H6288" s="432"/>
    </row>
    <row r="6289" spans="1:8" s="429" customFormat="1" ht="11.25">
      <c r="A6289" s="431"/>
      <c r="B6289" s="431"/>
      <c r="C6289" s="431"/>
      <c r="D6289" s="432"/>
      <c r="E6289" s="432"/>
      <c r="F6289" s="432"/>
      <c r="G6289" s="432"/>
      <c r="H6289" s="432"/>
    </row>
    <row r="6290" spans="1:8" s="429" customFormat="1" ht="25.5" customHeight="1">
      <c r="A6290" s="431"/>
      <c r="B6290" s="431"/>
      <c r="C6290" s="431"/>
      <c r="D6290" s="432"/>
      <c r="E6290" s="432"/>
      <c r="F6290" s="432"/>
      <c r="G6290" s="432"/>
      <c r="H6290" s="432"/>
    </row>
    <row r="6291" spans="1:8" s="422" customFormat="1" ht="9" customHeight="1"/>
    <row r="6292" spans="1:8" s="422" customFormat="1" ht="11.25">
      <c r="A6292" s="421" t="s">
        <v>591</v>
      </c>
      <c r="B6292" s="421"/>
      <c r="C6292" s="421"/>
    </row>
    <row r="6293" spans="1:8" s="429" customFormat="1" ht="11.25">
      <c r="A6293" s="428"/>
      <c r="B6293" s="428"/>
      <c r="C6293" s="428"/>
    </row>
    <row r="6294" spans="1:8" s="429" customFormat="1" ht="11.25">
      <c r="A6294" s="428"/>
      <c r="B6294" s="428"/>
      <c r="C6294" s="428"/>
    </row>
    <row r="6295" spans="1:8" s="429" customFormat="1" ht="11.25">
      <c r="A6295" s="428"/>
      <c r="B6295" s="428"/>
      <c r="C6295" s="428"/>
    </row>
    <row r="6296" spans="1:8" s="429" customFormat="1" ht="11.25">
      <c r="A6296" s="428"/>
      <c r="B6296" s="428"/>
      <c r="C6296" s="428"/>
    </row>
    <row r="6297" spans="1:8" s="429" customFormat="1" ht="21" customHeight="1">
      <c r="A6297" s="428"/>
      <c r="B6297" s="428"/>
      <c r="C6297" s="428"/>
    </row>
    <row r="6298" spans="1:8" s="422" customFormat="1" ht="9" customHeight="1"/>
    <row r="6299" spans="1:8" s="422" customFormat="1" ht="11.25">
      <c r="A6299" s="433" t="s">
        <v>592</v>
      </c>
      <c r="B6299" s="434"/>
      <c r="C6299" s="434"/>
      <c r="D6299" s="434"/>
      <c r="E6299" s="434"/>
      <c r="F6299" s="434"/>
      <c r="G6299" s="434"/>
      <c r="H6299" s="434"/>
    </row>
    <row r="6300" spans="1:8" s="429" customFormat="1" ht="11.25">
      <c r="A6300" s="435"/>
      <c r="B6300" s="436"/>
      <c r="C6300" s="436"/>
      <c r="D6300" s="436"/>
      <c r="E6300" s="436"/>
      <c r="F6300" s="436"/>
      <c r="G6300" s="436"/>
      <c r="H6300" s="436"/>
    </row>
    <row r="6301" spans="1:8" s="429" customFormat="1" ht="11.25">
      <c r="A6301" s="435"/>
      <c r="B6301" s="436"/>
      <c r="C6301" s="436"/>
      <c r="D6301" s="436"/>
      <c r="E6301" s="436"/>
      <c r="F6301" s="436"/>
      <c r="G6301" s="436"/>
      <c r="H6301" s="436"/>
    </row>
    <row r="6302" spans="1:8" s="422" customFormat="1" ht="11.25">
      <c r="A6302" s="437"/>
      <c r="B6302" s="437"/>
      <c r="C6302" s="437"/>
      <c r="D6302" s="437"/>
      <c r="E6302" s="437"/>
      <c r="F6302" s="437"/>
      <c r="G6302" s="437"/>
      <c r="H6302" s="437"/>
    </row>
    <row r="6303" spans="1:8" s="422" customFormat="1" ht="11.25">
      <c r="A6303" s="437"/>
      <c r="B6303" s="437"/>
      <c r="C6303" s="437"/>
      <c r="D6303" s="437"/>
      <c r="E6303" s="437"/>
      <c r="F6303" s="437"/>
      <c r="G6303" s="437"/>
      <c r="H6303" s="437"/>
    </row>
    <row r="6304" spans="1:8" s="422" customFormat="1" ht="11.25">
      <c r="A6304" s="421" t="s">
        <v>593</v>
      </c>
      <c r="B6304" s="421"/>
      <c r="C6304" s="421"/>
    </row>
    <row r="6305" spans="1:8" s="422" customFormat="1" ht="11.25">
      <c r="A6305" s="438"/>
      <c r="B6305" s="439" t="s">
        <v>132</v>
      </c>
      <c r="C6305" s="439" t="s">
        <v>473</v>
      </c>
      <c r="D6305" s="439" t="s">
        <v>474</v>
      </c>
      <c r="E6305" s="439" t="s">
        <v>375</v>
      </c>
      <c r="F6305" s="439" t="s">
        <v>9</v>
      </c>
      <c r="G6305" s="439" t="s">
        <v>131</v>
      </c>
      <c r="H6305" s="439" t="s">
        <v>424</v>
      </c>
    </row>
    <row r="6306" spans="1:8" s="422" customFormat="1" ht="11.25">
      <c r="A6306" s="439" t="s">
        <v>394</v>
      </c>
      <c r="B6306" s="438">
        <v>514028.38</v>
      </c>
      <c r="C6306" s="438">
        <v>509631.09</v>
      </c>
      <c r="D6306" s="438">
        <v>613624.02</v>
      </c>
      <c r="E6306" s="438">
        <v>602018.18200000003</v>
      </c>
      <c r="F6306" s="438">
        <v>602018.18200000003</v>
      </c>
      <c r="G6306" s="438">
        <v>608466.31880000001</v>
      </c>
      <c r="H6306" s="438">
        <v>610769.22479999997</v>
      </c>
    </row>
    <row r="6307" spans="1:8" s="422" customFormat="1" ht="11.25">
      <c r="A6307" s="439" t="s">
        <v>395</v>
      </c>
      <c r="B6307" s="438">
        <v>-302869.98</v>
      </c>
      <c r="C6307" s="438">
        <v>-301077.7</v>
      </c>
      <c r="D6307" s="438">
        <v>-265907.59999999998</v>
      </c>
      <c r="E6307" s="438">
        <v>-198980</v>
      </c>
      <c r="F6307" s="438">
        <v>-118980</v>
      </c>
      <c r="G6307" s="438">
        <v>-118980</v>
      </c>
      <c r="H6307" s="438">
        <v>-118980</v>
      </c>
    </row>
    <row r="6308" spans="1:8" s="422" customFormat="1" ht="11.25">
      <c r="A6308" s="439" t="s">
        <v>396</v>
      </c>
      <c r="B6308" s="438">
        <v>211158.40000000002</v>
      </c>
      <c r="C6308" s="438">
        <v>208553.39</v>
      </c>
      <c r="D6308" s="438">
        <v>347716.42000000004</v>
      </c>
      <c r="E6308" s="438">
        <v>403038.18200000003</v>
      </c>
      <c r="F6308" s="438">
        <v>483038.18200000003</v>
      </c>
      <c r="G6308" s="438">
        <v>489486.31880000001</v>
      </c>
      <c r="H6308" s="438">
        <v>491789.22479999997</v>
      </c>
    </row>
    <row r="6309" spans="1:8" s="442" customFormat="1" ht="11.25">
      <c r="A6309" s="440" t="s">
        <v>397</v>
      </c>
      <c r="B6309" s="441">
        <v>0.58920867365338847</v>
      </c>
      <c r="C6309" s="441">
        <v>0.59077577076390686</v>
      </c>
      <c r="D6309" s="441">
        <v>0.43333962057091568</v>
      </c>
      <c r="E6309" s="441">
        <v>0.33052157883165062</v>
      </c>
      <c r="F6309" s="441">
        <v>0.19763522690416016</v>
      </c>
      <c r="G6309" s="441">
        <v>0.19554081520017241</v>
      </c>
      <c r="H6309" s="441">
        <v>0.19480352835223599</v>
      </c>
    </row>
    <row r="6310" spans="1:8" s="422" customFormat="1" ht="11.25"/>
    <row r="6311" spans="1:8" s="422" customFormat="1" ht="11.25">
      <c r="A6311" s="443" t="s">
        <v>594</v>
      </c>
      <c r="B6311" s="443"/>
      <c r="C6311" s="444"/>
    </row>
    <row r="6312" spans="1:8" s="422" customFormat="1" ht="11.25">
      <c r="A6312" s="445" t="s">
        <v>595</v>
      </c>
      <c r="B6312" s="446"/>
      <c r="C6312" s="447"/>
      <c r="D6312" s="439" t="s">
        <v>474</v>
      </c>
      <c r="E6312" s="439" t="s">
        <v>375</v>
      </c>
      <c r="F6312" s="439" t="s">
        <v>9</v>
      </c>
      <c r="G6312" s="439" t="s">
        <v>131</v>
      </c>
      <c r="H6312" s="439" t="s">
        <v>424</v>
      </c>
    </row>
    <row r="6313" spans="1:8" s="422" customFormat="1" ht="11.25">
      <c r="A6313" s="448" t="s">
        <v>1318</v>
      </c>
      <c r="B6313" s="449"/>
      <c r="C6313" s="449"/>
      <c r="D6313" s="438">
        <v>100</v>
      </c>
      <c r="E6313" s="438">
        <v>100</v>
      </c>
      <c r="F6313" s="438">
        <v>100</v>
      </c>
      <c r="G6313" s="438">
        <v>100</v>
      </c>
      <c r="H6313" s="438">
        <v>100</v>
      </c>
    </row>
    <row r="6314" spans="1:8" s="422" customFormat="1" ht="11.25">
      <c r="A6314" s="448"/>
      <c r="B6314" s="449"/>
      <c r="C6314" s="449"/>
      <c r="D6314" s="438"/>
      <c r="E6314" s="438"/>
      <c r="F6314" s="438"/>
      <c r="G6314" s="438"/>
      <c r="H6314" s="438"/>
    </row>
    <row r="6315" spans="1:8" s="422" customFormat="1" ht="11.25">
      <c r="A6315" s="448"/>
      <c r="B6315" s="449"/>
      <c r="C6315" s="449"/>
      <c r="D6315" s="438"/>
      <c r="E6315" s="438"/>
      <c r="F6315" s="438"/>
      <c r="G6315" s="438"/>
      <c r="H6315" s="438"/>
    </row>
    <row r="6316" spans="1:8" s="422" customFormat="1" ht="11.25"/>
    <row r="6317" spans="1:8" s="422" customFormat="1" ht="11.25">
      <c r="A6317" s="421" t="s">
        <v>423</v>
      </c>
      <c r="B6317" s="421"/>
      <c r="C6317" s="421"/>
    </row>
    <row r="6318" spans="1:8" s="422" customFormat="1" ht="11.25">
      <c r="A6318" s="450"/>
      <c r="B6318" s="439" t="s">
        <v>132</v>
      </c>
      <c r="C6318" s="439" t="s">
        <v>473</v>
      </c>
      <c r="D6318" s="439" t="s">
        <v>474</v>
      </c>
      <c r="E6318" s="439" t="s">
        <v>375</v>
      </c>
      <c r="F6318" s="439" t="s">
        <v>9</v>
      </c>
      <c r="G6318" s="439" t="s">
        <v>131</v>
      </c>
      <c r="H6318" s="439" t="s">
        <v>424</v>
      </c>
    </row>
    <row r="6319" spans="1:8" s="422" customFormat="1" ht="11.25">
      <c r="A6319" s="451" t="s">
        <v>398</v>
      </c>
      <c r="B6319" s="438">
        <v>0</v>
      </c>
      <c r="C6319" s="438">
        <v>0</v>
      </c>
      <c r="D6319" s="438">
        <v>0</v>
      </c>
      <c r="E6319" s="438">
        <v>0</v>
      </c>
      <c r="F6319" s="438">
        <v>0</v>
      </c>
      <c r="G6319" s="438">
        <v>0</v>
      </c>
      <c r="H6319" s="438">
        <v>0</v>
      </c>
    </row>
    <row r="6320" spans="1:8" s="422" customFormat="1" ht="11.25">
      <c r="A6320" s="451" t="s">
        <v>399</v>
      </c>
      <c r="B6320" s="438">
        <v>0</v>
      </c>
      <c r="C6320" s="438">
        <v>0</v>
      </c>
      <c r="D6320" s="438">
        <v>0</v>
      </c>
      <c r="E6320" s="438">
        <v>0</v>
      </c>
      <c r="F6320" s="438">
        <v>0</v>
      </c>
      <c r="G6320" s="438">
        <v>0</v>
      </c>
      <c r="H6320" s="438">
        <v>0</v>
      </c>
    </row>
    <row r="6321" spans="1:8" s="422" customFormat="1" ht="11.25">
      <c r="A6321" s="451" t="s">
        <v>400</v>
      </c>
      <c r="B6321" s="438">
        <v>0</v>
      </c>
      <c r="C6321" s="438">
        <v>0</v>
      </c>
      <c r="D6321" s="438">
        <v>0</v>
      </c>
      <c r="E6321" s="438">
        <v>0</v>
      </c>
      <c r="F6321" s="438">
        <v>0</v>
      </c>
      <c r="G6321" s="438">
        <v>0</v>
      </c>
      <c r="H6321" s="438">
        <v>0</v>
      </c>
    </row>
    <row r="6322" spans="1:8" s="422" customFormat="1" ht="11.25">
      <c r="A6322" s="451" t="s">
        <v>401</v>
      </c>
      <c r="B6322" s="438">
        <v>0</v>
      </c>
      <c r="C6322" s="438">
        <v>0</v>
      </c>
      <c r="D6322" s="438">
        <v>0</v>
      </c>
      <c r="E6322" s="438">
        <v>0</v>
      </c>
      <c r="F6322" s="438">
        <v>0</v>
      </c>
      <c r="G6322" s="438">
        <v>0</v>
      </c>
      <c r="H6322" s="438">
        <v>0</v>
      </c>
    </row>
    <row r="6323" spans="1:8" s="422" customFormat="1" ht="11.25"/>
    <row r="6324" spans="1:8" s="422" customFormat="1" ht="11.25">
      <c r="A6324" s="421" t="s">
        <v>597</v>
      </c>
      <c r="B6324" s="421"/>
      <c r="C6324" s="421"/>
    </row>
    <row r="6325" spans="1:8" s="429" customFormat="1" ht="11.25">
      <c r="A6325" s="428"/>
      <c r="B6325" s="428"/>
      <c r="C6325" s="428"/>
    </row>
    <row r="6326" spans="1:8" s="429" customFormat="1" ht="11.25">
      <c r="A6326" s="428"/>
      <c r="B6326" s="428"/>
      <c r="C6326" s="428"/>
    </row>
    <row r="6327" spans="1:8" s="429" customFormat="1" ht="11.25">
      <c r="A6327" s="428"/>
      <c r="B6327" s="428"/>
      <c r="C6327" s="428"/>
    </row>
    <row r="6328" spans="1:8" s="422" customFormat="1" ht="11.25"/>
    <row r="6329" spans="1:8" s="422" customFormat="1" ht="11.25">
      <c r="A6329" s="421" t="s">
        <v>598</v>
      </c>
      <c r="B6329" s="421"/>
      <c r="C6329" s="421"/>
    </row>
    <row r="6330" spans="1:8" s="422" customFormat="1" ht="11.25">
      <c r="A6330" s="452" t="s">
        <v>599</v>
      </c>
      <c r="B6330" s="447"/>
      <c r="C6330" s="447"/>
      <c r="D6330" s="447"/>
      <c r="E6330" s="439" t="s">
        <v>375</v>
      </c>
      <c r="F6330" s="439" t="s">
        <v>9</v>
      </c>
      <c r="G6330" s="439" t="s">
        <v>131</v>
      </c>
      <c r="H6330" s="439" t="s">
        <v>424</v>
      </c>
    </row>
    <row r="6331" spans="1:8" s="422" customFormat="1" ht="11.25">
      <c r="A6331" s="448"/>
      <c r="B6331" s="449"/>
      <c r="C6331" s="449"/>
      <c r="D6331" s="449"/>
      <c r="E6331" s="438">
        <v>0</v>
      </c>
      <c r="F6331" s="438">
        <v>0</v>
      </c>
      <c r="G6331" s="438">
        <v>0</v>
      </c>
      <c r="H6331" s="438">
        <v>0</v>
      </c>
    </row>
    <row r="6332" spans="1:8" s="422" customFormat="1" ht="11.25">
      <c r="A6332" s="448"/>
      <c r="B6332" s="449"/>
      <c r="C6332" s="449"/>
      <c r="D6332" s="449"/>
      <c r="E6332" s="438">
        <v>0</v>
      </c>
      <c r="F6332" s="438">
        <v>0</v>
      </c>
      <c r="G6332" s="438">
        <v>0</v>
      </c>
      <c r="H6332" s="438">
        <v>0</v>
      </c>
    </row>
    <row r="6333" spans="1:8" s="422" customFormat="1" ht="11.25">
      <c r="A6333" s="448"/>
      <c r="B6333" s="449"/>
      <c r="C6333" s="449"/>
      <c r="D6333" s="449"/>
      <c r="E6333" s="438">
        <v>0</v>
      </c>
      <c r="F6333" s="438">
        <v>0</v>
      </c>
      <c r="G6333" s="438">
        <v>0</v>
      </c>
      <c r="H6333" s="438">
        <v>0</v>
      </c>
    </row>
    <row r="6334" spans="1:8" s="421" customFormat="1" ht="11.25">
      <c r="A6334" s="421" t="s">
        <v>391</v>
      </c>
      <c r="D6334" s="421" t="s">
        <v>472</v>
      </c>
    </row>
    <row r="6335" spans="1:8" s="422" customFormat="1" ht="11.25"/>
    <row r="6336" spans="1:8" s="421" customFormat="1" ht="11.25" customHeight="1">
      <c r="A6336" s="423" t="s">
        <v>392</v>
      </c>
      <c r="D6336" s="421" t="s">
        <v>161</v>
      </c>
    </row>
    <row r="6337" spans="1:8" s="421" customFormat="1" ht="7.5" customHeight="1">
      <c r="A6337" s="423"/>
    </row>
    <row r="6338" spans="1:8" s="421" customFormat="1" ht="11.25">
      <c r="A6338" s="424" t="s">
        <v>393</v>
      </c>
      <c r="D6338" s="583" t="s">
        <v>162</v>
      </c>
      <c r="E6338" s="583"/>
      <c r="F6338" s="583"/>
      <c r="G6338" s="583"/>
      <c r="H6338" s="583"/>
    </row>
    <row r="6339" spans="1:8" s="421" customFormat="1" ht="7.5" customHeight="1"/>
    <row r="6340" spans="1:8" s="422" customFormat="1" ht="11.25">
      <c r="A6340" s="421" t="s">
        <v>170</v>
      </c>
      <c r="B6340" s="421"/>
      <c r="C6340" s="421"/>
      <c r="D6340" s="422" t="s">
        <v>360</v>
      </c>
      <c r="E6340" s="422" t="s">
        <v>1319</v>
      </c>
    </row>
    <row r="6341" spans="1:8" s="422" customFormat="1" ht="7.5" customHeight="1"/>
    <row r="6342" spans="1:8" s="427" customFormat="1" ht="11.25">
      <c r="A6342" s="425" t="s">
        <v>587</v>
      </c>
      <c r="B6342" s="425"/>
      <c r="C6342" s="425"/>
      <c r="D6342" s="426" t="s">
        <v>1320</v>
      </c>
      <c r="E6342" s="584" t="s">
        <v>1321</v>
      </c>
      <c r="F6342" s="584"/>
      <c r="G6342" s="584"/>
      <c r="H6342" s="584"/>
    </row>
    <row r="6343" spans="1:8" s="427" customFormat="1" ht="11.25">
      <c r="A6343" s="425"/>
      <c r="B6343" s="425"/>
      <c r="C6343" s="425"/>
      <c r="D6343" s="426" t="s">
        <v>1322</v>
      </c>
      <c r="E6343" s="584" t="s">
        <v>1323</v>
      </c>
      <c r="F6343" s="584"/>
      <c r="G6343" s="584"/>
      <c r="H6343" s="584"/>
    </row>
    <row r="6344" spans="1:8" s="427" customFormat="1" ht="11.25">
      <c r="A6344" s="425"/>
      <c r="B6344" s="425"/>
      <c r="C6344" s="425"/>
      <c r="D6344" s="426" t="s">
        <v>1324</v>
      </c>
      <c r="E6344" s="584" t="s">
        <v>1325</v>
      </c>
      <c r="F6344" s="584"/>
      <c r="G6344" s="584"/>
      <c r="H6344" s="584"/>
    </row>
    <row r="6345" spans="1:8" s="427" customFormat="1" ht="11.25">
      <c r="A6345" s="425"/>
      <c r="B6345" s="425"/>
      <c r="C6345" s="425"/>
      <c r="D6345" s="426" t="s">
        <v>1326</v>
      </c>
      <c r="E6345" s="584" t="s">
        <v>1327</v>
      </c>
      <c r="F6345" s="584"/>
      <c r="G6345" s="584"/>
      <c r="H6345" s="584"/>
    </row>
    <row r="6346" spans="1:8" s="427" customFormat="1" ht="11.25">
      <c r="A6346" s="425"/>
      <c r="B6346" s="425"/>
      <c r="C6346" s="425"/>
      <c r="D6346" s="426" t="s">
        <v>1328</v>
      </c>
      <c r="E6346" s="584" t="s">
        <v>1329</v>
      </c>
      <c r="F6346" s="584"/>
      <c r="G6346" s="584"/>
      <c r="H6346" s="584"/>
    </row>
    <row r="6347" spans="1:8" s="427" customFormat="1" ht="11.25">
      <c r="A6347" s="425"/>
      <c r="B6347" s="425"/>
      <c r="C6347" s="425"/>
      <c r="D6347" s="426"/>
      <c r="E6347" s="584"/>
      <c r="F6347" s="584"/>
      <c r="G6347" s="584"/>
      <c r="H6347" s="584"/>
    </row>
    <row r="6348" spans="1:8" s="427" customFormat="1" ht="11.25"/>
    <row r="6349" spans="1:8" s="422" customFormat="1" ht="11.25"/>
    <row r="6350" spans="1:8" s="422" customFormat="1" ht="11.25">
      <c r="A6350" s="421" t="s">
        <v>589</v>
      </c>
      <c r="B6350" s="421"/>
      <c r="C6350" s="421"/>
    </row>
    <row r="6351" spans="1:8" s="429" customFormat="1" ht="11.25">
      <c r="A6351" s="428"/>
      <c r="B6351" s="428"/>
      <c r="C6351" s="428"/>
    </row>
    <row r="6352" spans="1:8" s="429" customFormat="1" ht="11.25">
      <c r="A6352" s="428"/>
      <c r="B6352" s="428"/>
      <c r="C6352" s="428"/>
    </row>
    <row r="6353" spans="1:8" s="429" customFormat="1" ht="11.25">
      <c r="A6353" s="428"/>
      <c r="B6353" s="428"/>
      <c r="C6353" s="428"/>
    </row>
    <row r="6354" spans="1:8" s="429" customFormat="1" ht="11.25">
      <c r="A6354" s="428"/>
      <c r="B6354" s="428"/>
      <c r="C6354" s="428"/>
    </row>
    <row r="6355" spans="1:8" s="429" customFormat="1" ht="11.25">
      <c r="A6355" s="428"/>
      <c r="B6355" s="428"/>
      <c r="C6355" s="428"/>
    </row>
    <row r="6356" spans="1:8" s="429" customFormat="1" ht="11.25">
      <c r="A6356" s="428"/>
      <c r="B6356" s="428"/>
      <c r="C6356" s="428"/>
    </row>
    <row r="6357" spans="1:8" s="422" customFormat="1" ht="9" customHeight="1">
      <c r="A6357" s="430"/>
      <c r="B6357" s="430"/>
      <c r="C6357" s="430"/>
      <c r="D6357" s="430"/>
      <c r="E6357" s="430"/>
      <c r="F6357" s="430"/>
      <c r="G6357" s="430"/>
      <c r="H6357" s="430"/>
    </row>
    <row r="6358" spans="1:8" s="422" customFormat="1" ht="22.5" customHeight="1">
      <c r="A6358" s="585" t="s">
        <v>590</v>
      </c>
      <c r="B6358" s="585"/>
      <c r="C6358" s="585"/>
      <c r="D6358" s="586"/>
      <c r="E6358" s="586"/>
      <c r="F6358" s="586"/>
      <c r="G6358" s="586"/>
      <c r="H6358" s="586"/>
    </row>
    <row r="6359" spans="1:8" s="429" customFormat="1" ht="11.25">
      <c r="A6359" s="431"/>
      <c r="B6359" s="431"/>
      <c r="C6359" s="431"/>
      <c r="D6359" s="432"/>
      <c r="E6359" s="432"/>
      <c r="F6359" s="432"/>
      <c r="G6359" s="432"/>
      <c r="H6359" s="432"/>
    </row>
    <row r="6360" spans="1:8" s="429" customFormat="1" ht="11.25">
      <c r="A6360" s="431"/>
      <c r="B6360" s="431"/>
      <c r="C6360" s="431"/>
      <c r="D6360" s="432"/>
      <c r="E6360" s="432"/>
      <c r="F6360" s="432"/>
      <c r="G6360" s="432"/>
      <c r="H6360" s="432"/>
    </row>
    <row r="6361" spans="1:8" s="429" customFormat="1" ht="11.25">
      <c r="A6361" s="431"/>
      <c r="B6361" s="431"/>
      <c r="C6361" s="431"/>
      <c r="D6361" s="432"/>
      <c r="E6361" s="432"/>
      <c r="F6361" s="432"/>
      <c r="G6361" s="432"/>
      <c r="H6361" s="432"/>
    </row>
    <row r="6362" spans="1:8" s="429" customFormat="1" ht="11.25">
      <c r="A6362" s="431"/>
      <c r="B6362" s="431"/>
      <c r="C6362" s="431"/>
      <c r="D6362" s="432"/>
      <c r="E6362" s="432"/>
      <c r="F6362" s="432"/>
      <c r="G6362" s="432"/>
      <c r="H6362" s="432"/>
    </row>
    <row r="6363" spans="1:8" s="422" customFormat="1" ht="9" customHeight="1"/>
    <row r="6364" spans="1:8" s="422" customFormat="1" ht="11.25">
      <c r="A6364" s="421" t="s">
        <v>591</v>
      </c>
      <c r="B6364" s="421"/>
      <c r="C6364" s="421"/>
    </row>
    <row r="6365" spans="1:8" s="429" customFormat="1" ht="11.25">
      <c r="A6365" s="428"/>
      <c r="B6365" s="428"/>
      <c r="C6365" s="428"/>
    </row>
    <row r="6366" spans="1:8" s="429" customFormat="1" ht="11.25">
      <c r="A6366" s="428"/>
      <c r="B6366" s="428"/>
      <c r="C6366" s="428"/>
    </row>
    <row r="6367" spans="1:8" s="429" customFormat="1" ht="11.25">
      <c r="A6367" s="428"/>
      <c r="B6367" s="428"/>
      <c r="C6367" s="428"/>
    </row>
    <row r="6368" spans="1:8" s="429" customFormat="1" ht="11.25">
      <c r="A6368" s="428"/>
      <c r="B6368" s="428"/>
      <c r="C6368" s="428"/>
    </row>
    <row r="6369" spans="1:8" s="429" customFormat="1" ht="11.25">
      <c r="A6369" s="428"/>
      <c r="B6369" s="428"/>
      <c r="C6369" s="428"/>
    </row>
    <row r="6370" spans="1:8" s="422" customFormat="1" ht="9" customHeight="1"/>
    <row r="6371" spans="1:8" s="422" customFormat="1" ht="11.25">
      <c r="A6371" s="433" t="s">
        <v>592</v>
      </c>
      <c r="B6371" s="434"/>
      <c r="C6371" s="434"/>
      <c r="D6371" s="434"/>
      <c r="E6371" s="434"/>
      <c r="F6371" s="434"/>
      <c r="G6371" s="434"/>
      <c r="H6371" s="434"/>
    </row>
    <row r="6372" spans="1:8" s="429" customFormat="1" ht="11.25">
      <c r="A6372" s="435"/>
      <c r="B6372" s="436"/>
      <c r="C6372" s="436"/>
      <c r="D6372" s="436"/>
      <c r="E6372" s="436"/>
      <c r="F6372" s="436"/>
      <c r="G6372" s="436"/>
      <c r="H6372" s="436"/>
    </row>
    <row r="6373" spans="1:8" s="429" customFormat="1" ht="11.25">
      <c r="A6373" s="435"/>
      <c r="B6373" s="436"/>
      <c r="C6373" s="436"/>
      <c r="D6373" s="436"/>
      <c r="E6373" s="436"/>
      <c r="F6373" s="436"/>
      <c r="G6373" s="436"/>
      <c r="H6373" s="436"/>
    </row>
    <row r="6374" spans="1:8" s="422" customFormat="1" ht="11.25">
      <c r="A6374" s="437"/>
      <c r="B6374" s="437"/>
      <c r="C6374" s="437"/>
      <c r="D6374" s="437"/>
      <c r="E6374" s="437"/>
      <c r="F6374" s="437"/>
      <c r="G6374" s="437"/>
      <c r="H6374" s="437"/>
    </row>
    <row r="6375" spans="1:8" s="422" customFormat="1" ht="11.25">
      <c r="A6375" s="421" t="s">
        <v>593</v>
      </c>
      <c r="B6375" s="421"/>
      <c r="C6375" s="421"/>
    </row>
    <row r="6376" spans="1:8" s="422" customFormat="1" ht="11.25">
      <c r="A6376" s="438"/>
      <c r="B6376" s="439" t="s">
        <v>132</v>
      </c>
      <c r="C6376" s="439" t="s">
        <v>473</v>
      </c>
      <c r="D6376" s="439" t="s">
        <v>474</v>
      </c>
      <c r="E6376" s="439" t="s">
        <v>375</v>
      </c>
      <c r="F6376" s="439" t="s">
        <v>9</v>
      </c>
      <c r="G6376" s="439" t="s">
        <v>131</v>
      </c>
      <c r="H6376" s="439" t="s">
        <v>424</v>
      </c>
    </row>
    <row r="6377" spans="1:8" s="422" customFormat="1" ht="11.25">
      <c r="A6377" s="439" t="s">
        <v>394</v>
      </c>
      <c r="B6377" s="438">
        <v>1850838.41</v>
      </c>
      <c r="C6377" s="438">
        <v>1628486.3299999998</v>
      </c>
      <c r="D6377" s="438">
        <v>1647363.12</v>
      </c>
      <c r="E6377" s="438">
        <v>1543058.7537000002</v>
      </c>
      <c r="F6377" s="438">
        <v>1513058.7537000002</v>
      </c>
      <c r="G6377" s="438">
        <v>1529856.4908800002</v>
      </c>
      <c r="H6377" s="438">
        <v>1535855.68273</v>
      </c>
    </row>
    <row r="6378" spans="1:8" s="422" customFormat="1" ht="11.25">
      <c r="A6378" s="439" t="s">
        <v>395</v>
      </c>
      <c r="B6378" s="438">
        <v>-319603.51</v>
      </c>
      <c r="C6378" s="438">
        <v>-336196.17000000004</v>
      </c>
      <c r="D6378" s="438">
        <v>-351411.6</v>
      </c>
      <c r="E6378" s="438">
        <v>-359411.6</v>
      </c>
      <c r="F6378" s="438">
        <v>-359411.6</v>
      </c>
      <c r="G6378" s="438">
        <v>-359411.6</v>
      </c>
      <c r="H6378" s="438">
        <v>-359411.6</v>
      </c>
    </row>
    <row r="6379" spans="1:8" s="422" customFormat="1" ht="11.25">
      <c r="A6379" s="439" t="s">
        <v>396</v>
      </c>
      <c r="B6379" s="438">
        <v>1531234.9</v>
      </c>
      <c r="C6379" s="438">
        <v>1292290.1599999997</v>
      </c>
      <c r="D6379" s="438">
        <v>1295951.52</v>
      </c>
      <c r="E6379" s="438">
        <v>1183647.1537000001</v>
      </c>
      <c r="F6379" s="438">
        <v>1153647.1537000001</v>
      </c>
      <c r="G6379" s="438">
        <v>1170444.8908800003</v>
      </c>
      <c r="H6379" s="438">
        <v>1176444.0827299999</v>
      </c>
    </row>
    <row r="6380" spans="1:8" s="442" customFormat="1" ht="11.25">
      <c r="A6380" s="440" t="s">
        <v>397</v>
      </c>
      <c r="B6380" s="441">
        <v>0.17268039623188933</v>
      </c>
      <c r="C6380" s="441">
        <v>0.20644703231865635</v>
      </c>
      <c r="D6380" s="441">
        <v>0.2133176321198692</v>
      </c>
      <c r="E6380" s="441">
        <v>0.23292152624661264</v>
      </c>
      <c r="F6380" s="441">
        <v>0.23753975126286592</v>
      </c>
      <c r="G6380" s="441">
        <v>0.23493157831638192</v>
      </c>
      <c r="H6380" s="441">
        <v>0.23401391422476753</v>
      </c>
    </row>
    <row r="6381" spans="1:8" s="422" customFormat="1" ht="11.25"/>
    <row r="6382" spans="1:8" s="422" customFormat="1" ht="11.25">
      <c r="A6382" s="443" t="s">
        <v>594</v>
      </c>
      <c r="B6382" s="443"/>
      <c r="C6382" s="444"/>
    </row>
    <row r="6383" spans="1:8" s="422" customFormat="1" ht="11.25">
      <c r="A6383" s="445" t="s">
        <v>595</v>
      </c>
      <c r="B6383" s="446"/>
      <c r="C6383" s="447"/>
      <c r="D6383" s="439" t="s">
        <v>474</v>
      </c>
      <c r="E6383" s="439" t="s">
        <v>375</v>
      </c>
      <c r="F6383" s="439" t="s">
        <v>9</v>
      </c>
      <c r="G6383" s="439" t="s">
        <v>131</v>
      </c>
      <c r="H6383" s="439" t="s">
        <v>424</v>
      </c>
    </row>
    <row r="6384" spans="1:8" s="422" customFormat="1" ht="11.25">
      <c r="A6384" s="448" t="s">
        <v>596</v>
      </c>
      <c r="B6384" s="449"/>
      <c r="C6384" s="449"/>
      <c r="D6384" s="438"/>
      <c r="E6384" s="438"/>
      <c r="F6384" s="438"/>
      <c r="G6384" s="438"/>
      <c r="H6384" s="438"/>
    </row>
    <row r="6385" spans="1:8" s="422" customFormat="1" ht="11.25">
      <c r="A6385" s="448"/>
      <c r="B6385" s="449"/>
      <c r="C6385" s="449"/>
      <c r="D6385" s="438"/>
      <c r="E6385" s="438"/>
      <c r="F6385" s="438"/>
      <c r="G6385" s="438"/>
      <c r="H6385" s="438"/>
    </row>
    <row r="6386" spans="1:8" s="422" customFormat="1" ht="11.25">
      <c r="A6386" s="448"/>
      <c r="B6386" s="449"/>
      <c r="C6386" s="449"/>
      <c r="D6386" s="438"/>
      <c r="E6386" s="438"/>
      <c r="F6386" s="438"/>
      <c r="G6386" s="438"/>
      <c r="H6386" s="438"/>
    </row>
    <row r="6387" spans="1:8" s="422" customFormat="1" ht="11.25"/>
    <row r="6388" spans="1:8" s="422" customFormat="1" ht="11.25">
      <c r="A6388" s="421" t="s">
        <v>423</v>
      </c>
      <c r="B6388" s="421"/>
      <c r="C6388" s="421"/>
    </row>
    <row r="6389" spans="1:8" s="422" customFormat="1" ht="11.25">
      <c r="A6389" s="450"/>
      <c r="B6389" s="439" t="s">
        <v>132</v>
      </c>
      <c r="C6389" s="439" t="s">
        <v>473</v>
      </c>
      <c r="D6389" s="439" t="s">
        <v>474</v>
      </c>
      <c r="E6389" s="439" t="s">
        <v>375</v>
      </c>
      <c r="F6389" s="439" t="s">
        <v>9</v>
      </c>
      <c r="G6389" s="439" t="s">
        <v>131</v>
      </c>
      <c r="H6389" s="439" t="s">
        <v>424</v>
      </c>
    </row>
    <row r="6390" spans="1:8" s="422" customFormat="1" ht="11.25">
      <c r="A6390" s="451" t="s">
        <v>398</v>
      </c>
      <c r="B6390" s="438">
        <v>7561574.4400000004</v>
      </c>
      <c r="C6390" s="438">
        <v>11144293.57</v>
      </c>
      <c r="D6390" s="438">
        <v>0</v>
      </c>
      <c r="E6390" s="438">
        <v>0</v>
      </c>
      <c r="F6390" s="438">
        <v>0</v>
      </c>
      <c r="G6390" s="438">
        <v>0</v>
      </c>
      <c r="H6390" s="438">
        <v>0</v>
      </c>
    </row>
    <row r="6391" spans="1:8" s="422" customFormat="1" ht="11.25">
      <c r="A6391" s="451" t="s">
        <v>399</v>
      </c>
      <c r="B6391" s="438">
        <v>0</v>
      </c>
      <c r="C6391" s="438">
        <v>0</v>
      </c>
      <c r="D6391" s="438">
        <v>0</v>
      </c>
      <c r="E6391" s="438">
        <v>0</v>
      </c>
      <c r="F6391" s="438">
        <v>0</v>
      </c>
      <c r="G6391" s="438">
        <v>0</v>
      </c>
      <c r="H6391" s="438">
        <v>0</v>
      </c>
    </row>
    <row r="6392" spans="1:8" s="422" customFormat="1" ht="11.25">
      <c r="A6392" s="451" t="s">
        <v>400</v>
      </c>
      <c r="B6392" s="438">
        <v>0</v>
      </c>
      <c r="C6392" s="438">
        <v>0</v>
      </c>
      <c r="D6392" s="438">
        <v>0</v>
      </c>
      <c r="E6392" s="438">
        <v>0</v>
      </c>
      <c r="F6392" s="438">
        <v>0</v>
      </c>
      <c r="G6392" s="438">
        <v>0</v>
      </c>
      <c r="H6392" s="438">
        <v>0</v>
      </c>
    </row>
    <row r="6393" spans="1:8" s="422" customFormat="1" ht="11.25">
      <c r="A6393" s="451" t="s">
        <v>401</v>
      </c>
      <c r="B6393" s="438">
        <v>7561574.4400000004</v>
      </c>
      <c r="C6393" s="438">
        <v>11144293.57</v>
      </c>
      <c r="D6393" s="438">
        <v>0</v>
      </c>
      <c r="E6393" s="438">
        <v>0</v>
      </c>
      <c r="F6393" s="438">
        <v>0</v>
      </c>
      <c r="G6393" s="438">
        <v>0</v>
      </c>
      <c r="H6393" s="438">
        <v>0</v>
      </c>
    </row>
    <row r="6394" spans="1:8" s="422" customFormat="1" ht="11.25"/>
    <row r="6395" spans="1:8" s="422" customFormat="1" ht="11.25">
      <c r="A6395" s="421" t="s">
        <v>597</v>
      </c>
      <c r="B6395" s="421"/>
      <c r="C6395" s="421"/>
    </row>
    <row r="6396" spans="1:8" s="429" customFormat="1" ht="11.25">
      <c r="A6396" s="428"/>
      <c r="B6396" s="428"/>
      <c r="C6396" s="428"/>
    </row>
    <row r="6397" spans="1:8" s="429" customFormat="1" ht="11.25">
      <c r="A6397" s="428"/>
      <c r="B6397" s="428"/>
      <c r="C6397" s="428"/>
    </row>
    <row r="6398" spans="1:8" s="429" customFormat="1" ht="11.25">
      <c r="A6398" s="428"/>
      <c r="B6398" s="428"/>
      <c r="C6398" s="428"/>
    </row>
    <row r="6399" spans="1:8" s="422" customFormat="1" ht="11.25"/>
    <row r="6400" spans="1:8" s="422" customFormat="1" ht="11.25">
      <c r="A6400" s="421" t="s">
        <v>598</v>
      </c>
      <c r="B6400" s="421"/>
      <c r="C6400" s="421"/>
    </row>
    <row r="6401" spans="1:8" s="422" customFormat="1" ht="11.25">
      <c r="A6401" s="452" t="s">
        <v>599</v>
      </c>
      <c r="B6401" s="447"/>
      <c r="C6401" s="447"/>
      <c r="D6401" s="447"/>
      <c r="E6401" s="439" t="s">
        <v>375</v>
      </c>
      <c r="F6401" s="439" t="s">
        <v>9</v>
      </c>
      <c r="G6401" s="439" t="s">
        <v>131</v>
      </c>
      <c r="H6401" s="439" t="s">
        <v>424</v>
      </c>
    </row>
    <row r="6402" spans="1:8" s="422" customFormat="1" ht="11.25">
      <c r="A6402" s="448"/>
      <c r="B6402" s="449"/>
      <c r="C6402" s="449"/>
      <c r="D6402" s="449"/>
      <c r="E6402" s="438">
        <v>0</v>
      </c>
      <c r="F6402" s="438">
        <v>0</v>
      </c>
      <c r="G6402" s="438">
        <v>0</v>
      </c>
      <c r="H6402" s="438">
        <v>0</v>
      </c>
    </row>
    <row r="6403" spans="1:8" s="422" customFormat="1" ht="11.25">
      <c r="A6403" s="448"/>
      <c r="B6403" s="449"/>
      <c r="C6403" s="449"/>
      <c r="D6403" s="449"/>
      <c r="E6403" s="438">
        <v>0</v>
      </c>
      <c r="F6403" s="438">
        <v>0</v>
      </c>
      <c r="G6403" s="438">
        <v>0</v>
      </c>
      <c r="H6403" s="438">
        <v>0</v>
      </c>
    </row>
    <row r="6404" spans="1:8" s="422" customFormat="1" ht="11.25">
      <c r="A6404" s="448"/>
      <c r="B6404" s="449"/>
      <c r="C6404" s="449"/>
      <c r="D6404" s="449"/>
      <c r="E6404" s="438">
        <v>0</v>
      </c>
      <c r="F6404" s="438">
        <v>0</v>
      </c>
      <c r="G6404" s="438">
        <v>0</v>
      </c>
      <c r="H6404" s="438">
        <v>0</v>
      </c>
    </row>
    <row r="6405" spans="1:8" s="421" customFormat="1" ht="11.25">
      <c r="A6405" s="421" t="s">
        <v>391</v>
      </c>
      <c r="D6405" s="421" t="s">
        <v>472</v>
      </c>
    </row>
    <row r="6406" spans="1:8" s="422" customFormat="1" ht="11.25"/>
    <row r="6407" spans="1:8" s="421" customFormat="1" ht="11.25" customHeight="1">
      <c r="A6407" s="423" t="s">
        <v>392</v>
      </c>
      <c r="D6407" s="421" t="s">
        <v>161</v>
      </c>
    </row>
    <row r="6408" spans="1:8" s="421" customFormat="1" ht="7.5" customHeight="1">
      <c r="A6408" s="423"/>
    </row>
    <row r="6409" spans="1:8" s="421" customFormat="1" ht="11.25">
      <c r="A6409" s="424" t="s">
        <v>393</v>
      </c>
      <c r="D6409" s="583" t="s">
        <v>162</v>
      </c>
      <c r="E6409" s="583"/>
      <c r="F6409" s="583"/>
      <c r="G6409" s="583"/>
      <c r="H6409" s="583"/>
    </row>
    <row r="6410" spans="1:8" s="421" customFormat="1" ht="7.5" customHeight="1"/>
    <row r="6411" spans="1:8" s="422" customFormat="1" ht="11.25">
      <c r="A6411" s="421" t="s">
        <v>170</v>
      </c>
      <c r="B6411" s="421"/>
      <c r="C6411" s="421"/>
      <c r="D6411" s="422" t="s">
        <v>321</v>
      </c>
      <c r="E6411" s="422" t="s">
        <v>1330</v>
      </c>
    </row>
    <row r="6412" spans="1:8" s="422" customFormat="1" ht="7.5" customHeight="1"/>
    <row r="6413" spans="1:8" s="427" customFormat="1" ht="11.25" customHeight="1">
      <c r="A6413" s="425" t="s">
        <v>587</v>
      </c>
      <c r="B6413" s="425"/>
      <c r="C6413" s="425"/>
      <c r="D6413" s="426" t="s">
        <v>1331</v>
      </c>
      <c r="E6413" s="584" t="s">
        <v>1332</v>
      </c>
      <c r="F6413" s="584"/>
      <c r="G6413" s="584"/>
      <c r="H6413" s="584"/>
    </row>
    <row r="6414" spans="1:8" s="427" customFormat="1" ht="11.25">
      <c r="A6414" s="425"/>
      <c r="B6414" s="425"/>
      <c r="C6414" s="425"/>
      <c r="D6414" s="426" t="s">
        <v>1333</v>
      </c>
      <c r="E6414" s="584" t="s">
        <v>115</v>
      </c>
      <c r="F6414" s="584"/>
      <c r="G6414" s="584"/>
      <c r="H6414" s="584"/>
    </row>
    <row r="6415" spans="1:8" s="427" customFormat="1" ht="3.75" customHeight="1">
      <c r="A6415" s="425"/>
      <c r="B6415" s="425"/>
      <c r="C6415" s="425"/>
      <c r="D6415" s="426"/>
      <c r="E6415" s="584"/>
      <c r="F6415" s="584"/>
      <c r="G6415" s="584"/>
      <c r="H6415" s="584"/>
    </row>
    <row r="6416" spans="1:8" s="427" customFormat="1" ht="5.25" customHeight="1"/>
    <row r="6417" spans="1:8" s="422" customFormat="1" ht="3" customHeight="1"/>
    <row r="6418" spans="1:8" s="422" customFormat="1" ht="11.25">
      <c r="A6418" s="421" t="s">
        <v>589</v>
      </c>
      <c r="B6418" s="421"/>
      <c r="C6418" s="421"/>
    </row>
    <row r="6419" spans="1:8" s="429" customFormat="1" ht="11.25">
      <c r="A6419" s="428"/>
      <c r="B6419" s="428"/>
      <c r="C6419" s="428"/>
    </row>
    <row r="6420" spans="1:8" s="429" customFormat="1" ht="11.25">
      <c r="A6420" s="428"/>
      <c r="B6420" s="428"/>
      <c r="C6420" s="428"/>
    </row>
    <row r="6421" spans="1:8" s="429" customFormat="1" ht="5.25" customHeight="1">
      <c r="A6421" s="428"/>
      <c r="B6421" s="428"/>
      <c r="C6421" s="428"/>
    </row>
    <row r="6422" spans="1:8" s="429" customFormat="1" ht="3.75" customHeight="1">
      <c r="A6422" s="428"/>
      <c r="B6422" s="428"/>
      <c r="C6422" s="428"/>
    </row>
    <row r="6423" spans="1:8" s="422" customFormat="1" ht="6" customHeight="1">
      <c r="A6423" s="430"/>
      <c r="B6423" s="430"/>
      <c r="C6423" s="430"/>
      <c r="D6423" s="430"/>
      <c r="E6423" s="430"/>
      <c r="F6423" s="430"/>
      <c r="G6423" s="430"/>
      <c r="H6423" s="430"/>
    </row>
    <row r="6424" spans="1:8" s="422" customFormat="1" ht="22.5" customHeight="1">
      <c r="A6424" s="585" t="s">
        <v>590</v>
      </c>
      <c r="B6424" s="585"/>
      <c r="C6424" s="585"/>
      <c r="D6424" s="586"/>
      <c r="E6424" s="586"/>
      <c r="F6424" s="586"/>
      <c r="G6424" s="586"/>
      <c r="H6424" s="586"/>
    </row>
    <row r="6425" spans="1:8" s="429" customFormat="1" ht="11.25">
      <c r="A6425" s="431"/>
      <c r="B6425" s="431"/>
      <c r="C6425" s="431"/>
      <c r="D6425" s="432"/>
      <c r="E6425" s="432"/>
      <c r="F6425" s="432"/>
      <c r="G6425" s="432"/>
      <c r="H6425" s="432"/>
    </row>
    <row r="6426" spans="1:8" s="429" customFormat="1" ht="11.25">
      <c r="A6426" s="431"/>
      <c r="B6426" s="431"/>
      <c r="C6426" s="431"/>
      <c r="D6426" s="432"/>
      <c r="E6426" s="432"/>
      <c r="F6426" s="432"/>
      <c r="G6426" s="432"/>
      <c r="H6426" s="432"/>
    </row>
    <row r="6427" spans="1:8" s="429" customFormat="1" ht="11.25">
      <c r="A6427" s="431"/>
      <c r="B6427" s="431"/>
      <c r="C6427" s="431"/>
      <c r="D6427" s="432"/>
      <c r="E6427" s="432"/>
      <c r="F6427" s="432"/>
      <c r="G6427" s="432"/>
      <c r="H6427" s="432"/>
    </row>
    <row r="6428" spans="1:8" s="429" customFormat="1" ht="11.25">
      <c r="A6428" s="431"/>
      <c r="B6428" s="431"/>
      <c r="C6428" s="431"/>
      <c r="D6428" s="432"/>
      <c r="E6428" s="432"/>
      <c r="F6428" s="432"/>
      <c r="G6428" s="432"/>
      <c r="H6428" s="432"/>
    </row>
    <row r="6429" spans="1:8" s="422" customFormat="1" ht="11.25" customHeight="1"/>
    <row r="6430" spans="1:8" s="422" customFormat="1" ht="11.25" customHeight="1">
      <c r="A6430" s="421" t="s">
        <v>591</v>
      </c>
      <c r="B6430" s="421"/>
      <c r="C6430" s="421"/>
    </row>
    <row r="6431" spans="1:8" s="429" customFormat="1" ht="11.25">
      <c r="A6431" s="428"/>
      <c r="B6431" s="428"/>
      <c r="C6431" s="428"/>
    </row>
    <row r="6432" spans="1:8" s="429" customFormat="1" ht="11.25">
      <c r="A6432" s="428"/>
      <c r="B6432" s="428"/>
      <c r="C6432" s="428"/>
    </row>
    <row r="6433" spans="1:8" s="429" customFormat="1" ht="11.25">
      <c r="A6433" s="428"/>
      <c r="B6433" s="428"/>
      <c r="C6433" s="428"/>
    </row>
    <row r="6434" spans="1:8" s="429" customFormat="1" ht="11.25">
      <c r="A6434" s="428"/>
      <c r="B6434" s="428"/>
      <c r="C6434" s="428"/>
    </row>
    <row r="6435" spans="1:8" s="429" customFormat="1" ht="11.25">
      <c r="A6435" s="428"/>
      <c r="B6435" s="428"/>
      <c r="C6435" s="428"/>
    </row>
    <row r="6436" spans="1:8" s="429" customFormat="1" ht="11.25">
      <c r="A6436" s="428"/>
      <c r="B6436" s="428"/>
      <c r="C6436" s="428"/>
    </row>
    <row r="6437" spans="1:8" s="429" customFormat="1" ht="11.25">
      <c r="A6437" s="428"/>
      <c r="B6437" s="428"/>
      <c r="C6437" s="428"/>
    </row>
    <row r="6438" spans="1:8" s="429" customFormat="1" ht="11.25">
      <c r="A6438" s="428"/>
      <c r="B6438" s="428"/>
      <c r="C6438" s="428"/>
    </row>
    <row r="6439" spans="1:8" s="429" customFormat="1" ht="11.25">
      <c r="A6439" s="428"/>
      <c r="B6439" s="428"/>
      <c r="C6439" s="428"/>
    </row>
    <row r="6440" spans="1:8" s="429" customFormat="1" ht="11.25">
      <c r="A6440" s="428"/>
      <c r="B6440" s="428"/>
      <c r="C6440" s="428"/>
    </row>
    <row r="6441" spans="1:8" s="429" customFormat="1" ht="11.25">
      <c r="A6441" s="428"/>
      <c r="B6441" s="428"/>
      <c r="C6441" s="428"/>
    </row>
    <row r="6442" spans="1:8" s="429" customFormat="1" ht="11.25">
      <c r="A6442" s="428"/>
      <c r="B6442" s="428"/>
      <c r="C6442" s="428"/>
    </row>
    <row r="6443" spans="1:8" s="429" customFormat="1" ht="11.25">
      <c r="A6443" s="428"/>
      <c r="B6443" s="428"/>
      <c r="C6443" s="428"/>
    </row>
    <row r="6444" spans="1:8" s="429" customFormat="1" ht="11.25">
      <c r="A6444" s="428"/>
      <c r="B6444" s="428"/>
      <c r="C6444" s="428"/>
    </row>
    <row r="6445" spans="1:8" s="422" customFormat="1" ht="9" customHeight="1"/>
    <row r="6446" spans="1:8" s="422" customFormat="1" ht="10.15" customHeight="1">
      <c r="A6446" s="433" t="s">
        <v>592</v>
      </c>
      <c r="B6446" s="434"/>
      <c r="C6446" s="434"/>
      <c r="D6446" s="434"/>
      <c r="E6446" s="434"/>
      <c r="F6446" s="434"/>
      <c r="G6446" s="434"/>
      <c r="H6446" s="434"/>
    </row>
    <row r="6447" spans="1:8" s="429" customFormat="1" ht="11.25">
      <c r="A6447" s="435"/>
      <c r="B6447" s="436"/>
      <c r="C6447" s="436"/>
      <c r="D6447" s="436"/>
      <c r="E6447" s="436"/>
      <c r="F6447" s="436"/>
      <c r="G6447" s="436"/>
      <c r="H6447" s="436"/>
    </row>
    <row r="6448" spans="1:8" s="429" customFormat="1" ht="11.25">
      <c r="A6448" s="435"/>
      <c r="B6448" s="436"/>
      <c r="C6448" s="436"/>
      <c r="D6448" s="436"/>
      <c r="E6448" s="436"/>
      <c r="F6448" s="436"/>
      <c r="G6448" s="436"/>
      <c r="H6448" s="436"/>
    </row>
    <row r="6449" spans="1:8" s="422" customFormat="1" ht="11.25">
      <c r="A6449" s="437"/>
      <c r="B6449" s="437"/>
      <c r="C6449" s="437"/>
      <c r="D6449" s="437"/>
      <c r="E6449" s="437"/>
      <c r="F6449" s="437"/>
      <c r="G6449" s="437"/>
      <c r="H6449" s="437"/>
    </row>
    <row r="6450" spans="1:8" s="422" customFormat="1" ht="11.25">
      <c r="A6450" s="421" t="s">
        <v>593</v>
      </c>
      <c r="B6450" s="421"/>
      <c r="C6450" s="421"/>
    </row>
    <row r="6451" spans="1:8" s="422" customFormat="1" ht="11.25">
      <c r="A6451" s="438"/>
      <c r="B6451" s="439" t="s">
        <v>132</v>
      </c>
      <c r="C6451" s="439" t="s">
        <v>473</v>
      </c>
      <c r="D6451" s="439" t="s">
        <v>474</v>
      </c>
      <c r="E6451" s="439" t="s">
        <v>375</v>
      </c>
      <c r="F6451" s="439" t="s">
        <v>9</v>
      </c>
      <c r="G6451" s="439" t="s">
        <v>131</v>
      </c>
      <c r="H6451" s="439" t="s">
        <v>424</v>
      </c>
    </row>
    <row r="6452" spans="1:8" s="422" customFormat="1" ht="11.25">
      <c r="A6452" s="439" t="s">
        <v>394</v>
      </c>
      <c r="B6452" s="438">
        <v>59850033.909999996</v>
      </c>
      <c r="C6452" s="438">
        <v>57713542.909999996</v>
      </c>
      <c r="D6452" s="438">
        <v>60553692.670000002</v>
      </c>
      <c r="E6452" s="438">
        <v>62204471.291600004</v>
      </c>
      <c r="F6452" s="438">
        <v>65671937.291600004</v>
      </c>
      <c r="G6452" s="438">
        <v>68185076.255840003</v>
      </c>
      <c r="H6452" s="438">
        <v>68944842.596639991</v>
      </c>
    </row>
    <row r="6453" spans="1:8" s="422" customFormat="1" ht="11.25">
      <c r="A6453" s="439" t="s">
        <v>395</v>
      </c>
      <c r="B6453" s="438">
        <v>-65053839.730000004</v>
      </c>
      <c r="C6453" s="438">
        <v>-65571091.649999999</v>
      </c>
      <c r="D6453" s="438">
        <v>-74905414.570000008</v>
      </c>
      <c r="E6453" s="438">
        <v>-78124568.280000001</v>
      </c>
      <c r="F6453" s="438">
        <v>-88585881.280000001</v>
      </c>
      <c r="G6453" s="438">
        <v>-90596964.280000001</v>
      </c>
      <c r="H6453" s="438">
        <v>-93332353.280000001</v>
      </c>
    </row>
    <row r="6454" spans="1:8" s="422" customFormat="1" ht="11.25">
      <c r="A6454" s="439" t="s">
        <v>396</v>
      </c>
      <c r="B6454" s="438">
        <v>-5203805.8200000077</v>
      </c>
      <c r="C6454" s="438">
        <v>-7857548.7400000021</v>
      </c>
      <c r="D6454" s="438">
        <v>-14351721.900000006</v>
      </c>
      <c r="E6454" s="438">
        <v>-15920096.988399997</v>
      </c>
      <c r="F6454" s="438">
        <v>-22913943.988399997</v>
      </c>
      <c r="G6454" s="438">
        <v>-22411888.024159998</v>
      </c>
      <c r="H6454" s="438">
        <v>-24387510.68336001</v>
      </c>
    </row>
    <row r="6455" spans="1:8" s="442" customFormat="1" ht="11.25">
      <c r="A6455" s="440" t="s">
        <v>397</v>
      </c>
      <c r="B6455" s="441">
        <v>1.0869474164012216</v>
      </c>
      <c r="C6455" s="441">
        <v>1.1361473987527202</v>
      </c>
      <c r="D6455" s="441">
        <v>1.237008203252157</v>
      </c>
      <c r="E6455" s="441">
        <v>1.2559317145188857</v>
      </c>
      <c r="F6455" s="441">
        <v>1.348915304365947</v>
      </c>
      <c r="G6455" s="441">
        <v>1.3286919844463829</v>
      </c>
      <c r="H6455" s="441">
        <v>1.3537249454036542</v>
      </c>
    </row>
    <row r="6456" spans="1:8" s="422" customFormat="1" ht="11.25"/>
    <row r="6457" spans="1:8" s="422" customFormat="1" ht="11.25">
      <c r="A6457" s="443" t="s">
        <v>594</v>
      </c>
      <c r="B6457" s="443"/>
      <c r="C6457" s="444"/>
    </row>
    <row r="6458" spans="1:8" s="422" customFormat="1" ht="11.25">
      <c r="A6458" s="445" t="s">
        <v>595</v>
      </c>
      <c r="B6458" s="446"/>
      <c r="C6458" s="447"/>
      <c r="D6458" s="439" t="s">
        <v>474</v>
      </c>
      <c r="E6458" s="439" t="s">
        <v>375</v>
      </c>
      <c r="F6458" s="439" t="s">
        <v>9</v>
      </c>
      <c r="G6458" s="439" t="s">
        <v>131</v>
      </c>
      <c r="H6458" s="439" t="s">
        <v>424</v>
      </c>
    </row>
    <row r="6459" spans="1:8" s="422" customFormat="1" ht="11.25">
      <c r="A6459" s="448" t="s">
        <v>596</v>
      </c>
      <c r="B6459" s="449"/>
      <c r="C6459" s="449"/>
      <c r="D6459" s="438"/>
      <c r="E6459" s="438"/>
      <c r="F6459" s="438"/>
      <c r="G6459" s="438"/>
      <c r="H6459" s="438"/>
    </row>
    <row r="6460" spans="1:8" s="422" customFormat="1" ht="11.25">
      <c r="A6460" s="448"/>
      <c r="B6460" s="449"/>
      <c r="C6460" s="449"/>
      <c r="D6460" s="438"/>
      <c r="E6460" s="438"/>
      <c r="F6460" s="438"/>
      <c r="G6460" s="438"/>
      <c r="H6460" s="438"/>
    </row>
    <row r="6461" spans="1:8" s="422" customFormat="1" ht="11.25">
      <c r="A6461" s="448"/>
      <c r="B6461" s="449"/>
      <c r="C6461" s="449"/>
      <c r="D6461" s="438"/>
      <c r="E6461" s="438"/>
      <c r="F6461" s="438"/>
      <c r="G6461" s="438"/>
      <c r="H6461" s="438"/>
    </row>
    <row r="6462" spans="1:8" s="422" customFormat="1" ht="11.25"/>
    <row r="6463" spans="1:8" s="422" customFormat="1" ht="11.25">
      <c r="A6463" s="421" t="s">
        <v>423</v>
      </c>
      <c r="B6463" s="421"/>
      <c r="C6463" s="421"/>
    </row>
    <row r="6464" spans="1:8" s="422" customFormat="1" ht="11.25">
      <c r="A6464" s="450"/>
      <c r="B6464" s="439" t="s">
        <v>132</v>
      </c>
      <c r="C6464" s="439" t="s">
        <v>473</v>
      </c>
      <c r="D6464" s="439" t="s">
        <v>474</v>
      </c>
      <c r="E6464" s="439" t="s">
        <v>375</v>
      </c>
      <c r="F6464" s="439" t="s">
        <v>9</v>
      </c>
      <c r="G6464" s="439" t="s">
        <v>131</v>
      </c>
      <c r="H6464" s="439" t="s">
        <v>424</v>
      </c>
    </row>
    <row r="6465" spans="1:8" s="422" customFormat="1" ht="11.25">
      <c r="A6465" s="451" t="s">
        <v>398</v>
      </c>
      <c r="B6465" s="438">
        <v>350000</v>
      </c>
      <c r="C6465" s="438">
        <v>0</v>
      </c>
      <c r="D6465" s="438">
        <v>0</v>
      </c>
      <c r="E6465" s="438">
        <v>0</v>
      </c>
      <c r="F6465" s="438">
        <v>0</v>
      </c>
      <c r="G6465" s="438">
        <v>0</v>
      </c>
      <c r="H6465" s="438">
        <v>2000000</v>
      </c>
    </row>
    <row r="6466" spans="1:8" s="422" customFormat="1" ht="11.25">
      <c r="A6466" s="451" t="s">
        <v>399</v>
      </c>
      <c r="B6466" s="438">
        <v>0</v>
      </c>
      <c r="C6466" s="438">
        <v>0</v>
      </c>
      <c r="D6466" s="438">
        <v>0</v>
      </c>
      <c r="E6466" s="438">
        <v>0</v>
      </c>
      <c r="F6466" s="438">
        <v>0</v>
      </c>
      <c r="G6466" s="438">
        <v>0</v>
      </c>
      <c r="H6466" s="438">
        <v>0</v>
      </c>
    </row>
    <row r="6467" spans="1:8" s="422" customFormat="1" ht="11.25">
      <c r="A6467" s="451" t="s">
        <v>400</v>
      </c>
      <c r="B6467" s="438">
        <v>0</v>
      </c>
      <c r="C6467" s="438">
        <v>0</v>
      </c>
      <c r="D6467" s="438">
        <v>0</v>
      </c>
      <c r="E6467" s="438">
        <v>0</v>
      </c>
      <c r="F6467" s="438">
        <v>0</v>
      </c>
      <c r="G6467" s="438">
        <v>0</v>
      </c>
      <c r="H6467" s="438">
        <v>0</v>
      </c>
    </row>
    <row r="6468" spans="1:8" s="422" customFormat="1" ht="11.25">
      <c r="A6468" s="451" t="s">
        <v>401</v>
      </c>
      <c r="B6468" s="438">
        <v>350000</v>
      </c>
      <c r="C6468" s="438">
        <v>0</v>
      </c>
      <c r="D6468" s="438">
        <v>0</v>
      </c>
      <c r="E6468" s="438">
        <v>0</v>
      </c>
      <c r="F6468" s="438">
        <v>0</v>
      </c>
      <c r="G6468" s="438">
        <v>0</v>
      </c>
      <c r="H6468" s="438">
        <v>2000000</v>
      </c>
    </row>
    <row r="6469" spans="1:8" s="422" customFormat="1" ht="11.25"/>
    <row r="6470" spans="1:8" s="422" customFormat="1" ht="11.25">
      <c r="A6470" s="421" t="s">
        <v>597</v>
      </c>
      <c r="B6470" s="421"/>
      <c r="C6470" s="421"/>
    </row>
    <row r="6471" spans="1:8" s="429" customFormat="1" ht="11.25">
      <c r="A6471" s="428"/>
      <c r="B6471" s="428"/>
      <c r="C6471" s="428"/>
    </row>
    <row r="6472" spans="1:8" s="429" customFormat="1" ht="11.25">
      <c r="A6472" s="428"/>
      <c r="B6472" s="428"/>
      <c r="C6472" s="428"/>
    </row>
    <row r="6473" spans="1:8" s="429" customFormat="1" ht="11.25">
      <c r="A6473" s="428"/>
      <c r="B6473" s="428"/>
      <c r="C6473" s="428"/>
    </row>
    <row r="6474" spans="1:8" s="422" customFormat="1" ht="7.5" customHeight="1"/>
    <row r="6475" spans="1:8" s="422" customFormat="1" ht="11.25">
      <c r="A6475" s="421" t="s">
        <v>598</v>
      </c>
      <c r="B6475" s="421"/>
      <c r="C6475" s="421"/>
    </row>
    <row r="6476" spans="1:8" s="422" customFormat="1" ht="11.25">
      <c r="A6476" s="452" t="s">
        <v>599</v>
      </c>
      <c r="B6476" s="447"/>
      <c r="C6476" s="447"/>
      <c r="D6476" s="447"/>
      <c r="E6476" s="439" t="s">
        <v>375</v>
      </c>
      <c r="F6476" s="439" t="s">
        <v>9</v>
      </c>
      <c r="G6476" s="439" t="s">
        <v>131</v>
      </c>
      <c r="H6476" s="439" t="s">
        <v>424</v>
      </c>
    </row>
    <row r="6477" spans="1:8" s="422" customFormat="1" ht="11.25">
      <c r="A6477" s="448"/>
      <c r="B6477" s="449"/>
      <c r="C6477" s="449"/>
      <c r="D6477" s="449"/>
      <c r="E6477" s="438">
        <v>0</v>
      </c>
      <c r="F6477" s="438">
        <v>0</v>
      </c>
      <c r="G6477" s="438">
        <v>0</v>
      </c>
      <c r="H6477" s="438">
        <v>0</v>
      </c>
    </row>
    <row r="6478" spans="1:8" s="422" customFormat="1" ht="11.25">
      <c r="A6478" s="448"/>
      <c r="B6478" s="449"/>
      <c r="C6478" s="449"/>
      <c r="D6478" s="449"/>
      <c r="E6478" s="438">
        <v>0</v>
      </c>
      <c r="F6478" s="438">
        <v>0</v>
      </c>
      <c r="G6478" s="438">
        <v>0</v>
      </c>
      <c r="H6478" s="438">
        <v>0</v>
      </c>
    </row>
    <row r="6479" spans="1:8" s="422" customFormat="1" ht="11.25">
      <c r="A6479" s="448"/>
      <c r="B6479" s="449"/>
      <c r="C6479" s="449"/>
      <c r="D6479" s="449"/>
      <c r="E6479" s="438">
        <v>0</v>
      </c>
      <c r="F6479" s="438">
        <v>0</v>
      </c>
      <c r="G6479" s="438">
        <v>0</v>
      </c>
      <c r="H6479" s="438">
        <v>0</v>
      </c>
    </row>
    <row r="6480" spans="1:8" s="421" customFormat="1" ht="11.25">
      <c r="A6480" s="421" t="s">
        <v>391</v>
      </c>
      <c r="D6480" s="421" t="s">
        <v>472</v>
      </c>
    </row>
    <row r="6481" spans="1:8" s="422" customFormat="1" ht="11.25"/>
    <row r="6482" spans="1:8" s="421" customFormat="1" ht="11.25" customHeight="1">
      <c r="A6482" s="423" t="s">
        <v>392</v>
      </c>
      <c r="D6482" s="421" t="s">
        <v>161</v>
      </c>
    </row>
    <row r="6483" spans="1:8" s="421" customFormat="1" ht="7.5" customHeight="1">
      <c r="A6483" s="423"/>
    </row>
    <row r="6484" spans="1:8" s="421" customFormat="1" ht="11.25">
      <c r="A6484" s="424" t="s">
        <v>393</v>
      </c>
      <c r="D6484" s="583" t="s">
        <v>162</v>
      </c>
      <c r="E6484" s="583"/>
      <c r="F6484" s="583"/>
      <c r="G6484" s="583"/>
      <c r="H6484" s="583"/>
    </row>
    <row r="6485" spans="1:8" s="421" customFormat="1" ht="7.5" customHeight="1"/>
    <row r="6486" spans="1:8" s="422" customFormat="1" ht="11.25">
      <c r="A6486" s="421" t="s">
        <v>170</v>
      </c>
      <c r="B6486" s="421"/>
      <c r="C6486" s="421"/>
      <c r="D6486" s="422" t="s">
        <v>323</v>
      </c>
      <c r="E6486" s="422" t="s">
        <v>324</v>
      </c>
    </row>
    <row r="6487" spans="1:8" s="422" customFormat="1" ht="7.5" customHeight="1"/>
    <row r="6488" spans="1:8" s="427" customFormat="1" ht="11.25">
      <c r="A6488" s="425" t="s">
        <v>587</v>
      </c>
      <c r="B6488" s="425"/>
      <c r="C6488" s="425"/>
      <c r="D6488" s="426" t="s">
        <v>1334</v>
      </c>
      <c r="E6488" s="584" t="s">
        <v>1335</v>
      </c>
      <c r="F6488" s="584"/>
      <c r="G6488" s="584"/>
      <c r="H6488" s="584"/>
    </row>
    <row r="6489" spans="1:8" s="427" customFormat="1" ht="11.25">
      <c r="A6489" s="425"/>
      <c r="B6489" s="425"/>
      <c r="C6489" s="425"/>
      <c r="D6489" s="426" t="s">
        <v>1336</v>
      </c>
      <c r="E6489" s="584" t="s">
        <v>400</v>
      </c>
      <c r="F6489" s="584"/>
      <c r="G6489" s="584"/>
      <c r="H6489" s="584"/>
    </row>
    <row r="6490" spans="1:8" s="427" customFormat="1" ht="11.25">
      <c r="A6490" s="425"/>
      <c r="B6490" s="425"/>
      <c r="C6490" s="425"/>
      <c r="D6490" s="426" t="s">
        <v>1337</v>
      </c>
      <c r="E6490" s="584" t="s">
        <v>1338</v>
      </c>
      <c r="F6490" s="584"/>
      <c r="G6490" s="584"/>
      <c r="H6490" s="584"/>
    </row>
    <row r="6491" spans="1:8" s="427" customFormat="1" ht="11.25">
      <c r="A6491" s="425"/>
      <c r="B6491" s="425"/>
      <c r="C6491" s="425"/>
      <c r="D6491" s="426" t="s">
        <v>1339</v>
      </c>
      <c r="E6491" s="584" t="s">
        <v>1340</v>
      </c>
      <c r="F6491" s="584"/>
      <c r="G6491" s="584"/>
      <c r="H6491" s="584"/>
    </row>
    <row r="6492" spans="1:8" s="427" customFormat="1" ht="11.25">
      <c r="A6492" s="425"/>
      <c r="B6492" s="425"/>
      <c r="C6492" s="425"/>
      <c r="D6492" s="426"/>
      <c r="E6492" s="584"/>
      <c r="F6492" s="584"/>
      <c r="G6492" s="584"/>
      <c r="H6492" s="584"/>
    </row>
    <row r="6493" spans="1:8" s="427" customFormat="1" ht="11.25"/>
    <row r="6494" spans="1:8" s="422" customFormat="1" ht="11.25"/>
    <row r="6495" spans="1:8" s="422" customFormat="1" ht="11.25">
      <c r="A6495" s="421" t="s">
        <v>589</v>
      </c>
      <c r="B6495" s="421"/>
      <c r="C6495" s="421"/>
    </row>
    <row r="6496" spans="1:8" s="429" customFormat="1" ht="11.25">
      <c r="A6496" s="428"/>
      <c r="B6496" s="428"/>
      <c r="C6496" s="428"/>
    </row>
    <row r="6497" spans="1:8" s="429" customFormat="1" ht="11.25">
      <c r="A6497" s="428"/>
      <c r="B6497" s="428"/>
      <c r="C6497" s="428"/>
    </row>
    <row r="6498" spans="1:8" s="429" customFormat="1" ht="11.25">
      <c r="A6498" s="428"/>
      <c r="B6498" s="428"/>
      <c r="C6498" s="428"/>
    </row>
    <row r="6499" spans="1:8" s="422" customFormat="1" ht="9" customHeight="1">
      <c r="A6499" s="430"/>
      <c r="B6499" s="430"/>
      <c r="C6499" s="430"/>
      <c r="D6499" s="430"/>
      <c r="E6499" s="430"/>
      <c r="F6499" s="430"/>
      <c r="G6499" s="430"/>
      <c r="H6499" s="430"/>
    </row>
    <row r="6500" spans="1:8" s="422" customFormat="1" ht="22.5" customHeight="1">
      <c r="A6500" s="585" t="s">
        <v>590</v>
      </c>
      <c r="B6500" s="585"/>
      <c r="C6500" s="585"/>
      <c r="D6500" s="586"/>
      <c r="E6500" s="586"/>
      <c r="F6500" s="586"/>
      <c r="G6500" s="586"/>
      <c r="H6500" s="586"/>
    </row>
    <row r="6501" spans="1:8" s="429" customFormat="1" ht="11.25">
      <c r="A6501" s="431"/>
      <c r="B6501" s="431"/>
      <c r="C6501" s="431"/>
      <c r="D6501" s="432"/>
      <c r="E6501" s="432"/>
      <c r="F6501" s="432"/>
      <c r="G6501" s="432"/>
      <c r="H6501" s="432"/>
    </row>
    <row r="6502" spans="1:8" s="429" customFormat="1" ht="11.25">
      <c r="A6502" s="431"/>
      <c r="B6502" s="431"/>
      <c r="C6502" s="431"/>
      <c r="D6502" s="432"/>
      <c r="E6502" s="432"/>
      <c r="F6502" s="432"/>
      <c r="G6502" s="432"/>
      <c r="H6502" s="432"/>
    </row>
    <row r="6503" spans="1:8" s="429" customFormat="1" ht="11.25">
      <c r="A6503" s="431"/>
      <c r="B6503" s="431"/>
      <c r="C6503" s="431"/>
      <c r="D6503" s="432"/>
      <c r="E6503" s="432"/>
      <c r="F6503" s="432"/>
      <c r="G6503" s="432"/>
      <c r="H6503" s="432"/>
    </row>
    <row r="6504" spans="1:8" s="429" customFormat="1" ht="11.25">
      <c r="A6504" s="431"/>
      <c r="B6504" s="431"/>
      <c r="C6504" s="431"/>
      <c r="D6504" s="432"/>
      <c r="E6504" s="432"/>
      <c r="F6504" s="432"/>
      <c r="G6504" s="432"/>
      <c r="H6504" s="432"/>
    </row>
    <row r="6505" spans="1:8" s="429" customFormat="1" ht="11.25">
      <c r="A6505" s="431"/>
      <c r="B6505" s="431"/>
      <c r="C6505" s="431"/>
      <c r="D6505" s="432"/>
      <c r="E6505" s="432"/>
      <c r="F6505" s="432"/>
      <c r="G6505" s="432"/>
      <c r="H6505" s="432"/>
    </row>
    <row r="6506" spans="1:8" s="429" customFormat="1" ht="11.25">
      <c r="A6506" s="431"/>
      <c r="B6506" s="431"/>
      <c r="C6506" s="431"/>
      <c r="D6506" s="432"/>
      <c r="E6506" s="432"/>
      <c r="F6506" s="432"/>
      <c r="G6506" s="432"/>
      <c r="H6506" s="432"/>
    </row>
    <row r="6507" spans="1:8" s="429" customFormat="1" ht="11.25">
      <c r="A6507" s="431"/>
      <c r="B6507" s="431"/>
      <c r="C6507" s="431"/>
      <c r="D6507" s="432"/>
      <c r="E6507" s="432"/>
      <c r="F6507" s="432"/>
      <c r="G6507" s="432"/>
      <c r="H6507" s="432"/>
    </row>
    <row r="6508" spans="1:8" s="429" customFormat="1" ht="11.25">
      <c r="A6508" s="431"/>
      <c r="B6508" s="431"/>
      <c r="C6508" s="431"/>
      <c r="D6508" s="432"/>
      <c r="E6508" s="432"/>
      <c r="F6508" s="432"/>
      <c r="G6508" s="432"/>
      <c r="H6508" s="432"/>
    </row>
    <row r="6509" spans="1:8" s="429" customFormat="1" ht="11.25">
      <c r="A6509" s="431"/>
      <c r="B6509" s="431"/>
      <c r="C6509" s="431"/>
      <c r="D6509" s="432"/>
      <c r="E6509" s="432"/>
      <c r="F6509" s="432"/>
      <c r="G6509" s="432"/>
      <c r="H6509" s="432"/>
    </row>
    <row r="6510" spans="1:8" s="429" customFormat="1" ht="11.25">
      <c r="A6510" s="431"/>
      <c r="B6510" s="431"/>
      <c r="C6510" s="431"/>
      <c r="D6510" s="432"/>
      <c r="E6510" s="432"/>
      <c r="F6510" s="432"/>
      <c r="G6510" s="432"/>
      <c r="H6510" s="432"/>
    </row>
    <row r="6511" spans="1:8" s="422" customFormat="1" ht="9" customHeight="1"/>
    <row r="6512" spans="1:8" s="422" customFormat="1" ht="11.25">
      <c r="A6512" s="421" t="s">
        <v>591</v>
      </c>
      <c r="B6512" s="421"/>
      <c r="C6512" s="421"/>
    </row>
    <row r="6513" spans="1:8" s="429" customFormat="1" ht="11.25">
      <c r="A6513" s="428"/>
      <c r="B6513" s="428"/>
      <c r="C6513" s="428"/>
    </row>
    <row r="6514" spans="1:8" s="429" customFormat="1" ht="11.25">
      <c r="A6514" s="428"/>
      <c r="B6514" s="428"/>
      <c r="C6514" s="428"/>
    </row>
    <row r="6515" spans="1:8" s="429" customFormat="1" ht="11.25">
      <c r="A6515" s="428"/>
      <c r="B6515" s="428"/>
      <c r="C6515" s="428"/>
    </row>
    <row r="6516" spans="1:8" s="422" customFormat="1" ht="9" customHeight="1"/>
    <row r="6517" spans="1:8" s="422" customFormat="1" ht="11.25">
      <c r="A6517" s="433" t="s">
        <v>592</v>
      </c>
      <c r="B6517" s="434"/>
      <c r="C6517" s="434"/>
      <c r="D6517" s="434"/>
      <c r="E6517" s="434"/>
      <c r="F6517" s="434"/>
      <c r="G6517" s="434"/>
      <c r="H6517" s="434"/>
    </row>
    <row r="6518" spans="1:8" s="429" customFormat="1" ht="11.25">
      <c r="A6518" s="435"/>
      <c r="B6518" s="436"/>
      <c r="C6518" s="436"/>
      <c r="D6518" s="436"/>
      <c r="E6518" s="436"/>
      <c r="F6518" s="436"/>
      <c r="G6518" s="436"/>
      <c r="H6518" s="436"/>
    </row>
    <row r="6519" spans="1:8" s="429" customFormat="1" ht="11.25">
      <c r="A6519" s="435"/>
      <c r="B6519" s="436"/>
      <c r="C6519" s="436"/>
      <c r="D6519" s="436"/>
      <c r="E6519" s="436"/>
      <c r="F6519" s="436"/>
      <c r="G6519" s="436"/>
      <c r="H6519" s="436"/>
    </row>
    <row r="6520" spans="1:8" s="422" customFormat="1" ht="11.25">
      <c r="A6520" s="437"/>
      <c r="B6520" s="437"/>
      <c r="C6520" s="437"/>
      <c r="D6520" s="437"/>
      <c r="E6520" s="437"/>
      <c r="F6520" s="437"/>
      <c r="G6520" s="437"/>
      <c r="H6520" s="437"/>
    </row>
    <row r="6521" spans="1:8" s="422" customFormat="1" ht="11.25">
      <c r="A6521" s="421" t="s">
        <v>593</v>
      </c>
      <c r="B6521" s="421"/>
      <c r="C6521" s="421"/>
    </row>
    <row r="6522" spans="1:8" s="422" customFormat="1" ht="11.25">
      <c r="A6522" s="438"/>
      <c r="B6522" s="439" t="s">
        <v>132</v>
      </c>
      <c r="C6522" s="439" t="s">
        <v>473</v>
      </c>
      <c r="D6522" s="439" t="s">
        <v>474</v>
      </c>
      <c r="E6522" s="439" t="s">
        <v>375</v>
      </c>
      <c r="F6522" s="439" t="s">
        <v>9</v>
      </c>
      <c r="G6522" s="439" t="s">
        <v>131</v>
      </c>
      <c r="H6522" s="439" t="s">
        <v>424</v>
      </c>
    </row>
    <row r="6523" spans="1:8" s="422" customFormat="1" ht="11.25">
      <c r="A6523" s="439" t="s">
        <v>394</v>
      </c>
      <c r="B6523" s="438">
        <v>77552175.099999994</v>
      </c>
      <c r="C6523" s="438">
        <v>24744596.5</v>
      </c>
      <c r="D6523" s="438">
        <v>49016356.799999997</v>
      </c>
      <c r="E6523" s="438">
        <v>56992987.241900004</v>
      </c>
      <c r="F6523" s="438">
        <v>54480947.241900004</v>
      </c>
      <c r="G6523" s="438">
        <v>51560455.362560004</v>
      </c>
      <c r="H6523" s="438">
        <v>51665677.54851</v>
      </c>
    </row>
    <row r="6524" spans="1:8" s="422" customFormat="1" ht="11.25">
      <c r="A6524" s="439" t="s">
        <v>395</v>
      </c>
      <c r="B6524" s="438">
        <v>-32120472</v>
      </c>
      <c r="C6524" s="438">
        <v>-32120203.149999999</v>
      </c>
      <c r="D6524" s="438">
        <v>-63253956.719999999</v>
      </c>
      <c r="E6524" s="438">
        <v>-63253956.719999999</v>
      </c>
      <c r="F6524" s="438">
        <v>-63253956.719999999</v>
      </c>
      <c r="G6524" s="438">
        <v>-63253956.719999999</v>
      </c>
      <c r="H6524" s="438">
        <v>-63253956.719999999</v>
      </c>
    </row>
    <row r="6525" spans="1:8" s="422" customFormat="1" ht="11.25">
      <c r="A6525" s="439" t="s">
        <v>396</v>
      </c>
      <c r="B6525" s="438">
        <v>45431703.099999994</v>
      </c>
      <c r="C6525" s="438">
        <v>-7375606.6499999985</v>
      </c>
      <c r="D6525" s="438">
        <v>-14237599.920000002</v>
      </c>
      <c r="E6525" s="438">
        <v>-6260969.4780999944</v>
      </c>
      <c r="F6525" s="438">
        <v>-8773009.4780999944</v>
      </c>
      <c r="G6525" s="438">
        <v>-11693501.357439995</v>
      </c>
      <c r="H6525" s="438">
        <v>-11588279.171489999</v>
      </c>
    </row>
    <row r="6526" spans="1:8" s="442" customFormat="1" ht="11.25">
      <c r="A6526" s="440" t="s">
        <v>397</v>
      </c>
      <c r="B6526" s="441">
        <v>0.41417886678977239</v>
      </c>
      <c r="C6526" s="441">
        <v>1.2980693845624034</v>
      </c>
      <c r="D6526" s="441">
        <v>1.2904663024649763</v>
      </c>
      <c r="E6526" s="441">
        <v>1.1098550853550815</v>
      </c>
      <c r="F6526" s="441">
        <v>1.1610289453879554</v>
      </c>
      <c r="G6526" s="441">
        <v>1.2267920497446012</v>
      </c>
      <c r="H6526" s="441">
        <v>1.2242935682128531</v>
      </c>
    </row>
    <row r="6527" spans="1:8" s="422" customFormat="1" ht="11.25"/>
    <row r="6528" spans="1:8" s="422" customFormat="1" ht="11.25">
      <c r="A6528" s="443" t="s">
        <v>594</v>
      </c>
      <c r="B6528" s="443"/>
      <c r="C6528" s="444"/>
    </row>
    <row r="6529" spans="1:8" s="422" customFormat="1" ht="11.25">
      <c r="A6529" s="445" t="s">
        <v>595</v>
      </c>
      <c r="B6529" s="446"/>
      <c r="C6529" s="447"/>
      <c r="D6529" s="439" t="s">
        <v>474</v>
      </c>
      <c r="E6529" s="439" t="s">
        <v>375</v>
      </c>
      <c r="F6529" s="439" t="s">
        <v>9</v>
      </c>
      <c r="G6529" s="439" t="s">
        <v>131</v>
      </c>
      <c r="H6529" s="439" t="s">
        <v>424</v>
      </c>
    </row>
    <row r="6530" spans="1:8" s="422" customFormat="1" ht="11.25">
      <c r="A6530" s="448" t="s">
        <v>596</v>
      </c>
      <c r="B6530" s="449"/>
      <c r="C6530" s="449"/>
      <c r="D6530" s="512"/>
      <c r="E6530" s="512"/>
      <c r="F6530" s="512"/>
      <c r="G6530" s="512"/>
      <c r="H6530" s="512"/>
    </row>
    <row r="6531" spans="1:8" s="422" customFormat="1" ht="11.25">
      <c r="A6531" s="448"/>
      <c r="B6531" s="449"/>
      <c r="C6531" s="449"/>
      <c r="D6531" s="512"/>
      <c r="E6531" s="512"/>
      <c r="F6531" s="512"/>
      <c r="G6531" s="512"/>
      <c r="H6531" s="512"/>
    </row>
    <row r="6532" spans="1:8" s="422" customFormat="1" ht="11.25">
      <c r="A6532" s="448"/>
      <c r="B6532" s="449"/>
      <c r="C6532" s="449"/>
      <c r="D6532" s="512"/>
      <c r="E6532" s="512"/>
      <c r="F6532" s="512"/>
      <c r="G6532" s="512"/>
      <c r="H6532" s="512"/>
    </row>
    <row r="6533" spans="1:8" s="422" customFormat="1" ht="11.25"/>
    <row r="6534" spans="1:8" s="422" customFormat="1" ht="11.25">
      <c r="A6534" s="421" t="s">
        <v>423</v>
      </c>
      <c r="B6534" s="421"/>
      <c r="C6534" s="421"/>
    </row>
    <row r="6535" spans="1:8" s="422" customFormat="1" ht="11.25">
      <c r="A6535" s="450"/>
      <c r="B6535" s="439" t="s">
        <v>132</v>
      </c>
      <c r="C6535" s="439" t="s">
        <v>473</v>
      </c>
      <c r="D6535" s="439" t="s">
        <v>474</v>
      </c>
      <c r="E6535" s="439" t="s">
        <v>375</v>
      </c>
      <c r="F6535" s="439" t="s">
        <v>9</v>
      </c>
      <c r="G6535" s="439" t="s">
        <v>131</v>
      </c>
      <c r="H6535" s="439" t="s">
        <v>424</v>
      </c>
    </row>
    <row r="6536" spans="1:8" s="422" customFormat="1" ht="11.25">
      <c r="A6536" s="451" t="s">
        <v>398</v>
      </c>
      <c r="B6536" s="438">
        <v>0</v>
      </c>
      <c r="C6536" s="438">
        <v>0</v>
      </c>
      <c r="D6536" s="438">
        <v>0</v>
      </c>
      <c r="E6536" s="438">
        <v>0</v>
      </c>
      <c r="F6536" s="438">
        <v>0</v>
      </c>
      <c r="G6536" s="438">
        <v>0</v>
      </c>
      <c r="H6536" s="438">
        <v>0</v>
      </c>
    </row>
    <row r="6537" spans="1:8" s="422" customFormat="1" ht="11.25">
      <c r="A6537" s="451" t="s">
        <v>399</v>
      </c>
      <c r="B6537" s="438">
        <v>0</v>
      </c>
      <c r="C6537" s="438">
        <v>0</v>
      </c>
      <c r="D6537" s="438">
        <v>0</v>
      </c>
      <c r="E6537" s="438">
        <v>0</v>
      </c>
      <c r="F6537" s="438">
        <v>0</v>
      </c>
      <c r="G6537" s="438">
        <v>0</v>
      </c>
      <c r="H6537" s="438">
        <v>0</v>
      </c>
    </row>
    <row r="6538" spans="1:8" s="422" customFormat="1" ht="11.25">
      <c r="A6538" s="451" t="s">
        <v>400</v>
      </c>
      <c r="B6538" s="438">
        <v>0</v>
      </c>
      <c r="C6538" s="438">
        <v>0</v>
      </c>
      <c r="D6538" s="438">
        <v>0</v>
      </c>
      <c r="E6538" s="438">
        <v>0</v>
      </c>
      <c r="F6538" s="438">
        <v>0</v>
      </c>
      <c r="G6538" s="438">
        <v>0</v>
      </c>
      <c r="H6538" s="438">
        <v>0</v>
      </c>
    </row>
    <row r="6539" spans="1:8" s="422" customFormat="1" ht="11.25">
      <c r="A6539" s="451" t="s">
        <v>401</v>
      </c>
      <c r="B6539" s="438">
        <v>0</v>
      </c>
      <c r="C6539" s="438">
        <v>0</v>
      </c>
      <c r="D6539" s="438">
        <v>0</v>
      </c>
      <c r="E6539" s="438">
        <v>0</v>
      </c>
      <c r="F6539" s="438">
        <v>0</v>
      </c>
      <c r="G6539" s="438">
        <v>0</v>
      </c>
      <c r="H6539" s="438">
        <v>0</v>
      </c>
    </row>
    <row r="6540" spans="1:8" s="422" customFormat="1" ht="11.25"/>
    <row r="6541" spans="1:8" s="422" customFormat="1" ht="11.25">
      <c r="A6541" s="421" t="s">
        <v>597</v>
      </c>
      <c r="B6541" s="421"/>
      <c r="C6541" s="421"/>
    </row>
    <row r="6542" spans="1:8" s="429" customFormat="1" ht="11.25">
      <c r="A6542" s="428"/>
      <c r="B6542" s="428"/>
      <c r="C6542" s="428"/>
    </row>
    <row r="6543" spans="1:8" s="429" customFormat="1" ht="11.25">
      <c r="A6543" s="428"/>
      <c r="B6543" s="428"/>
      <c r="C6543" s="428"/>
    </row>
    <row r="6544" spans="1:8" s="429" customFormat="1" ht="11.25">
      <c r="A6544" s="428"/>
      <c r="B6544" s="428"/>
      <c r="C6544" s="428"/>
    </row>
    <row r="6545" spans="1:8" s="422" customFormat="1" ht="11.25"/>
    <row r="6546" spans="1:8" s="422" customFormat="1" ht="11.25">
      <c r="A6546" s="421" t="s">
        <v>598</v>
      </c>
      <c r="B6546" s="421"/>
      <c r="C6546" s="421"/>
    </row>
    <row r="6547" spans="1:8" s="422" customFormat="1" ht="11.25">
      <c r="A6547" s="452" t="s">
        <v>599</v>
      </c>
      <c r="B6547" s="447"/>
      <c r="C6547" s="447"/>
      <c r="D6547" s="447"/>
      <c r="E6547" s="439" t="s">
        <v>375</v>
      </c>
      <c r="F6547" s="439" t="s">
        <v>9</v>
      </c>
      <c r="G6547" s="439" t="s">
        <v>131</v>
      </c>
      <c r="H6547" s="439" t="s">
        <v>424</v>
      </c>
    </row>
    <row r="6548" spans="1:8" s="422" customFormat="1" ht="11.25">
      <c r="A6548" s="448" t="s">
        <v>163</v>
      </c>
      <c r="B6548" s="449"/>
      <c r="C6548" s="449"/>
      <c r="D6548" s="449"/>
      <c r="E6548" s="438">
        <v>0</v>
      </c>
      <c r="F6548" s="438">
        <v>135000</v>
      </c>
      <c r="G6548" s="438">
        <v>133500</v>
      </c>
      <c r="H6548" s="438">
        <v>132000</v>
      </c>
    </row>
    <row r="6549" spans="1:8" s="422" customFormat="1" ht="11.25">
      <c r="A6549" s="448"/>
      <c r="B6549" s="449"/>
      <c r="C6549" s="449"/>
      <c r="D6549" s="449"/>
      <c r="E6549" s="438">
        <v>0</v>
      </c>
      <c r="F6549" s="438">
        <v>0</v>
      </c>
      <c r="G6549" s="438">
        <v>0</v>
      </c>
      <c r="H6549" s="438">
        <v>0</v>
      </c>
    </row>
    <row r="6550" spans="1:8" s="422" customFormat="1" ht="11.25">
      <c r="A6550" s="448"/>
      <c r="B6550" s="449"/>
      <c r="C6550" s="449"/>
      <c r="D6550" s="449"/>
      <c r="E6550" s="438">
        <v>0</v>
      </c>
      <c r="F6550" s="438">
        <v>0</v>
      </c>
      <c r="G6550" s="438">
        <v>0</v>
      </c>
      <c r="H6550" s="438">
        <v>0</v>
      </c>
    </row>
    <row r="6551" spans="1:8" s="421" customFormat="1" ht="11.25">
      <c r="A6551" s="421" t="s">
        <v>391</v>
      </c>
      <c r="D6551" s="421" t="s">
        <v>472</v>
      </c>
    </row>
    <row r="6552" spans="1:8" s="422" customFormat="1" ht="11.25"/>
    <row r="6553" spans="1:8" s="421" customFormat="1" ht="11.25" customHeight="1">
      <c r="A6553" s="423" t="s">
        <v>392</v>
      </c>
      <c r="D6553" s="421" t="s">
        <v>161</v>
      </c>
    </row>
    <row r="6554" spans="1:8" s="421" customFormat="1" ht="7.5" customHeight="1">
      <c r="A6554" s="423"/>
    </row>
    <row r="6555" spans="1:8" s="421" customFormat="1" ht="11.25">
      <c r="A6555" s="424" t="s">
        <v>393</v>
      </c>
      <c r="D6555" s="583" t="s">
        <v>1341</v>
      </c>
      <c r="E6555" s="583"/>
      <c r="F6555" s="583"/>
      <c r="G6555" s="583"/>
      <c r="H6555" s="583"/>
    </row>
    <row r="6556" spans="1:8" s="421" customFormat="1" ht="7.5" customHeight="1"/>
    <row r="6557" spans="1:8" s="422" customFormat="1" ht="11.25">
      <c r="A6557" s="421" t="s">
        <v>170</v>
      </c>
      <c r="B6557" s="421"/>
      <c r="C6557" s="421"/>
      <c r="D6557" s="422" t="s">
        <v>325</v>
      </c>
      <c r="E6557" s="422" t="s">
        <v>1342</v>
      </c>
    </row>
    <row r="6558" spans="1:8" s="422" customFormat="1" ht="7.5" customHeight="1"/>
    <row r="6559" spans="1:8" s="427" customFormat="1" ht="11.25">
      <c r="A6559" s="425" t="s">
        <v>587</v>
      </c>
      <c r="B6559" s="425"/>
      <c r="C6559" s="425"/>
      <c r="D6559" s="426" t="s">
        <v>1343</v>
      </c>
      <c r="E6559" s="584" t="s">
        <v>1342</v>
      </c>
      <c r="F6559" s="584"/>
      <c r="G6559" s="584"/>
      <c r="H6559" s="584"/>
    </row>
    <row r="6560" spans="1:8" s="427" customFormat="1" ht="11.25">
      <c r="A6560" s="425"/>
      <c r="B6560" s="425"/>
      <c r="C6560" s="425"/>
      <c r="D6560" s="426"/>
      <c r="E6560" s="584"/>
      <c r="F6560" s="584"/>
      <c r="G6560" s="584"/>
      <c r="H6560" s="584"/>
    </row>
    <row r="6561" spans="1:8" s="427" customFormat="1" ht="11.25"/>
    <row r="6562" spans="1:8" s="422" customFormat="1" ht="11.25"/>
    <row r="6563" spans="1:8" s="422" customFormat="1" ht="11.25">
      <c r="A6563" s="421" t="s">
        <v>589</v>
      </c>
      <c r="B6563" s="421"/>
      <c r="C6563" s="421"/>
    </row>
    <row r="6564" spans="1:8" s="429" customFormat="1" ht="11.25">
      <c r="A6564" s="428"/>
      <c r="B6564" s="428"/>
      <c r="C6564" s="428"/>
    </row>
    <row r="6565" spans="1:8" s="429" customFormat="1" ht="11.25">
      <c r="A6565" s="428"/>
      <c r="B6565" s="428"/>
      <c r="C6565" s="428"/>
    </row>
    <row r="6566" spans="1:8" s="429" customFormat="1" ht="11.25">
      <c r="A6566" s="428"/>
      <c r="B6566" s="428"/>
      <c r="C6566" s="428"/>
    </row>
    <row r="6567" spans="1:8" s="429" customFormat="1" ht="11.25">
      <c r="A6567" s="428"/>
      <c r="B6567" s="428"/>
      <c r="C6567" s="428"/>
    </row>
    <row r="6568" spans="1:8" s="429" customFormat="1" ht="11.25">
      <c r="A6568" s="428"/>
      <c r="B6568" s="428"/>
      <c r="C6568" s="428"/>
    </row>
    <row r="6569" spans="1:8" s="429" customFormat="1" ht="11.25">
      <c r="A6569" s="428"/>
      <c r="B6569" s="428"/>
      <c r="C6569" s="428"/>
    </row>
    <row r="6570" spans="1:8" s="422" customFormat="1" ht="9" customHeight="1">
      <c r="A6570" s="430"/>
      <c r="B6570" s="430"/>
      <c r="C6570" s="430"/>
      <c r="D6570" s="430"/>
      <c r="E6570" s="430"/>
      <c r="F6570" s="430"/>
      <c r="G6570" s="430"/>
      <c r="H6570" s="430"/>
    </row>
    <row r="6571" spans="1:8" s="422" customFormat="1" ht="22.5" customHeight="1">
      <c r="A6571" s="585" t="s">
        <v>590</v>
      </c>
      <c r="B6571" s="585"/>
      <c r="C6571" s="585"/>
      <c r="D6571" s="586"/>
      <c r="E6571" s="586"/>
      <c r="F6571" s="586"/>
      <c r="G6571" s="586"/>
      <c r="H6571" s="586"/>
    </row>
    <row r="6572" spans="1:8" s="429" customFormat="1" ht="11.25">
      <c r="A6572" s="431"/>
      <c r="B6572" s="431"/>
      <c r="C6572" s="431"/>
      <c r="D6572" s="432"/>
      <c r="E6572" s="432"/>
      <c r="F6572" s="432"/>
      <c r="G6572" s="432"/>
      <c r="H6572" s="432"/>
    </row>
    <row r="6573" spans="1:8" s="429" customFormat="1" ht="11.25">
      <c r="A6573" s="431"/>
      <c r="B6573" s="431"/>
      <c r="C6573" s="431"/>
      <c r="D6573" s="432"/>
      <c r="E6573" s="432"/>
      <c r="F6573" s="432"/>
      <c r="G6573" s="432"/>
      <c r="H6573" s="432"/>
    </row>
    <row r="6574" spans="1:8" s="429" customFormat="1" ht="11.25">
      <c r="A6574" s="431"/>
      <c r="B6574" s="431"/>
      <c r="C6574" s="431"/>
      <c r="D6574" s="432"/>
      <c r="E6574" s="432"/>
      <c r="F6574" s="432"/>
      <c r="G6574" s="432"/>
      <c r="H6574" s="432"/>
    </row>
    <row r="6575" spans="1:8" s="429" customFormat="1" ht="11.25">
      <c r="A6575" s="431"/>
      <c r="B6575" s="431"/>
      <c r="C6575" s="431"/>
      <c r="D6575" s="432"/>
      <c r="E6575" s="432"/>
      <c r="F6575" s="432"/>
      <c r="G6575" s="432"/>
      <c r="H6575" s="432"/>
    </row>
    <row r="6576" spans="1:8" s="422" customFormat="1" ht="9" customHeight="1"/>
    <row r="6577" spans="1:8" s="422" customFormat="1" ht="11.25">
      <c r="A6577" s="421" t="s">
        <v>591</v>
      </c>
      <c r="B6577" s="421"/>
      <c r="C6577" s="421"/>
    </row>
    <row r="6578" spans="1:8" s="429" customFormat="1" ht="11.25">
      <c r="A6578" s="428"/>
      <c r="B6578" s="428"/>
      <c r="C6578" s="428"/>
    </row>
    <row r="6579" spans="1:8" s="429" customFormat="1" ht="11.25">
      <c r="A6579" s="428"/>
      <c r="B6579" s="428"/>
      <c r="C6579" s="428"/>
    </row>
    <row r="6580" spans="1:8" s="429" customFormat="1" ht="11.25">
      <c r="A6580" s="428"/>
      <c r="B6580" s="428"/>
      <c r="C6580" s="428"/>
    </row>
    <row r="6581" spans="1:8" s="429" customFormat="1" ht="11.25">
      <c r="A6581" s="428"/>
      <c r="B6581" s="428"/>
      <c r="C6581" s="428"/>
    </row>
    <row r="6582" spans="1:8" s="429" customFormat="1" ht="11.25">
      <c r="A6582" s="428"/>
      <c r="B6582" s="428"/>
      <c r="C6582" s="428"/>
    </row>
    <row r="6583" spans="1:8" s="422" customFormat="1" ht="9" customHeight="1"/>
    <row r="6584" spans="1:8" s="422" customFormat="1" ht="11.25">
      <c r="A6584" s="433" t="s">
        <v>592</v>
      </c>
      <c r="B6584" s="434"/>
      <c r="C6584" s="434"/>
      <c r="D6584" s="434"/>
      <c r="E6584" s="434"/>
      <c r="F6584" s="434"/>
      <c r="G6584" s="434"/>
      <c r="H6584" s="434"/>
    </row>
    <row r="6585" spans="1:8" s="429" customFormat="1" ht="11.25">
      <c r="A6585" s="435"/>
      <c r="B6585" s="436"/>
      <c r="C6585" s="436"/>
      <c r="D6585" s="436"/>
      <c r="E6585" s="436"/>
      <c r="F6585" s="436"/>
      <c r="G6585" s="436"/>
      <c r="H6585" s="436"/>
    </row>
    <row r="6586" spans="1:8" s="429" customFormat="1" ht="11.25">
      <c r="A6586" s="435"/>
      <c r="B6586" s="436"/>
      <c r="C6586" s="436"/>
      <c r="D6586" s="436"/>
      <c r="E6586" s="436"/>
      <c r="F6586" s="436"/>
      <c r="G6586" s="436"/>
      <c r="H6586" s="436"/>
    </row>
    <row r="6587" spans="1:8" s="422" customFormat="1" ht="11.25">
      <c r="A6587" s="437"/>
      <c r="B6587" s="437"/>
      <c r="C6587" s="437"/>
      <c r="D6587" s="437"/>
      <c r="E6587" s="437"/>
      <c r="F6587" s="437"/>
      <c r="G6587" s="437"/>
      <c r="H6587" s="437"/>
    </row>
    <row r="6588" spans="1:8" s="422" customFormat="1" ht="11.25">
      <c r="A6588" s="421" t="s">
        <v>593</v>
      </c>
      <c r="B6588" s="421"/>
      <c r="C6588" s="421"/>
    </row>
    <row r="6589" spans="1:8" s="422" customFormat="1" ht="11.25">
      <c r="A6589" s="438"/>
      <c r="B6589" s="439" t="s">
        <v>132</v>
      </c>
      <c r="C6589" s="439" t="s">
        <v>473</v>
      </c>
      <c r="D6589" s="439" t="s">
        <v>474</v>
      </c>
      <c r="E6589" s="439" t="s">
        <v>375</v>
      </c>
      <c r="F6589" s="439" t="s">
        <v>9</v>
      </c>
      <c r="G6589" s="439" t="s">
        <v>131</v>
      </c>
      <c r="H6589" s="439" t="s">
        <v>424</v>
      </c>
    </row>
    <row r="6590" spans="1:8" s="422" customFormat="1" ht="11.25">
      <c r="A6590" s="439" t="s">
        <v>394</v>
      </c>
      <c r="B6590" s="438">
        <v>1405289.29</v>
      </c>
      <c r="C6590" s="438">
        <v>1905213.51</v>
      </c>
      <c r="D6590" s="438">
        <v>1462600</v>
      </c>
      <c r="E6590" s="438">
        <v>1315000</v>
      </c>
      <c r="F6590" s="438">
        <v>1050000</v>
      </c>
      <c r="G6590" s="438">
        <v>1030000</v>
      </c>
      <c r="H6590" s="438">
        <v>1010000</v>
      </c>
    </row>
    <row r="6591" spans="1:8" s="422" customFormat="1" ht="11.25">
      <c r="A6591" s="439" t="s">
        <v>395</v>
      </c>
      <c r="B6591" s="438">
        <v>-1188865.45</v>
      </c>
      <c r="C6591" s="438">
        <v>-2285096.8499999996</v>
      </c>
      <c r="D6591" s="438">
        <v>-1099000</v>
      </c>
      <c r="E6591" s="438">
        <v>-1150000</v>
      </c>
      <c r="F6591" s="438">
        <v>-1150000</v>
      </c>
      <c r="G6591" s="438">
        <v>-1150000</v>
      </c>
      <c r="H6591" s="438">
        <v>-1150000</v>
      </c>
    </row>
    <row r="6592" spans="1:8" s="422" customFormat="1" ht="11.25">
      <c r="A6592" s="439" t="s">
        <v>396</v>
      </c>
      <c r="B6592" s="438">
        <v>216423.84000000008</v>
      </c>
      <c r="C6592" s="438">
        <v>-379883.33999999962</v>
      </c>
      <c r="D6592" s="438">
        <v>363600</v>
      </c>
      <c r="E6592" s="438">
        <v>165000</v>
      </c>
      <c r="F6592" s="438">
        <v>-100000</v>
      </c>
      <c r="G6592" s="438">
        <v>-120000</v>
      </c>
      <c r="H6592" s="438">
        <v>-140000</v>
      </c>
    </row>
    <row r="6593" spans="1:8" s="442" customFormat="1" ht="11.25">
      <c r="A6593" s="440" t="s">
        <v>397</v>
      </c>
      <c r="B6593" s="441">
        <v>0.84599338973116345</v>
      </c>
      <c r="C6593" s="441">
        <v>1.1993914792258635</v>
      </c>
      <c r="D6593" s="441">
        <v>0.75140161356488444</v>
      </c>
      <c r="E6593" s="441">
        <v>0.87452471482889738</v>
      </c>
      <c r="F6593" s="441">
        <v>1.0952380952380953</v>
      </c>
      <c r="G6593" s="441">
        <v>1.116504854368932</v>
      </c>
      <c r="H6593" s="441">
        <v>1.1386138613861385</v>
      </c>
    </row>
    <row r="6594" spans="1:8" s="422" customFormat="1" ht="11.25"/>
    <row r="6595" spans="1:8" s="422" customFormat="1" ht="11.25">
      <c r="A6595" s="443" t="s">
        <v>594</v>
      </c>
      <c r="B6595" s="443"/>
      <c r="C6595" s="444"/>
    </row>
    <row r="6596" spans="1:8" s="422" customFormat="1" ht="11.25">
      <c r="A6596" s="445" t="s">
        <v>595</v>
      </c>
      <c r="B6596" s="446"/>
      <c r="C6596" s="447"/>
      <c r="D6596" s="439" t="s">
        <v>474</v>
      </c>
      <c r="E6596" s="439" t="s">
        <v>375</v>
      </c>
      <c r="F6596" s="439" t="s">
        <v>9</v>
      </c>
      <c r="G6596" s="439" t="s">
        <v>131</v>
      </c>
      <c r="H6596" s="439" t="s">
        <v>424</v>
      </c>
    </row>
    <row r="6597" spans="1:8" s="422" customFormat="1" ht="11.25">
      <c r="A6597" s="448" t="s">
        <v>596</v>
      </c>
      <c r="B6597" s="449"/>
      <c r="C6597" s="449"/>
      <c r="D6597" s="438"/>
      <c r="E6597" s="438"/>
      <c r="F6597" s="438"/>
      <c r="G6597" s="438"/>
      <c r="H6597" s="438"/>
    </row>
    <row r="6598" spans="1:8" s="422" customFormat="1" ht="11.25">
      <c r="A6598" s="448"/>
      <c r="B6598" s="449"/>
      <c r="C6598" s="449"/>
      <c r="D6598" s="438"/>
      <c r="E6598" s="438"/>
      <c r="F6598" s="438"/>
      <c r="G6598" s="438"/>
      <c r="H6598" s="438"/>
    </row>
    <row r="6599" spans="1:8" s="422" customFormat="1" ht="11.25">
      <c r="A6599" s="448"/>
      <c r="B6599" s="449"/>
      <c r="C6599" s="449"/>
      <c r="D6599" s="438"/>
      <c r="E6599" s="438"/>
      <c r="F6599" s="438"/>
      <c r="G6599" s="438"/>
      <c r="H6599" s="438"/>
    </row>
    <row r="6600" spans="1:8" s="422" customFormat="1" ht="11.25"/>
    <row r="6601" spans="1:8" s="422" customFormat="1" ht="11.25">
      <c r="A6601" s="421" t="s">
        <v>423</v>
      </c>
      <c r="B6601" s="421"/>
      <c r="C6601" s="421"/>
    </row>
    <row r="6602" spans="1:8" s="422" customFormat="1" ht="11.25">
      <c r="A6602" s="450"/>
      <c r="B6602" s="439" t="s">
        <v>132</v>
      </c>
      <c r="C6602" s="439" t="s">
        <v>473</v>
      </c>
      <c r="D6602" s="439" t="s">
        <v>474</v>
      </c>
      <c r="E6602" s="439" t="s">
        <v>375</v>
      </c>
      <c r="F6602" s="439" t="s">
        <v>9</v>
      </c>
      <c r="G6602" s="439" t="s">
        <v>131</v>
      </c>
      <c r="H6602" s="439" t="s">
        <v>424</v>
      </c>
    </row>
    <row r="6603" spans="1:8" s="422" customFormat="1" ht="11.25">
      <c r="A6603" s="451" t="s">
        <v>398</v>
      </c>
      <c r="B6603" s="438">
        <v>0</v>
      </c>
      <c r="C6603" s="438">
        <v>0</v>
      </c>
      <c r="D6603" s="438">
        <v>0</v>
      </c>
      <c r="E6603" s="438">
        <v>0</v>
      </c>
      <c r="F6603" s="438">
        <v>0</v>
      </c>
      <c r="G6603" s="438">
        <v>0</v>
      </c>
      <c r="H6603" s="438">
        <v>0</v>
      </c>
    </row>
    <row r="6604" spans="1:8" s="422" customFormat="1" ht="11.25">
      <c r="A6604" s="451" t="s">
        <v>399</v>
      </c>
      <c r="B6604" s="438">
        <v>0</v>
      </c>
      <c r="C6604" s="438">
        <v>0</v>
      </c>
      <c r="D6604" s="438">
        <v>0</v>
      </c>
      <c r="E6604" s="438">
        <v>0</v>
      </c>
      <c r="F6604" s="438">
        <v>0</v>
      </c>
      <c r="G6604" s="438">
        <v>0</v>
      </c>
      <c r="H6604" s="438">
        <v>0</v>
      </c>
    </row>
    <row r="6605" spans="1:8" s="422" customFormat="1" ht="11.25">
      <c r="A6605" s="451" t="s">
        <v>400</v>
      </c>
      <c r="B6605" s="438">
        <v>0</v>
      </c>
      <c r="C6605" s="438">
        <v>0</v>
      </c>
      <c r="D6605" s="438">
        <v>0</v>
      </c>
      <c r="E6605" s="438">
        <v>0</v>
      </c>
      <c r="F6605" s="438">
        <v>0</v>
      </c>
      <c r="G6605" s="438">
        <v>0</v>
      </c>
      <c r="H6605" s="438">
        <v>0</v>
      </c>
    </row>
    <row r="6606" spans="1:8" s="422" customFormat="1" ht="11.25">
      <c r="A6606" s="451" t="s">
        <v>401</v>
      </c>
      <c r="B6606" s="438">
        <v>0</v>
      </c>
      <c r="C6606" s="438">
        <v>0</v>
      </c>
      <c r="D6606" s="438">
        <v>0</v>
      </c>
      <c r="E6606" s="438">
        <v>0</v>
      </c>
      <c r="F6606" s="438">
        <v>0</v>
      </c>
      <c r="G6606" s="438">
        <v>0</v>
      </c>
      <c r="H6606" s="438">
        <v>0</v>
      </c>
    </row>
    <row r="6607" spans="1:8" s="422" customFormat="1" ht="11.25"/>
    <row r="6608" spans="1:8" s="422" customFormat="1" ht="11.25">
      <c r="A6608" s="421" t="s">
        <v>597</v>
      </c>
      <c r="B6608" s="421"/>
      <c r="C6608" s="421"/>
    </row>
    <row r="6609" spans="1:8" s="429" customFormat="1" ht="11.25">
      <c r="A6609" s="428"/>
      <c r="B6609" s="428"/>
      <c r="C6609" s="428"/>
    </row>
    <row r="6610" spans="1:8" s="429" customFormat="1" ht="11.25">
      <c r="A6610" s="428"/>
      <c r="B6610" s="428"/>
      <c r="C6610" s="428"/>
    </row>
    <row r="6611" spans="1:8" s="429" customFormat="1" ht="11.25">
      <c r="A6611" s="428"/>
      <c r="B6611" s="428"/>
      <c r="C6611" s="428"/>
    </row>
    <row r="6612" spans="1:8" s="422" customFormat="1" ht="11.25"/>
    <row r="6613" spans="1:8" s="422" customFormat="1" ht="11.25">
      <c r="A6613" s="421" t="s">
        <v>598</v>
      </c>
      <c r="B6613" s="421"/>
      <c r="C6613" s="421"/>
    </row>
    <row r="6614" spans="1:8" s="422" customFormat="1" ht="11.25">
      <c r="A6614" s="452" t="s">
        <v>599</v>
      </c>
      <c r="B6614" s="447"/>
      <c r="C6614" s="447"/>
      <c r="D6614" s="447"/>
      <c r="E6614" s="439" t="s">
        <v>375</v>
      </c>
      <c r="F6614" s="439" t="s">
        <v>9</v>
      </c>
      <c r="G6614" s="439" t="s">
        <v>131</v>
      </c>
      <c r="H6614" s="439" t="s">
        <v>424</v>
      </c>
    </row>
    <row r="6615" spans="1:8" s="422" customFormat="1" ht="11.25">
      <c r="A6615" s="448"/>
      <c r="B6615" s="449"/>
      <c r="C6615" s="449"/>
      <c r="D6615" s="449"/>
      <c r="E6615" s="438">
        <v>0</v>
      </c>
      <c r="F6615" s="438">
        <v>0</v>
      </c>
      <c r="G6615" s="438">
        <v>0</v>
      </c>
      <c r="H6615" s="438">
        <v>0</v>
      </c>
    </row>
    <row r="6616" spans="1:8" s="422" customFormat="1" ht="11.25">
      <c r="A6616" s="448"/>
      <c r="B6616" s="449"/>
      <c r="C6616" s="449"/>
      <c r="D6616" s="449"/>
      <c r="E6616" s="438">
        <v>0</v>
      </c>
      <c r="F6616" s="438">
        <v>0</v>
      </c>
      <c r="G6616" s="438">
        <v>0</v>
      </c>
      <c r="H6616" s="438">
        <v>0</v>
      </c>
    </row>
    <row r="6617" spans="1:8" s="422" customFormat="1" ht="11.25">
      <c r="A6617" s="448"/>
      <c r="B6617" s="449"/>
      <c r="C6617" s="449"/>
      <c r="D6617" s="449"/>
      <c r="E6617" s="438">
        <v>0</v>
      </c>
      <c r="F6617" s="438">
        <v>0</v>
      </c>
      <c r="G6617" s="438">
        <v>0</v>
      </c>
      <c r="H6617" s="438">
        <v>0</v>
      </c>
    </row>
    <row r="6618" spans="1:8" s="421" customFormat="1" ht="11.25">
      <c r="A6618" s="421" t="s">
        <v>391</v>
      </c>
      <c r="D6618" s="421" t="s">
        <v>472</v>
      </c>
    </row>
    <row r="6619" spans="1:8" s="422" customFormat="1" ht="11.25"/>
    <row r="6620" spans="1:8" s="421" customFormat="1" ht="11.25" customHeight="1">
      <c r="A6620" s="423" t="s">
        <v>392</v>
      </c>
      <c r="D6620" s="421" t="s">
        <v>161</v>
      </c>
    </row>
    <row r="6621" spans="1:8" s="421" customFormat="1" ht="7.5" customHeight="1">
      <c r="A6621" s="423"/>
    </row>
    <row r="6622" spans="1:8" s="421" customFormat="1" ht="11.25">
      <c r="A6622" s="424" t="s">
        <v>393</v>
      </c>
      <c r="D6622" s="583" t="s">
        <v>1341</v>
      </c>
      <c r="E6622" s="583"/>
      <c r="F6622" s="583"/>
      <c r="G6622" s="583"/>
      <c r="H6622" s="583"/>
    </row>
    <row r="6623" spans="1:8" s="421" customFormat="1" ht="7.5" customHeight="1"/>
    <row r="6624" spans="1:8" s="422" customFormat="1" ht="11.25">
      <c r="A6624" s="421" t="s">
        <v>170</v>
      </c>
      <c r="B6624" s="421"/>
      <c r="C6624" s="421"/>
      <c r="D6624" s="422" t="s">
        <v>326</v>
      </c>
      <c r="E6624" s="422" t="s">
        <v>327</v>
      </c>
    </row>
    <row r="6625" spans="1:8" s="422" customFormat="1" ht="7.5" customHeight="1"/>
    <row r="6626" spans="1:8" s="427" customFormat="1" ht="11.25">
      <c r="A6626" s="425" t="s">
        <v>587</v>
      </c>
      <c r="B6626" s="425"/>
      <c r="C6626" s="425"/>
      <c r="D6626" s="426" t="s">
        <v>1344</v>
      </c>
      <c r="E6626" s="584" t="s">
        <v>327</v>
      </c>
      <c r="F6626" s="584"/>
      <c r="G6626" s="584"/>
      <c r="H6626" s="584"/>
    </row>
    <row r="6627" spans="1:8" s="427" customFormat="1" ht="11.25">
      <c r="A6627" s="425"/>
      <c r="B6627" s="425"/>
      <c r="C6627" s="425"/>
      <c r="D6627" s="426"/>
      <c r="E6627" s="584"/>
      <c r="F6627" s="584"/>
      <c r="G6627" s="584"/>
      <c r="H6627" s="584"/>
    </row>
    <row r="6628" spans="1:8" s="427" customFormat="1" ht="11.25"/>
    <row r="6629" spans="1:8" s="422" customFormat="1" ht="11.25"/>
    <row r="6630" spans="1:8" s="422" customFormat="1" ht="11.25">
      <c r="A6630" s="421" t="s">
        <v>589</v>
      </c>
      <c r="B6630" s="421"/>
      <c r="C6630" s="421"/>
    </row>
    <row r="6631" spans="1:8" s="429" customFormat="1" ht="11.25">
      <c r="A6631" s="428"/>
      <c r="B6631" s="428"/>
      <c r="C6631" s="428"/>
    </row>
    <row r="6632" spans="1:8" s="429" customFormat="1" ht="11.25">
      <c r="A6632" s="428"/>
      <c r="B6632" s="428"/>
      <c r="C6632" s="428"/>
    </row>
    <row r="6633" spans="1:8" s="429" customFormat="1" ht="11.25">
      <c r="A6633" s="428"/>
      <c r="B6633" s="428"/>
      <c r="C6633" s="428"/>
    </row>
    <row r="6634" spans="1:8" s="429" customFormat="1" ht="11.25">
      <c r="A6634" s="428"/>
      <c r="B6634" s="428"/>
      <c r="C6634" s="428"/>
    </row>
    <row r="6635" spans="1:8" s="429" customFormat="1" ht="11.25">
      <c r="A6635" s="428"/>
      <c r="B6635" s="428"/>
      <c r="C6635" s="428"/>
    </row>
    <row r="6636" spans="1:8" s="429" customFormat="1" ht="11.25">
      <c r="A6636" s="428"/>
      <c r="B6636" s="428"/>
      <c r="C6636" s="428"/>
    </row>
    <row r="6637" spans="1:8" s="422" customFormat="1" ht="9" customHeight="1">
      <c r="A6637" s="430"/>
      <c r="B6637" s="430"/>
      <c r="C6637" s="430"/>
      <c r="D6637" s="430"/>
      <c r="E6637" s="430"/>
      <c r="F6637" s="430"/>
      <c r="G6637" s="430"/>
      <c r="H6637" s="430"/>
    </row>
    <row r="6638" spans="1:8" s="422" customFormat="1" ht="22.5" customHeight="1">
      <c r="A6638" s="585" t="s">
        <v>590</v>
      </c>
      <c r="B6638" s="585"/>
      <c r="C6638" s="585"/>
      <c r="D6638" s="586"/>
      <c r="E6638" s="586"/>
      <c r="F6638" s="586"/>
      <c r="G6638" s="586"/>
      <c r="H6638" s="586"/>
    </row>
    <row r="6639" spans="1:8" s="429" customFormat="1" ht="11.25">
      <c r="A6639" s="431"/>
      <c r="B6639" s="431"/>
      <c r="C6639" s="431"/>
      <c r="D6639" s="432"/>
      <c r="E6639" s="432"/>
      <c r="F6639" s="432"/>
      <c r="G6639" s="432"/>
      <c r="H6639" s="432"/>
    </row>
    <row r="6640" spans="1:8" s="429" customFormat="1" ht="11.25">
      <c r="A6640" s="431"/>
      <c r="B6640" s="431"/>
      <c r="C6640" s="431"/>
      <c r="D6640" s="432"/>
      <c r="E6640" s="432"/>
      <c r="F6640" s="432"/>
      <c r="G6640" s="432"/>
      <c r="H6640" s="432"/>
    </row>
    <row r="6641" spans="1:8" s="429" customFormat="1" ht="11.25">
      <c r="A6641" s="431"/>
      <c r="B6641" s="431"/>
      <c r="C6641" s="431"/>
      <c r="D6641" s="432"/>
      <c r="E6641" s="432"/>
      <c r="F6641" s="432"/>
      <c r="G6641" s="432"/>
      <c r="H6641" s="432"/>
    </row>
    <row r="6642" spans="1:8" s="429" customFormat="1" ht="11.25">
      <c r="A6642" s="431"/>
      <c r="B6642" s="431"/>
      <c r="C6642" s="431"/>
      <c r="D6642" s="432"/>
      <c r="E6642" s="432"/>
      <c r="F6642" s="432"/>
      <c r="G6642" s="432"/>
      <c r="H6642" s="432"/>
    </row>
    <row r="6643" spans="1:8" s="422" customFormat="1" ht="9" customHeight="1"/>
    <row r="6644" spans="1:8" s="422" customFormat="1" ht="11.25">
      <c r="A6644" s="421" t="s">
        <v>591</v>
      </c>
      <c r="B6644" s="421"/>
      <c r="C6644" s="421"/>
    </row>
    <row r="6645" spans="1:8" s="429" customFormat="1" ht="11.25">
      <c r="A6645" s="428"/>
      <c r="B6645" s="428"/>
      <c r="C6645" s="428"/>
    </row>
    <row r="6646" spans="1:8" s="429" customFormat="1" ht="11.25">
      <c r="A6646" s="428"/>
      <c r="B6646" s="428"/>
      <c r="C6646" s="428"/>
    </row>
    <row r="6647" spans="1:8" s="429" customFormat="1" ht="11.25">
      <c r="A6647" s="428"/>
      <c r="B6647" s="428"/>
      <c r="C6647" s="428"/>
    </row>
    <row r="6648" spans="1:8" s="429" customFormat="1" ht="11.25">
      <c r="A6648" s="428"/>
      <c r="B6648" s="428"/>
      <c r="C6648" s="428"/>
    </row>
    <row r="6649" spans="1:8" s="429" customFormat="1" ht="11.25">
      <c r="A6649" s="428"/>
      <c r="B6649" s="428"/>
      <c r="C6649" s="428"/>
    </row>
    <row r="6650" spans="1:8" s="422" customFormat="1" ht="9" customHeight="1"/>
    <row r="6651" spans="1:8" s="422" customFormat="1" ht="11.25">
      <c r="A6651" s="433" t="s">
        <v>592</v>
      </c>
      <c r="B6651" s="434"/>
      <c r="C6651" s="434"/>
      <c r="D6651" s="434"/>
      <c r="E6651" s="434"/>
      <c r="F6651" s="434"/>
      <c r="G6651" s="434"/>
      <c r="H6651" s="434"/>
    </row>
    <row r="6652" spans="1:8" s="429" customFormat="1" ht="11.25">
      <c r="A6652" s="435"/>
      <c r="B6652" s="436"/>
      <c r="C6652" s="436"/>
      <c r="D6652" s="436"/>
      <c r="E6652" s="436"/>
      <c r="F6652" s="436"/>
      <c r="G6652" s="436"/>
      <c r="H6652" s="436"/>
    </row>
    <row r="6653" spans="1:8" s="429" customFormat="1" ht="11.25">
      <c r="A6653" s="435"/>
      <c r="B6653" s="436"/>
      <c r="C6653" s="436"/>
      <c r="D6653" s="436"/>
      <c r="E6653" s="436"/>
      <c r="F6653" s="436"/>
      <c r="G6653" s="436"/>
      <c r="H6653" s="436"/>
    </row>
    <row r="6654" spans="1:8" s="422" customFormat="1" ht="11.25">
      <c r="A6654" s="437"/>
      <c r="B6654" s="437"/>
      <c r="C6654" s="437"/>
      <c r="D6654" s="437"/>
      <c r="E6654" s="437"/>
      <c r="F6654" s="437"/>
      <c r="G6654" s="437"/>
      <c r="H6654" s="437"/>
    </row>
    <row r="6655" spans="1:8" s="422" customFormat="1" ht="11.25">
      <c r="A6655" s="421" t="s">
        <v>593</v>
      </c>
      <c r="B6655" s="421"/>
      <c r="C6655" s="421"/>
    </row>
    <row r="6656" spans="1:8" s="422" customFormat="1" ht="11.25">
      <c r="A6656" s="438"/>
      <c r="B6656" s="439" t="s">
        <v>132</v>
      </c>
      <c r="C6656" s="439" t="s">
        <v>473</v>
      </c>
      <c r="D6656" s="439" t="s">
        <v>474</v>
      </c>
      <c r="E6656" s="439" t="s">
        <v>375</v>
      </c>
      <c r="F6656" s="439" t="s">
        <v>9</v>
      </c>
      <c r="G6656" s="439" t="s">
        <v>131</v>
      </c>
      <c r="H6656" s="439" t="s">
        <v>424</v>
      </c>
    </row>
    <row r="6657" spans="1:8" s="422" customFormat="1" ht="11.25">
      <c r="A6657" s="439" t="s">
        <v>394</v>
      </c>
      <c r="B6657" s="438">
        <v>1573993.23</v>
      </c>
      <c r="C6657" s="438">
        <v>1480946.68</v>
      </c>
      <c r="D6657" s="438">
        <v>1716000</v>
      </c>
      <c r="E6657" s="438">
        <v>1580000</v>
      </c>
      <c r="F6657" s="438">
        <v>1580000</v>
      </c>
      <c r="G6657" s="438">
        <v>1580000</v>
      </c>
      <c r="H6657" s="438">
        <v>1590000</v>
      </c>
    </row>
    <row r="6658" spans="1:8" s="422" customFormat="1" ht="11.25">
      <c r="A6658" s="439" t="s">
        <v>395</v>
      </c>
      <c r="B6658" s="438">
        <v>-1492549.3</v>
      </c>
      <c r="C6658" s="438">
        <v>-1480946.68</v>
      </c>
      <c r="D6658" s="438">
        <v>-1716000</v>
      </c>
      <c r="E6658" s="438">
        <v>-1580000</v>
      </c>
      <c r="F6658" s="438">
        <v>-1580000</v>
      </c>
      <c r="G6658" s="438">
        <v>-1580000</v>
      </c>
      <c r="H6658" s="438">
        <v>-1590000</v>
      </c>
    </row>
    <row r="6659" spans="1:8" s="422" customFormat="1" ht="11.25">
      <c r="A6659" s="439" t="s">
        <v>396</v>
      </c>
      <c r="B6659" s="438">
        <v>81443.929999999935</v>
      </c>
      <c r="C6659" s="438">
        <v>0</v>
      </c>
      <c r="D6659" s="438">
        <v>0</v>
      </c>
      <c r="E6659" s="438">
        <v>0</v>
      </c>
      <c r="F6659" s="438">
        <v>0</v>
      </c>
      <c r="G6659" s="438">
        <v>0</v>
      </c>
      <c r="H6659" s="438">
        <v>0</v>
      </c>
    </row>
    <row r="6660" spans="1:8" s="442" customFormat="1" ht="11.25">
      <c r="A6660" s="440" t="s">
        <v>397</v>
      </c>
      <c r="B6660" s="441">
        <v>0.94825649281858737</v>
      </c>
      <c r="C6660" s="441">
        <v>1</v>
      </c>
      <c r="D6660" s="441">
        <v>1</v>
      </c>
      <c r="E6660" s="441">
        <v>1</v>
      </c>
      <c r="F6660" s="441">
        <v>1</v>
      </c>
      <c r="G6660" s="441">
        <v>1</v>
      </c>
      <c r="H6660" s="441">
        <v>1</v>
      </c>
    </row>
    <row r="6661" spans="1:8" s="422" customFormat="1" ht="11.25"/>
    <row r="6662" spans="1:8" s="422" customFormat="1" ht="11.25">
      <c r="A6662" s="443" t="s">
        <v>594</v>
      </c>
      <c r="B6662" s="443"/>
      <c r="C6662" s="444"/>
    </row>
    <row r="6663" spans="1:8" s="422" customFormat="1" ht="11.25">
      <c r="A6663" s="445" t="s">
        <v>595</v>
      </c>
      <c r="B6663" s="446"/>
      <c r="C6663" s="447"/>
      <c r="D6663" s="439" t="s">
        <v>474</v>
      </c>
      <c r="E6663" s="439" t="s">
        <v>375</v>
      </c>
      <c r="F6663" s="439" t="s">
        <v>9</v>
      </c>
      <c r="G6663" s="439" t="s">
        <v>131</v>
      </c>
      <c r="H6663" s="439" t="s">
        <v>424</v>
      </c>
    </row>
    <row r="6664" spans="1:8" s="422" customFormat="1" ht="11.25">
      <c r="A6664" s="448" t="s">
        <v>1345</v>
      </c>
      <c r="B6664" s="449"/>
      <c r="C6664" s="449"/>
      <c r="D6664" s="441"/>
      <c r="E6664" s="441">
        <v>1</v>
      </c>
      <c r="F6664" s="441">
        <v>1</v>
      </c>
      <c r="G6664" s="441">
        <v>1</v>
      </c>
      <c r="H6664" s="441">
        <v>1</v>
      </c>
    </row>
    <row r="6665" spans="1:8" s="422" customFormat="1" ht="11.25">
      <c r="A6665" s="448"/>
      <c r="B6665" s="449"/>
      <c r="C6665" s="449"/>
      <c r="D6665" s="438"/>
      <c r="E6665" s="438"/>
      <c r="F6665" s="438"/>
      <c r="G6665" s="438"/>
      <c r="H6665" s="438"/>
    </row>
    <row r="6666" spans="1:8" s="422" customFormat="1" ht="11.25">
      <c r="A6666" s="448"/>
      <c r="B6666" s="449"/>
      <c r="C6666" s="449"/>
      <c r="D6666" s="438"/>
      <c r="E6666" s="438"/>
      <c r="F6666" s="438"/>
      <c r="G6666" s="438"/>
      <c r="H6666" s="438"/>
    </row>
    <row r="6667" spans="1:8" s="422" customFormat="1" ht="11.25"/>
    <row r="6668" spans="1:8" s="422" customFormat="1" ht="11.25">
      <c r="A6668" s="421" t="s">
        <v>423</v>
      </c>
      <c r="B6668" s="421"/>
      <c r="C6668" s="421"/>
    </row>
    <row r="6669" spans="1:8" s="422" customFormat="1" ht="11.25">
      <c r="A6669" s="450"/>
      <c r="B6669" s="439" t="s">
        <v>132</v>
      </c>
      <c r="C6669" s="439" t="s">
        <v>473</v>
      </c>
      <c r="D6669" s="439" t="s">
        <v>474</v>
      </c>
      <c r="E6669" s="439" t="s">
        <v>375</v>
      </c>
      <c r="F6669" s="439" t="s">
        <v>9</v>
      </c>
      <c r="G6669" s="439" t="s">
        <v>131</v>
      </c>
      <c r="H6669" s="439" t="s">
        <v>424</v>
      </c>
    </row>
    <row r="6670" spans="1:8" s="422" customFormat="1" ht="11.25">
      <c r="A6670" s="451" t="s">
        <v>398</v>
      </c>
      <c r="B6670" s="438">
        <v>0</v>
      </c>
      <c r="C6670" s="438">
        <v>0</v>
      </c>
      <c r="D6670" s="438">
        <v>0</v>
      </c>
      <c r="E6670" s="438">
        <v>0</v>
      </c>
      <c r="F6670" s="438">
        <v>0</v>
      </c>
      <c r="G6670" s="438">
        <v>0</v>
      </c>
      <c r="H6670" s="438">
        <v>0</v>
      </c>
    </row>
    <row r="6671" spans="1:8" s="422" customFormat="1" ht="11.25">
      <c r="A6671" s="451" t="s">
        <v>399</v>
      </c>
      <c r="B6671" s="438">
        <v>0</v>
      </c>
      <c r="C6671" s="438">
        <v>0</v>
      </c>
      <c r="D6671" s="438">
        <v>0</v>
      </c>
      <c r="E6671" s="438">
        <v>0</v>
      </c>
      <c r="F6671" s="438">
        <v>0</v>
      </c>
      <c r="G6671" s="438">
        <v>0</v>
      </c>
      <c r="H6671" s="438">
        <v>0</v>
      </c>
    </row>
    <row r="6672" spans="1:8" s="422" customFormat="1" ht="11.25">
      <c r="A6672" s="451" t="s">
        <v>400</v>
      </c>
      <c r="B6672" s="438">
        <v>0</v>
      </c>
      <c r="C6672" s="438">
        <v>0</v>
      </c>
      <c r="D6672" s="438">
        <v>0</v>
      </c>
      <c r="E6672" s="438">
        <v>0</v>
      </c>
      <c r="F6672" s="438">
        <v>0</v>
      </c>
      <c r="G6672" s="438">
        <v>0</v>
      </c>
      <c r="H6672" s="438">
        <v>0</v>
      </c>
    </row>
    <row r="6673" spans="1:8" s="422" customFormat="1" ht="11.25">
      <c r="A6673" s="451" t="s">
        <v>401</v>
      </c>
      <c r="B6673" s="438">
        <v>0</v>
      </c>
      <c r="C6673" s="438">
        <v>0</v>
      </c>
      <c r="D6673" s="438">
        <v>0</v>
      </c>
      <c r="E6673" s="438">
        <v>0</v>
      </c>
      <c r="F6673" s="438">
        <v>0</v>
      </c>
      <c r="G6673" s="438">
        <v>0</v>
      </c>
      <c r="H6673" s="438">
        <v>0</v>
      </c>
    </row>
    <row r="6674" spans="1:8" s="422" customFormat="1" ht="11.25"/>
    <row r="6675" spans="1:8" s="422" customFormat="1" ht="11.25">
      <c r="A6675" s="421" t="s">
        <v>597</v>
      </c>
      <c r="B6675" s="421"/>
      <c r="C6675" s="421"/>
    </row>
    <row r="6676" spans="1:8" s="429" customFormat="1" ht="11.25">
      <c r="A6676" s="428"/>
      <c r="B6676" s="428"/>
      <c r="C6676" s="428"/>
    </row>
    <row r="6677" spans="1:8" s="429" customFormat="1" ht="11.25">
      <c r="A6677" s="428"/>
      <c r="B6677" s="428"/>
      <c r="C6677" s="428"/>
    </row>
    <row r="6678" spans="1:8" s="429" customFormat="1" ht="11.25">
      <c r="A6678" s="428"/>
      <c r="B6678" s="428"/>
      <c r="C6678" s="428"/>
    </row>
    <row r="6679" spans="1:8" s="422" customFormat="1" ht="11.25"/>
    <row r="6680" spans="1:8" s="422" customFormat="1" ht="11.25">
      <c r="A6680" s="421" t="s">
        <v>598</v>
      </c>
      <c r="B6680" s="421"/>
      <c r="C6680" s="421"/>
    </row>
    <row r="6681" spans="1:8" s="422" customFormat="1" ht="11.25">
      <c r="A6681" s="452" t="s">
        <v>599</v>
      </c>
      <c r="B6681" s="447"/>
      <c r="C6681" s="447"/>
      <c r="D6681" s="447"/>
      <c r="E6681" s="439" t="s">
        <v>375</v>
      </c>
      <c r="F6681" s="439" t="s">
        <v>9</v>
      </c>
      <c r="G6681" s="439" t="s">
        <v>131</v>
      </c>
      <c r="H6681" s="439" t="s">
        <v>424</v>
      </c>
    </row>
    <row r="6682" spans="1:8" s="422" customFormat="1" ht="11.25">
      <c r="A6682" s="448"/>
      <c r="B6682" s="449"/>
      <c r="C6682" s="449"/>
      <c r="D6682" s="449"/>
      <c r="E6682" s="438">
        <v>0</v>
      </c>
      <c r="F6682" s="438">
        <v>0</v>
      </c>
      <c r="G6682" s="438">
        <v>0</v>
      </c>
      <c r="H6682" s="438">
        <v>0</v>
      </c>
    </row>
    <row r="6683" spans="1:8" s="422" customFormat="1" ht="11.25">
      <c r="A6683" s="448"/>
      <c r="B6683" s="449"/>
      <c r="C6683" s="449"/>
      <c r="D6683" s="449"/>
      <c r="E6683" s="438">
        <v>0</v>
      </c>
      <c r="F6683" s="438">
        <v>0</v>
      </c>
      <c r="G6683" s="438">
        <v>0</v>
      </c>
      <c r="H6683" s="438">
        <v>0</v>
      </c>
    </row>
    <row r="6684" spans="1:8" s="422" customFormat="1" ht="11.25">
      <c r="A6684" s="448"/>
      <c r="B6684" s="449"/>
      <c r="C6684" s="449"/>
      <c r="D6684" s="449"/>
      <c r="E6684" s="438">
        <v>0</v>
      </c>
      <c r="F6684" s="438">
        <v>0</v>
      </c>
      <c r="G6684" s="438">
        <v>0</v>
      </c>
      <c r="H6684" s="438">
        <v>0</v>
      </c>
    </row>
    <row r="6685" spans="1:8" s="421" customFormat="1" ht="11.25">
      <c r="A6685" s="421" t="s">
        <v>391</v>
      </c>
      <c r="D6685" s="421" t="s">
        <v>472</v>
      </c>
    </row>
    <row r="6686" spans="1:8" s="422" customFormat="1" ht="11.25"/>
    <row r="6687" spans="1:8" s="421" customFormat="1" ht="11.25" customHeight="1">
      <c r="A6687" s="423" t="s">
        <v>392</v>
      </c>
      <c r="D6687" s="421" t="s">
        <v>161</v>
      </c>
    </row>
    <row r="6688" spans="1:8" s="421" customFormat="1" ht="7.5" customHeight="1">
      <c r="A6688" s="423"/>
    </row>
    <row r="6689" spans="1:8" s="421" customFormat="1" ht="11.25">
      <c r="A6689" s="424" t="s">
        <v>393</v>
      </c>
      <c r="D6689" s="583" t="s">
        <v>41</v>
      </c>
      <c r="E6689" s="583"/>
      <c r="F6689" s="583"/>
      <c r="G6689" s="583"/>
      <c r="H6689" s="583"/>
    </row>
    <row r="6690" spans="1:8" s="421" customFormat="1" ht="7.5" customHeight="1"/>
    <row r="6691" spans="1:8" s="422" customFormat="1" ht="11.25">
      <c r="A6691" s="421" t="s">
        <v>170</v>
      </c>
      <c r="B6691" s="421"/>
      <c r="C6691" s="421"/>
      <c r="D6691" s="422" t="s">
        <v>328</v>
      </c>
      <c r="E6691" s="422" t="s">
        <v>388</v>
      </c>
    </row>
    <row r="6692" spans="1:8" s="422" customFormat="1" ht="7.5" customHeight="1"/>
    <row r="6693" spans="1:8" s="427" customFormat="1" ht="11.25">
      <c r="A6693" s="425" t="s">
        <v>587</v>
      </c>
      <c r="B6693" s="425"/>
      <c r="C6693" s="425"/>
      <c r="D6693" s="426" t="s">
        <v>1346</v>
      </c>
      <c r="E6693" s="584" t="s">
        <v>1347</v>
      </c>
      <c r="F6693" s="584"/>
      <c r="G6693" s="584"/>
      <c r="H6693" s="584"/>
    </row>
    <row r="6694" spans="1:8" s="427" customFormat="1" ht="11.25">
      <c r="A6694" s="425"/>
      <c r="B6694" s="425"/>
      <c r="C6694" s="425"/>
      <c r="D6694" s="426"/>
      <c r="E6694" s="584"/>
      <c r="F6694" s="584"/>
      <c r="G6694" s="584"/>
      <c r="H6694" s="584"/>
    </row>
    <row r="6695" spans="1:8" s="427" customFormat="1" ht="11.25"/>
    <row r="6696" spans="1:8" s="422" customFormat="1" ht="11.25"/>
    <row r="6697" spans="1:8" s="422" customFormat="1" ht="11.25">
      <c r="A6697" s="421" t="s">
        <v>589</v>
      </c>
      <c r="B6697" s="421"/>
      <c r="C6697" s="421"/>
    </row>
    <row r="6698" spans="1:8" s="429" customFormat="1" ht="11.25">
      <c r="A6698" s="428"/>
      <c r="B6698" s="428"/>
      <c r="C6698" s="428"/>
    </row>
    <row r="6699" spans="1:8" s="429" customFormat="1" ht="11.25">
      <c r="A6699" s="428"/>
      <c r="B6699" s="428"/>
      <c r="C6699" s="428"/>
    </row>
    <row r="6700" spans="1:8" s="429" customFormat="1" ht="11.25">
      <c r="A6700" s="428"/>
      <c r="B6700" s="428"/>
      <c r="C6700" s="428"/>
    </row>
    <row r="6701" spans="1:8" s="429" customFormat="1" ht="11.25">
      <c r="A6701" s="428"/>
      <c r="B6701" s="428"/>
      <c r="C6701" s="428"/>
    </row>
    <row r="6702" spans="1:8" s="429" customFormat="1" ht="11.25">
      <c r="A6702" s="428"/>
      <c r="B6702" s="428"/>
      <c r="C6702" s="428"/>
    </row>
    <row r="6703" spans="1:8" s="429" customFormat="1" ht="11.25">
      <c r="A6703" s="428"/>
      <c r="B6703" s="428"/>
      <c r="C6703" s="428"/>
    </row>
    <row r="6704" spans="1:8" s="422" customFormat="1" ht="9" customHeight="1">
      <c r="A6704" s="430"/>
      <c r="B6704" s="430"/>
      <c r="C6704" s="430"/>
      <c r="D6704" s="430"/>
      <c r="E6704" s="430"/>
      <c r="F6704" s="430"/>
      <c r="G6704" s="430"/>
      <c r="H6704" s="430"/>
    </row>
    <row r="6705" spans="1:8" s="422" customFormat="1" ht="22.5" customHeight="1">
      <c r="A6705" s="585" t="s">
        <v>590</v>
      </c>
      <c r="B6705" s="585"/>
      <c r="C6705" s="585"/>
      <c r="D6705" s="586"/>
      <c r="E6705" s="586"/>
      <c r="F6705" s="586"/>
      <c r="G6705" s="586"/>
      <c r="H6705" s="586"/>
    </row>
    <row r="6706" spans="1:8" s="429" customFormat="1" ht="11.25">
      <c r="A6706" s="431"/>
      <c r="B6706" s="431"/>
      <c r="C6706" s="431"/>
      <c r="D6706" s="432"/>
      <c r="E6706" s="432"/>
      <c r="F6706" s="432"/>
      <c r="G6706" s="432"/>
      <c r="H6706" s="432"/>
    </row>
    <row r="6707" spans="1:8" s="429" customFormat="1" ht="11.25">
      <c r="A6707" s="431"/>
      <c r="B6707" s="431"/>
      <c r="C6707" s="431"/>
      <c r="D6707" s="432"/>
      <c r="E6707" s="432"/>
      <c r="F6707" s="432"/>
      <c r="G6707" s="432"/>
      <c r="H6707" s="432"/>
    </row>
    <row r="6708" spans="1:8" s="429" customFormat="1" ht="11.25">
      <c r="A6708" s="431"/>
      <c r="B6708" s="431"/>
      <c r="C6708" s="431"/>
      <c r="D6708" s="432"/>
      <c r="E6708" s="432"/>
      <c r="F6708" s="432"/>
      <c r="G6708" s="432"/>
      <c r="H6708" s="432"/>
    </row>
    <row r="6709" spans="1:8" s="429" customFormat="1" ht="11.25">
      <c r="A6709" s="431"/>
      <c r="B6709" s="431"/>
      <c r="C6709" s="431"/>
      <c r="D6709" s="432"/>
      <c r="E6709" s="432"/>
      <c r="F6709" s="432"/>
      <c r="G6709" s="432"/>
      <c r="H6709" s="432"/>
    </row>
    <row r="6710" spans="1:8" s="422" customFormat="1" ht="9" customHeight="1"/>
    <row r="6711" spans="1:8" s="422" customFormat="1" ht="11.25">
      <c r="A6711" s="421" t="s">
        <v>591</v>
      </c>
      <c r="B6711" s="421"/>
      <c r="C6711" s="421"/>
    </row>
    <row r="6712" spans="1:8" s="429" customFormat="1" ht="11.25">
      <c r="A6712" s="428"/>
      <c r="B6712" s="428"/>
      <c r="C6712" s="428"/>
    </row>
    <row r="6713" spans="1:8" s="429" customFormat="1" ht="11.25">
      <c r="A6713" s="428"/>
      <c r="B6713" s="428"/>
      <c r="C6713" s="428"/>
    </row>
    <row r="6714" spans="1:8" s="429" customFormat="1" ht="11.25">
      <c r="A6714" s="428"/>
      <c r="B6714" s="428"/>
      <c r="C6714" s="428"/>
    </row>
    <row r="6715" spans="1:8" s="429" customFormat="1" ht="11.25">
      <c r="A6715" s="428"/>
      <c r="B6715" s="428"/>
      <c r="C6715" s="428"/>
    </row>
    <row r="6716" spans="1:8" s="429" customFormat="1" ht="11.25">
      <c r="A6716" s="428"/>
      <c r="B6716" s="428"/>
      <c r="C6716" s="428"/>
    </row>
    <row r="6717" spans="1:8" s="422" customFormat="1" ht="9" customHeight="1"/>
    <row r="6718" spans="1:8" s="422" customFormat="1" ht="11.25">
      <c r="A6718" s="433" t="s">
        <v>592</v>
      </c>
      <c r="B6718" s="434"/>
      <c r="C6718" s="434"/>
      <c r="D6718" s="434"/>
      <c r="E6718" s="434"/>
      <c r="F6718" s="434"/>
      <c r="G6718" s="434"/>
      <c r="H6718" s="434"/>
    </row>
    <row r="6719" spans="1:8" s="429" customFormat="1" ht="11.25">
      <c r="A6719" s="435"/>
      <c r="B6719" s="436"/>
      <c r="C6719" s="436"/>
      <c r="D6719" s="436"/>
      <c r="E6719" s="436"/>
      <c r="F6719" s="436"/>
      <c r="G6719" s="436"/>
      <c r="H6719" s="436"/>
    </row>
    <row r="6720" spans="1:8" s="429" customFormat="1" ht="11.25">
      <c r="A6720" s="435"/>
      <c r="B6720" s="436"/>
      <c r="C6720" s="436"/>
      <c r="D6720" s="436"/>
      <c r="E6720" s="436"/>
      <c r="F6720" s="436"/>
      <c r="G6720" s="436"/>
      <c r="H6720" s="436"/>
    </row>
    <row r="6721" spans="1:8" s="422" customFormat="1" ht="11.25">
      <c r="A6721" s="437"/>
      <c r="B6721" s="437"/>
      <c r="C6721" s="437"/>
      <c r="D6721" s="437"/>
      <c r="E6721" s="437"/>
      <c r="F6721" s="437"/>
      <c r="G6721" s="437"/>
      <c r="H6721" s="437"/>
    </row>
    <row r="6722" spans="1:8" s="422" customFormat="1" ht="11.25">
      <c r="A6722" s="421" t="s">
        <v>593</v>
      </c>
      <c r="B6722" s="421"/>
      <c r="C6722" s="421"/>
    </row>
    <row r="6723" spans="1:8" s="422" customFormat="1" ht="11.25">
      <c r="A6723" s="438"/>
      <c r="B6723" s="439" t="s">
        <v>132</v>
      </c>
      <c r="C6723" s="439" t="s">
        <v>473</v>
      </c>
      <c r="D6723" s="439" t="s">
        <v>474</v>
      </c>
      <c r="E6723" s="439" t="s">
        <v>375</v>
      </c>
      <c r="F6723" s="439" t="s">
        <v>9</v>
      </c>
      <c r="G6723" s="439" t="s">
        <v>131</v>
      </c>
      <c r="H6723" s="439" t="s">
        <v>424</v>
      </c>
    </row>
    <row r="6724" spans="1:8" s="422" customFormat="1" ht="11.25">
      <c r="A6724" s="439" t="s">
        <v>394</v>
      </c>
      <c r="B6724" s="438">
        <v>4654095.9700000007</v>
      </c>
      <c r="C6724" s="438">
        <v>4631961.67</v>
      </c>
      <c r="D6724" s="438">
        <v>4882044.7999999989</v>
      </c>
      <c r="E6724" s="438">
        <v>4812810.129999999</v>
      </c>
      <c r="F6724" s="438">
        <v>4812810.129999999</v>
      </c>
      <c r="G6724" s="438">
        <v>4854139.6559999995</v>
      </c>
      <c r="H6724" s="438">
        <v>4868900.2009999994</v>
      </c>
    </row>
    <row r="6725" spans="1:8" s="422" customFormat="1" ht="11.25">
      <c r="A6725" s="439" t="s">
        <v>395</v>
      </c>
      <c r="B6725" s="438">
        <v>-262356.14</v>
      </c>
      <c r="C6725" s="438">
        <v>-208994.43</v>
      </c>
      <c r="D6725" s="438">
        <v>-188291.84</v>
      </c>
      <c r="E6725" s="438">
        <v>-188291.84</v>
      </c>
      <c r="F6725" s="438">
        <v>-188291.84</v>
      </c>
      <c r="G6725" s="438">
        <v>-188291.84</v>
      </c>
      <c r="H6725" s="438">
        <v>-188291.84</v>
      </c>
    </row>
    <row r="6726" spans="1:8" s="422" customFormat="1" ht="11.25">
      <c r="A6726" s="439" t="s">
        <v>396</v>
      </c>
      <c r="B6726" s="438">
        <v>4391739.830000001</v>
      </c>
      <c r="C6726" s="438">
        <v>4422967.24</v>
      </c>
      <c r="D6726" s="438">
        <v>4693752.959999999</v>
      </c>
      <c r="E6726" s="438">
        <v>4624518.2899999991</v>
      </c>
      <c r="F6726" s="438">
        <v>4624518.2899999991</v>
      </c>
      <c r="G6726" s="438">
        <v>4665847.8159999996</v>
      </c>
      <c r="H6726" s="438">
        <v>4680608.3609999996</v>
      </c>
    </row>
    <row r="6727" spans="1:8" s="442" customFormat="1" ht="11.25">
      <c r="A6727" s="440" t="s">
        <v>397</v>
      </c>
      <c r="B6727" s="441">
        <v>5.6371020643134692E-2</v>
      </c>
      <c r="C6727" s="441">
        <v>4.5120068966373807E-2</v>
      </c>
      <c r="D6727" s="441">
        <v>3.8568232720846814E-2</v>
      </c>
      <c r="E6727" s="441">
        <v>3.9123055951513309E-2</v>
      </c>
      <c r="F6727" s="441">
        <v>3.9123055951513309E-2</v>
      </c>
      <c r="G6727" s="441">
        <v>3.8789951122906056E-2</v>
      </c>
      <c r="H6727" s="441">
        <v>3.8672355609451113E-2</v>
      </c>
    </row>
    <row r="6728" spans="1:8" s="422" customFormat="1" ht="11.25"/>
    <row r="6729" spans="1:8" s="422" customFormat="1" ht="11.25">
      <c r="A6729" s="443" t="s">
        <v>594</v>
      </c>
      <c r="B6729" s="443"/>
      <c r="C6729" s="444"/>
    </row>
    <row r="6730" spans="1:8" s="422" customFormat="1" ht="11.25">
      <c r="A6730" s="445" t="s">
        <v>595</v>
      </c>
      <c r="B6730" s="446"/>
      <c r="C6730" s="447"/>
      <c r="D6730" s="439" t="s">
        <v>474</v>
      </c>
      <c r="E6730" s="439" t="s">
        <v>375</v>
      </c>
      <c r="F6730" s="439" t="s">
        <v>9</v>
      </c>
      <c r="G6730" s="439" t="s">
        <v>131</v>
      </c>
      <c r="H6730" s="439" t="s">
        <v>424</v>
      </c>
    </row>
    <row r="6731" spans="1:8" s="422" customFormat="1" ht="11.25">
      <c r="A6731" s="448" t="s">
        <v>1348</v>
      </c>
      <c r="B6731" s="449"/>
      <c r="C6731" s="449"/>
      <c r="D6731" s="457">
        <v>1</v>
      </c>
      <c r="E6731" s="457">
        <v>1</v>
      </c>
      <c r="F6731" s="457">
        <v>1</v>
      </c>
      <c r="G6731" s="457">
        <v>1</v>
      </c>
      <c r="H6731" s="457">
        <v>1</v>
      </c>
    </row>
    <row r="6732" spans="1:8" s="422" customFormat="1" ht="11.25">
      <c r="A6732" s="448"/>
      <c r="B6732" s="449"/>
      <c r="C6732" s="449"/>
      <c r="D6732" s="438"/>
      <c r="E6732" s="438"/>
      <c r="F6732" s="438"/>
      <c r="G6732" s="438"/>
      <c r="H6732" s="438"/>
    </row>
    <row r="6733" spans="1:8" s="422" customFormat="1" ht="11.25">
      <c r="A6733" s="448"/>
      <c r="B6733" s="449"/>
      <c r="C6733" s="449"/>
      <c r="D6733" s="438"/>
      <c r="E6733" s="438"/>
      <c r="F6733" s="438"/>
      <c r="G6733" s="438"/>
      <c r="H6733" s="438"/>
    </row>
    <row r="6734" spans="1:8" s="422" customFormat="1" ht="11.25"/>
    <row r="6735" spans="1:8" s="422" customFormat="1" ht="11.25">
      <c r="A6735" s="421" t="s">
        <v>423</v>
      </c>
      <c r="B6735" s="421"/>
      <c r="C6735" s="421"/>
    </row>
    <row r="6736" spans="1:8" s="422" customFormat="1" ht="11.25">
      <c r="A6736" s="450"/>
      <c r="B6736" s="439" t="s">
        <v>132</v>
      </c>
      <c r="C6736" s="439" t="s">
        <v>473</v>
      </c>
      <c r="D6736" s="439" t="s">
        <v>474</v>
      </c>
      <c r="E6736" s="439" t="s">
        <v>375</v>
      </c>
      <c r="F6736" s="439" t="s">
        <v>9</v>
      </c>
      <c r="G6736" s="439" t="s">
        <v>131</v>
      </c>
      <c r="H6736" s="439" t="s">
        <v>424</v>
      </c>
    </row>
    <row r="6737" spans="1:8" s="422" customFormat="1" ht="11.25">
      <c r="A6737" s="451" t="s">
        <v>398</v>
      </c>
      <c r="B6737" s="438">
        <v>0</v>
      </c>
      <c r="C6737" s="438">
        <v>0</v>
      </c>
      <c r="D6737" s="438">
        <v>0</v>
      </c>
      <c r="E6737" s="438">
        <v>0</v>
      </c>
      <c r="F6737" s="438">
        <v>0</v>
      </c>
      <c r="G6737" s="438">
        <v>0</v>
      </c>
      <c r="H6737" s="438">
        <v>0</v>
      </c>
    </row>
    <row r="6738" spans="1:8" s="422" customFormat="1" ht="11.25">
      <c r="A6738" s="451" t="s">
        <v>399</v>
      </c>
      <c r="B6738" s="438">
        <v>0</v>
      </c>
      <c r="C6738" s="438">
        <v>0</v>
      </c>
      <c r="D6738" s="438">
        <v>0</v>
      </c>
      <c r="E6738" s="438">
        <v>0</v>
      </c>
      <c r="F6738" s="438">
        <v>0</v>
      </c>
      <c r="G6738" s="438">
        <v>0</v>
      </c>
      <c r="H6738" s="438">
        <v>0</v>
      </c>
    </row>
    <row r="6739" spans="1:8" s="422" customFormat="1" ht="11.25">
      <c r="A6739" s="451" t="s">
        <v>400</v>
      </c>
      <c r="B6739" s="438">
        <v>0</v>
      </c>
      <c r="C6739" s="438">
        <v>0</v>
      </c>
      <c r="D6739" s="438">
        <v>0</v>
      </c>
      <c r="E6739" s="438">
        <v>0</v>
      </c>
      <c r="F6739" s="438">
        <v>0</v>
      </c>
      <c r="G6739" s="438">
        <v>0</v>
      </c>
      <c r="H6739" s="438">
        <v>0</v>
      </c>
    </row>
    <row r="6740" spans="1:8" s="422" customFormat="1" ht="11.25">
      <c r="A6740" s="451" t="s">
        <v>401</v>
      </c>
      <c r="B6740" s="438">
        <v>0</v>
      </c>
      <c r="C6740" s="438">
        <v>0</v>
      </c>
      <c r="D6740" s="438">
        <v>0</v>
      </c>
      <c r="E6740" s="438">
        <v>0</v>
      </c>
      <c r="F6740" s="438">
        <v>0</v>
      </c>
      <c r="G6740" s="438">
        <v>0</v>
      </c>
      <c r="H6740" s="438">
        <v>0</v>
      </c>
    </row>
    <row r="6741" spans="1:8" s="422" customFormat="1" ht="11.25"/>
    <row r="6742" spans="1:8" s="422" customFormat="1" ht="11.25">
      <c r="A6742" s="421" t="s">
        <v>597</v>
      </c>
      <c r="B6742" s="421"/>
      <c r="C6742" s="421"/>
    </row>
    <row r="6743" spans="1:8" s="429" customFormat="1" ht="11.25">
      <c r="A6743" s="428"/>
      <c r="B6743" s="428"/>
      <c r="C6743" s="428"/>
    </row>
    <row r="6744" spans="1:8" s="429" customFormat="1" ht="11.25">
      <c r="A6744" s="428"/>
      <c r="B6744" s="428"/>
      <c r="C6744" s="428"/>
    </row>
    <row r="6745" spans="1:8" s="429" customFormat="1" ht="11.25">
      <c r="A6745" s="428"/>
      <c r="B6745" s="428"/>
      <c r="C6745" s="428"/>
    </row>
    <row r="6746" spans="1:8" s="422" customFormat="1" ht="11.25"/>
    <row r="6747" spans="1:8" s="422" customFormat="1" ht="11.25">
      <c r="A6747" s="421" t="s">
        <v>598</v>
      </c>
      <c r="B6747" s="421"/>
      <c r="C6747" s="421"/>
    </row>
    <row r="6748" spans="1:8" s="422" customFormat="1" ht="11.25">
      <c r="A6748" s="452" t="s">
        <v>599</v>
      </c>
      <c r="B6748" s="447"/>
      <c r="C6748" s="447"/>
      <c r="D6748" s="447"/>
      <c r="E6748" s="439" t="s">
        <v>375</v>
      </c>
      <c r="F6748" s="439" t="s">
        <v>9</v>
      </c>
      <c r="G6748" s="439" t="s">
        <v>131</v>
      </c>
      <c r="H6748" s="439" t="s">
        <v>424</v>
      </c>
    </row>
    <row r="6749" spans="1:8" s="422" customFormat="1" ht="11.25">
      <c r="A6749" s="448"/>
      <c r="B6749" s="449"/>
      <c r="C6749" s="449"/>
      <c r="D6749" s="449"/>
      <c r="E6749" s="438">
        <v>0</v>
      </c>
      <c r="F6749" s="438">
        <v>0</v>
      </c>
      <c r="G6749" s="438">
        <v>0</v>
      </c>
      <c r="H6749" s="438">
        <v>0</v>
      </c>
    </row>
    <row r="6750" spans="1:8" s="422" customFormat="1" ht="11.25">
      <c r="A6750" s="448"/>
      <c r="B6750" s="449"/>
      <c r="C6750" s="449"/>
      <c r="D6750" s="449"/>
      <c r="E6750" s="438">
        <v>0</v>
      </c>
      <c r="F6750" s="438">
        <v>0</v>
      </c>
      <c r="G6750" s="438">
        <v>0</v>
      </c>
      <c r="H6750" s="438">
        <v>0</v>
      </c>
    </row>
    <row r="6751" spans="1:8" s="422" customFormat="1" ht="11.25">
      <c r="A6751" s="448"/>
      <c r="B6751" s="449"/>
      <c r="C6751" s="449"/>
      <c r="D6751" s="449"/>
      <c r="E6751" s="438">
        <v>0</v>
      </c>
      <c r="F6751" s="438">
        <v>0</v>
      </c>
      <c r="G6751" s="438">
        <v>0</v>
      </c>
      <c r="H6751" s="438">
        <v>0</v>
      </c>
    </row>
    <row r="6752" spans="1:8" s="421" customFormat="1" ht="11.25">
      <c r="A6752" s="421" t="s">
        <v>391</v>
      </c>
      <c r="D6752" s="421" t="s">
        <v>472</v>
      </c>
    </row>
    <row r="6753" spans="1:8" s="422" customFormat="1" ht="11.25"/>
    <row r="6754" spans="1:8" s="421" customFormat="1" ht="11.25" customHeight="1">
      <c r="A6754" s="423" t="s">
        <v>392</v>
      </c>
      <c r="D6754" s="421" t="s">
        <v>161</v>
      </c>
    </row>
    <row r="6755" spans="1:8" s="421" customFormat="1" ht="7.5" customHeight="1">
      <c r="A6755" s="423"/>
    </row>
    <row r="6756" spans="1:8" s="421" customFormat="1" ht="11.25">
      <c r="A6756" s="424" t="s">
        <v>393</v>
      </c>
      <c r="D6756" s="583" t="s">
        <v>41</v>
      </c>
      <c r="E6756" s="583"/>
      <c r="F6756" s="583"/>
      <c r="G6756" s="583"/>
      <c r="H6756" s="583"/>
    </row>
    <row r="6757" spans="1:8" s="421" customFormat="1" ht="7.5" customHeight="1"/>
    <row r="6758" spans="1:8" s="422" customFormat="1" ht="11.25">
      <c r="A6758" s="421" t="s">
        <v>170</v>
      </c>
      <c r="B6758" s="421"/>
      <c r="C6758" s="421"/>
      <c r="D6758" s="422" t="s">
        <v>329</v>
      </c>
      <c r="E6758" s="422" t="s">
        <v>1349</v>
      </c>
    </row>
    <row r="6759" spans="1:8" s="422" customFormat="1" ht="7.5" customHeight="1"/>
    <row r="6760" spans="1:8" s="427" customFormat="1" ht="11.25">
      <c r="A6760" s="425" t="s">
        <v>587</v>
      </c>
      <c r="B6760" s="425"/>
      <c r="C6760" s="425"/>
      <c r="D6760" s="426" t="s">
        <v>1350</v>
      </c>
      <c r="E6760" s="584" t="s">
        <v>330</v>
      </c>
      <c r="F6760" s="584"/>
      <c r="G6760" s="584"/>
      <c r="H6760" s="584"/>
    </row>
    <row r="6761" spans="1:8" s="427" customFormat="1" ht="11.25">
      <c r="A6761" s="425"/>
      <c r="B6761" s="425"/>
      <c r="C6761" s="425"/>
      <c r="D6761" s="426" t="s">
        <v>1351</v>
      </c>
      <c r="E6761" s="584" t="s">
        <v>1352</v>
      </c>
      <c r="F6761" s="584"/>
      <c r="G6761" s="584"/>
      <c r="H6761" s="584"/>
    </row>
    <row r="6762" spans="1:8" s="427" customFormat="1" ht="11.25">
      <c r="A6762" s="425"/>
      <c r="B6762" s="425"/>
      <c r="C6762" s="425"/>
      <c r="D6762" s="426" t="s">
        <v>1353</v>
      </c>
      <c r="E6762" s="584" t="s">
        <v>1354</v>
      </c>
      <c r="F6762" s="584"/>
      <c r="G6762" s="584"/>
      <c r="H6762" s="584"/>
    </row>
    <row r="6763" spans="1:8" s="427" customFormat="1" ht="11.25">
      <c r="A6763" s="425"/>
      <c r="B6763" s="425"/>
      <c r="C6763" s="425"/>
      <c r="D6763" s="426"/>
      <c r="E6763" s="584"/>
      <c r="F6763" s="584"/>
      <c r="G6763" s="584"/>
      <c r="H6763" s="584"/>
    </row>
    <row r="6764" spans="1:8" s="427" customFormat="1" ht="11.25"/>
    <row r="6765" spans="1:8" s="422" customFormat="1" ht="11.25"/>
    <row r="6766" spans="1:8" s="422" customFormat="1" ht="11.25">
      <c r="A6766" s="421" t="s">
        <v>589</v>
      </c>
      <c r="B6766" s="421"/>
      <c r="C6766" s="421"/>
    </row>
    <row r="6767" spans="1:8" s="429" customFormat="1" ht="11.25">
      <c r="A6767" s="428"/>
      <c r="B6767" s="428"/>
      <c r="C6767" s="428"/>
    </row>
    <row r="6768" spans="1:8" s="429" customFormat="1" ht="11.25">
      <c r="A6768" s="428"/>
      <c r="B6768" s="428"/>
      <c r="C6768" s="428"/>
    </row>
    <row r="6769" spans="1:8" s="429" customFormat="1" ht="11.25">
      <c r="A6769" s="428"/>
      <c r="B6769" s="428"/>
      <c r="C6769" s="428"/>
    </row>
    <row r="6770" spans="1:8" s="429" customFormat="1" ht="11.25">
      <c r="A6770" s="428"/>
      <c r="B6770" s="428"/>
      <c r="C6770" s="428"/>
    </row>
    <row r="6771" spans="1:8" s="429" customFormat="1" ht="11.25">
      <c r="A6771" s="428"/>
      <c r="B6771" s="428"/>
      <c r="C6771" s="428"/>
    </row>
    <row r="6772" spans="1:8" s="429" customFormat="1" ht="11.25">
      <c r="A6772" s="428"/>
      <c r="B6772" s="428"/>
      <c r="C6772" s="428"/>
    </row>
    <row r="6773" spans="1:8" s="422" customFormat="1" ht="9" customHeight="1">
      <c r="A6773" s="430"/>
      <c r="B6773" s="430"/>
      <c r="C6773" s="430"/>
      <c r="D6773" s="430"/>
      <c r="E6773" s="430"/>
      <c r="F6773" s="430"/>
      <c r="G6773" s="430"/>
      <c r="H6773" s="430"/>
    </row>
    <row r="6774" spans="1:8" s="422" customFormat="1" ht="22.5" customHeight="1">
      <c r="A6774" s="585" t="s">
        <v>590</v>
      </c>
      <c r="B6774" s="585"/>
      <c r="C6774" s="585"/>
      <c r="D6774" s="586"/>
      <c r="E6774" s="586"/>
      <c r="F6774" s="586"/>
      <c r="G6774" s="586"/>
      <c r="H6774" s="586"/>
    </row>
    <row r="6775" spans="1:8" s="429" customFormat="1" ht="11.25">
      <c r="A6775" s="431"/>
      <c r="B6775" s="431"/>
      <c r="C6775" s="431"/>
      <c r="D6775" s="432"/>
      <c r="E6775" s="432"/>
      <c r="F6775" s="432"/>
      <c r="G6775" s="432"/>
      <c r="H6775" s="432"/>
    </row>
    <row r="6776" spans="1:8" s="429" customFormat="1" ht="11.25">
      <c r="A6776" s="431"/>
      <c r="B6776" s="431"/>
      <c r="C6776" s="431"/>
      <c r="D6776" s="432"/>
      <c r="E6776" s="432"/>
      <c r="F6776" s="432"/>
      <c r="G6776" s="432"/>
      <c r="H6776" s="432"/>
    </row>
    <row r="6777" spans="1:8" s="429" customFormat="1" ht="11.25">
      <c r="A6777" s="431"/>
      <c r="B6777" s="431"/>
      <c r="C6777" s="431"/>
      <c r="D6777" s="432"/>
      <c r="E6777" s="432"/>
      <c r="F6777" s="432"/>
      <c r="G6777" s="432"/>
      <c r="H6777" s="432"/>
    </row>
    <row r="6778" spans="1:8" s="429" customFormat="1" ht="11.25">
      <c r="A6778" s="431"/>
      <c r="B6778" s="431"/>
      <c r="C6778" s="431"/>
      <c r="D6778" s="432"/>
      <c r="E6778" s="432"/>
      <c r="F6778" s="432"/>
      <c r="G6778" s="432"/>
      <c r="H6778" s="432"/>
    </row>
    <row r="6779" spans="1:8" s="422" customFormat="1" ht="9" customHeight="1"/>
    <row r="6780" spans="1:8" s="422" customFormat="1" ht="11.25">
      <c r="A6780" s="421" t="s">
        <v>591</v>
      </c>
      <c r="B6780" s="421"/>
      <c r="C6780" s="421"/>
    </row>
    <row r="6781" spans="1:8" s="429" customFormat="1" ht="11.25">
      <c r="A6781" s="428"/>
      <c r="B6781" s="428"/>
      <c r="C6781" s="428"/>
    </row>
    <row r="6782" spans="1:8" s="429" customFormat="1" ht="11.25">
      <c r="A6782" s="428"/>
      <c r="B6782" s="428"/>
      <c r="C6782" s="428"/>
    </row>
    <row r="6783" spans="1:8" s="429" customFormat="1" ht="11.25">
      <c r="A6783" s="428"/>
      <c r="B6783" s="428"/>
      <c r="C6783" s="428"/>
    </row>
    <row r="6784" spans="1:8" s="429" customFormat="1" ht="11.25">
      <c r="A6784" s="428"/>
      <c r="B6784" s="428"/>
      <c r="C6784" s="428"/>
    </row>
    <row r="6785" spans="1:8" s="429" customFormat="1" ht="11.25">
      <c r="A6785" s="428"/>
      <c r="B6785" s="428"/>
      <c r="C6785" s="428"/>
    </row>
    <row r="6786" spans="1:8" s="422" customFormat="1" ht="9" customHeight="1"/>
    <row r="6787" spans="1:8" s="422" customFormat="1" ht="11.25">
      <c r="A6787" s="433" t="s">
        <v>592</v>
      </c>
      <c r="B6787" s="434"/>
      <c r="C6787" s="434"/>
      <c r="D6787" s="434"/>
      <c r="E6787" s="434"/>
      <c r="F6787" s="434"/>
      <c r="G6787" s="434"/>
      <c r="H6787" s="434"/>
    </row>
    <row r="6788" spans="1:8" s="429" customFormat="1" ht="11.25">
      <c r="A6788" s="435"/>
      <c r="B6788" s="436"/>
      <c r="C6788" s="436"/>
      <c r="D6788" s="436"/>
      <c r="E6788" s="436"/>
      <c r="F6788" s="436"/>
      <c r="G6788" s="436"/>
      <c r="H6788" s="436"/>
    </row>
    <row r="6789" spans="1:8" s="429" customFormat="1" ht="11.25">
      <c r="A6789" s="435"/>
      <c r="B6789" s="436"/>
      <c r="C6789" s="436"/>
      <c r="D6789" s="436"/>
      <c r="E6789" s="436"/>
      <c r="F6789" s="436"/>
      <c r="G6789" s="436"/>
      <c r="H6789" s="436"/>
    </row>
    <row r="6790" spans="1:8" s="422" customFormat="1" ht="11.25">
      <c r="A6790" s="437"/>
      <c r="B6790" s="437"/>
      <c r="C6790" s="437"/>
      <c r="D6790" s="437"/>
      <c r="E6790" s="437"/>
      <c r="F6790" s="437"/>
      <c r="G6790" s="437"/>
      <c r="H6790" s="437"/>
    </row>
    <row r="6791" spans="1:8" s="422" customFormat="1" ht="11.25">
      <c r="A6791" s="421" t="s">
        <v>593</v>
      </c>
      <c r="B6791" s="421"/>
      <c r="C6791" s="421"/>
    </row>
    <row r="6792" spans="1:8" s="422" customFormat="1" ht="11.25">
      <c r="A6792" s="438"/>
      <c r="B6792" s="439" t="s">
        <v>132</v>
      </c>
      <c r="C6792" s="439" t="s">
        <v>473</v>
      </c>
      <c r="D6792" s="439" t="s">
        <v>474</v>
      </c>
      <c r="E6792" s="439" t="s">
        <v>375</v>
      </c>
      <c r="F6792" s="439" t="s">
        <v>9</v>
      </c>
      <c r="G6792" s="439" t="s">
        <v>131</v>
      </c>
      <c r="H6792" s="439" t="s">
        <v>424</v>
      </c>
    </row>
    <row r="6793" spans="1:8" s="422" customFormat="1" ht="11.25">
      <c r="A6793" s="439" t="s">
        <v>394</v>
      </c>
      <c r="B6793" s="438">
        <v>4897386.4200000009</v>
      </c>
      <c r="C6793" s="438">
        <v>5009347.82</v>
      </c>
      <c r="D6793" s="438">
        <v>4970156.28</v>
      </c>
      <c r="E6793" s="438">
        <v>4946894.78</v>
      </c>
      <c r="F6793" s="438">
        <v>4946894.78</v>
      </c>
      <c r="G6793" s="438">
        <v>4991261.0880000005</v>
      </c>
      <c r="H6793" s="438">
        <v>5007106.1979999999</v>
      </c>
    </row>
    <row r="6794" spans="1:8" s="422" customFormat="1" ht="11.25">
      <c r="A6794" s="439" t="s">
        <v>395</v>
      </c>
      <c r="B6794" s="438">
        <v>-5283180.43</v>
      </c>
      <c r="C6794" s="438">
        <v>-5685892.2000000002</v>
      </c>
      <c r="D6794" s="438">
        <v>-5380588.2800000003</v>
      </c>
      <c r="E6794" s="438">
        <v>-5380588.2800000003</v>
      </c>
      <c r="F6794" s="438">
        <v>-5380588.2800000003</v>
      </c>
      <c r="G6794" s="438">
        <v>-5380588.2800000003</v>
      </c>
      <c r="H6794" s="438">
        <v>-5380588.2800000003</v>
      </c>
    </row>
    <row r="6795" spans="1:8" s="422" customFormat="1" ht="11.25">
      <c r="A6795" s="439" t="s">
        <v>396</v>
      </c>
      <c r="B6795" s="438">
        <v>-385794.00999999885</v>
      </c>
      <c r="C6795" s="438">
        <v>-676544.37999999989</v>
      </c>
      <c r="D6795" s="438">
        <v>-410432</v>
      </c>
      <c r="E6795" s="438">
        <v>-433693.5</v>
      </c>
      <c r="F6795" s="438">
        <v>-433693.5</v>
      </c>
      <c r="G6795" s="438">
        <v>-389327.19199999981</v>
      </c>
      <c r="H6795" s="438">
        <v>-373482.0820000004</v>
      </c>
    </row>
    <row r="6796" spans="1:8" s="442" customFormat="1" ht="11.25">
      <c r="A6796" s="440" t="s">
        <v>397</v>
      </c>
      <c r="B6796" s="441">
        <v>1.078775488988267</v>
      </c>
      <c r="C6796" s="441">
        <v>1.1350563794550006</v>
      </c>
      <c r="D6796" s="441">
        <v>1.0825792946695834</v>
      </c>
      <c r="E6796" s="441">
        <v>1.087669845284237</v>
      </c>
      <c r="F6796" s="441">
        <v>1.087669845284237</v>
      </c>
      <c r="G6796" s="441">
        <v>1.0780017685181849</v>
      </c>
      <c r="H6796" s="441">
        <v>1.0745904055618356</v>
      </c>
    </row>
    <row r="6797" spans="1:8" s="422" customFormat="1" ht="11.25"/>
    <row r="6798" spans="1:8" s="422" customFormat="1" ht="11.25">
      <c r="A6798" s="443" t="s">
        <v>594</v>
      </c>
      <c r="B6798" s="443"/>
      <c r="C6798" s="444"/>
    </row>
    <row r="6799" spans="1:8" s="422" customFormat="1" ht="11.25">
      <c r="A6799" s="445" t="s">
        <v>595</v>
      </c>
      <c r="B6799" s="446"/>
      <c r="C6799" s="447"/>
      <c r="D6799" s="439" t="s">
        <v>474</v>
      </c>
      <c r="E6799" s="439" t="s">
        <v>375</v>
      </c>
      <c r="F6799" s="439" t="s">
        <v>9</v>
      </c>
      <c r="G6799" s="439" t="s">
        <v>131</v>
      </c>
      <c r="H6799" s="439" t="s">
        <v>424</v>
      </c>
    </row>
    <row r="6800" spans="1:8" s="422" customFormat="1" ht="11.25">
      <c r="A6800" s="448" t="s">
        <v>596</v>
      </c>
      <c r="B6800" s="449"/>
      <c r="C6800" s="449"/>
      <c r="D6800" s="438"/>
      <c r="E6800" s="438"/>
      <c r="F6800" s="438"/>
      <c r="G6800" s="438"/>
      <c r="H6800" s="438"/>
    </row>
    <row r="6801" spans="1:8" s="422" customFormat="1" ht="11.25">
      <c r="A6801" s="448"/>
      <c r="B6801" s="449"/>
      <c r="C6801" s="449"/>
      <c r="D6801" s="438"/>
      <c r="E6801" s="438"/>
      <c r="F6801" s="438"/>
      <c r="G6801" s="438"/>
      <c r="H6801" s="438"/>
    </row>
    <row r="6802" spans="1:8" s="422" customFormat="1" ht="11.25">
      <c r="A6802" s="448"/>
      <c r="B6802" s="449"/>
      <c r="C6802" s="449"/>
      <c r="D6802" s="438"/>
      <c r="E6802" s="438"/>
      <c r="F6802" s="438"/>
      <c r="G6802" s="438"/>
      <c r="H6802" s="438"/>
    </row>
    <row r="6803" spans="1:8" s="422" customFormat="1" ht="11.25"/>
    <row r="6804" spans="1:8" s="422" customFormat="1" ht="11.25">
      <c r="A6804" s="421" t="s">
        <v>423</v>
      </c>
      <c r="B6804" s="421"/>
      <c r="C6804" s="421"/>
    </row>
    <row r="6805" spans="1:8" s="422" customFormat="1" ht="11.25">
      <c r="A6805" s="450"/>
      <c r="B6805" s="439" t="s">
        <v>132</v>
      </c>
      <c r="C6805" s="439" t="s">
        <v>473</v>
      </c>
      <c r="D6805" s="439" t="s">
        <v>474</v>
      </c>
      <c r="E6805" s="439" t="s">
        <v>375</v>
      </c>
      <c r="F6805" s="439" t="s">
        <v>9</v>
      </c>
      <c r="G6805" s="439" t="s">
        <v>131</v>
      </c>
      <c r="H6805" s="439" t="s">
        <v>424</v>
      </c>
    </row>
    <row r="6806" spans="1:8" s="422" customFormat="1" ht="11.25">
      <c r="A6806" s="451" t="s">
        <v>398</v>
      </c>
      <c r="B6806" s="438">
        <v>0</v>
      </c>
      <c r="C6806" s="438">
        <v>0</v>
      </c>
      <c r="D6806" s="438">
        <v>0</v>
      </c>
      <c r="E6806" s="438">
        <v>0</v>
      </c>
      <c r="F6806" s="438">
        <v>0</v>
      </c>
      <c r="G6806" s="438">
        <v>0</v>
      </c>
      <c r="H6806" s="438">
        <v>0</v>
      </c>
    </row>
    <row r="6807" spans="1:8" s="422" customFormat="1" ht="11.25">
      <c r="A6807" s="451" t="s">
        <v>399</v>
      </c>
      <c r="B6807" s="438">
        <v>0</v>
      </c>
      <c r="C6807" s="438">
        <v>0</v>
      </c>
      <c r="D6807" s="438">
        <v>0</v>
      </c>
      <c r="E6807" s="438">
        <v>0</v>
      </c>
      <c r="F6807" s="438">
        <v>0</v>
      </c>
      <c r="G6807" s="438">
        <v>0</v>
      </c>
      <c r="H6807" s="438">
        <v>0</v>
      </c>
    </row>
    <row r="6808" spans="1:8" s="422" customFormat="1" ht="11.25">
      <c r="A6808" s="451" t="s">
        <v>400</v>
      </c>
      <c r="B6808" s="438">
        <v>0</v>
      </c>
      <c r="C6808" s="438">
        <v>0</v>
      </c>
      <c r="D6808" s="438">
        <v>0</v>
      </c>
      <c r="E6808" s="438">
        <v>0</v>
      </c>
      <c r="F6808" s="438">
        <v>0</v>
      </c>
      <c r="G6808" s="438">
        <v>0</v>
      </c>
      <c r="H6808" s="438">
        <v>0</v>
      </c>
    </row>
    <row r="6809" spans="1:8" s="422" customFormat="1" ht="11.25">
      <c r="A6809" s="451" t="s">
        <v>401</v>
      </c>
      <c r="B6809" s="438">
        <v>0</v>
      </c>
      <c r="C6809" s="438">
        <v>0</v>
      </c>
      <c r="D6809" s="438">
        <v>0</v>
      </c>
      <c r="E6809" s="438">
        <v>0</v>
      </c>
      <c r="F6809" s="438">
        <v>0</v>
      </c>
      <c r="G6809" s="438">
        <v>0</v>
      </c>
      <c r="H6809" s="438">
        <v>0</v>
      </c>
    </row>
    <row r="6810" spans="1:8" s="422" customFormat="1" ht="11.25"/>
    <row r="6811" spans="1:8" s="422" customFormat="1" ht="11.25">
      <c r="A6811" s="421" t="s">
        <v>597</v>
      </c>
      <c r="B6811" s="421"/>
      <c r="C6811" s="421"/>
    </row>
    <row r="6812" spans="1:8" s="429" customFormat="1" ht="11.25">
      <c r="A6812" s="428"/>
      <c r="B6812" s="428"/>
      <c r="C6812" s="428"/>
    </row>
    <row r="6813" spans="1:8" s="429" customFormat="1" ht="11.25">
      <c r="A6813" s="428"/>
      <c r="B6813" s="428"/>
      <c r="C6813" s="428"/>
    </row>
    <row r="6814" spans="1:8" s="429" customFormat="1" ht="11.25">
      <c r="A6814" s="428"/>
      <c r="B6814" s="428"/>
      <c r="C6814" s="428"/>
    </row>
    <row r="6815" spans="1:8" s="422" customFormat="1" ht="11.25"/>
    <row r="6816" spans="1:8" s="422" customFormat="1" ht="11.25">
      <c r="A6816" s="421" t="s">
        <v>598</v>
      </c>
      <c r="B6816" s="421"/>
      <c r="C6816" s="421"/>
    </row>
    <row r="6817" spans="1:8" s="422" customFormat="1" ht="11.25">
      <c r="A6817" s="452" t="s">
        <v>599</v>
      </c>
      <c r="B6817" s="447"/>
      <c r="C6817" s="447"/>
      <c r="D6817" s="447"/>
      <c r="E6817" s="439" t="s">
        <v>375</v>
      </c>
      <c r="F6817" s="439" t="s">
        <v>9</v>
      </c>
      <c r="G6817" s="439" t="s">
        <v>131</v>
      </c>
      <c r="H6817" s="439" t="s">
        <v>424</v>
      </c>
    </row>
    <row r="6818" spans="1:8" s="422" customFormat="1" ht="11.25">
      <c r="A6818" s="448"/>
      <c r="B6818" s="449"/>
      <c r="C6818" s="449"/>
      <c r="D6818" s="449"/>
      <c r="E6818" s="438">
        <v>0</v>
      </c>
      <c r="F6818" s="438">
        <v>0</v>
      </c>
      <c r="G6818" s="438">
        <v>0</v>
      </c>
      <c r="H6818" s="438">
        <v>0</v>
      </c>
    </row>
    <row r="6819" spans="1:8" s="422" customFormat="1" ht="11.25">
      <c r="A6819" s="448"/>
      <c r="B6819" s="449"/>
      <c r="C6819" s="449"/>
      <c r="D6819" s="449"/>
      <c r="E6819" s="438">
        <v>0</v>
      </c>
      <c r="F6819" s="438">
        <v>0</v>
      </c>
      <c r="G6819" s="438">
        <v>0</v>
      </c>
      <c r="H6819" s="438">
        <v>0</v>
      </c>
    </row>
    <row r="6820" spans="1:8" s="422" customFormat="1" ht="11.25">
      <c r="A6820" s="448"/>
      <c r="B6820" s="449"/>
      <c r="C6820" s="449"/>
      <c r="D6820" s="449"/>
      <c r="E6820" s="438">
        <v>0</v>
      </c>
      <c r="F6820" s="438">
        <v>0</v>
      </c>
      <c r="G6820" s="438">
        <v>0</v>
      </c>
      <c r="H6820" s="438">
        <v>0</v>
      </c>
    </row>
    <row r="6821" spans="1:8" s="421" customFormat="1" ht="11.25">
      <c r="A6821" s="421" t="s">
        <v>391</v>
      </c>
      <c r="D6821" s="421" t="s">
        <v>472</v>
      </c>
    </row>
    <row r="6822" spans="1:8" s="422" customFormat="1" ht="11.25"/>
    <row r="6823" spans="1:8" s="421" customFormat="1" ht="11.25" customHeight="1">
      <c r="A6823" s="423" t="s">
        <v>392</v>
      </c>
      <c r="D6823" s="421" t="s">
        <v>161</v>
      </c>
    </row>
    <row r="6824" spans="1:8" s="421" customFormat="1" ht="7.5" customHeight="1">
      <c r="A6824" s="423"/>
    </row>
    <row r="6825" spans="1:8" s="421" customFormat="1" ht="11.25">
      <c r="A6825" s="424" t="s">
        <v>393</v>
      </c>
      <c r="D6825" s="583" t="s">
        <v>41</v>
      </c>
      <c r="E6825" s="583"/>
      <c r="F6825" s="583"/>
      <c r="G6825" s="583"/>
      <c r="H6825" s="583"/>
    </row>
    <row r="6826" spans="1:8" s="421" customFormat="1" ht="7.5" customHeight="1"/>
    <row r="6827" spans="1:8" s="422" customFormat="1" ht="11.25">
      <c r="A6827" s="421" t="s">
        <v>170</v>
      </c>
      <c r="B6827" s="421"/>
      <c r="C6827" s="421"/>
      <c r="D6827" s="422" t="s">
        <v>331</v>
      </c>
      <c r="E6827" s="422" t="s">
        <v>1355</v>
      </c>
    </row>
    <row r="6828" spans="1:8" s="422" customFormat="1" ht="7.5" customHeight="1"/>
    <row r="6829" spans="1:8" s="427" customFormat="1" ht="11.25">
      <c r="A6829" s="425" t="s">
        <v>587</v>
      </c>
      <c r="B6829" s="425"/>
      <c r="C6829" s="425"/>
      <c r="D6829" s="426" t="s">
        <v>1356</v>
      </c>
      <c r="E6829" s="584" t="s">
        <v>75</v>
      </c>
      <c r="F6829" s="584"/>
      <c r="G6829" s="584"/>
      <c r="H6829" s="584"/>
    </row>
    <row r="6830" spans="1:8" s="427" customFormat="1" ht="11.25">
      <c r="A6830" s="425"/>
      <c r="B6830" s="425"/>
      <c r="C6830" s="425"/>
      <c r="D6830" s="426" t="s">
        <v>1357</v>
      </c>
      <c r="E6830" s="584" t="s">
        <v>73</v>
      </c>
      <c r="F6830" s="584"/>
      <c r="G6830" s="584"/>
      <c r="H6830" s="584"/>
    </row>
    <row r="6831" spans="1:8" s="427" customFormat="1" ht="11.25">
      <c r="A6831" s="425"/>
      <c r="B6831" s="425"/>
      <c r="C6831" s="425"/>
      <c r="D6831" s="426" t="s">
        <v>1358</v>
      </c>
      <c r="E6831" s="584" t="s">
        <v>1359</v>
      </c>
      <c r="F6831" s="584"/>
      <c r="G6831" s="584"/>
      <c r="H6831" s="584"/>
    </row>
    <row r="6832" spans="1:8" s="427" customFormat="1" ht="11.25">
      <c r="A6832" s="425"/>
      <c r="B6832" s="425"/>
      <c r="C6832" s="425"/>
      <c r="D6832" s="426"/>
      <c r="E6832" s="584"/>
      <c r="F6832" s="584"/>
      <c r="G6832" s="584"/>
      <c r="H6832" s="584"/>
    </row>
    <row r="6833" spans="1:8" s="427" customFormat="1" ht="11.25">
      <c r="A6833" s="425"/>
      <c r="B6833" s="425"/>
      <c r="C6833" s="425"/>
      <c r="D6833" s="426"/>
      <c r="E6833" s="584"/>
      <c r="F6833" s="584"/>
      <c r="G6833" s="584"/>
      <c r="H6833" s="584"/>
    </row>
    <row r="6834" spans="1:8" s="427" customFormat="1" ht="11.25"/>
    <row r="6835" spans="1:8" s="422" customFormat="1" ht="11.25"/>
    <row r="6836" spans="1:8" s="422" customFormat="1" ht="11.25">
      <c r="A6836" s="421" t="s">
        <v>589</v>
      </c>
      <c r="B6836" s="421"/>
      <c r="C6836" s="421"/>
    </row>
    <row r="6837" spans="1:8" s="429" customFormat="1" ht="11.25">
      <c r="A6837" s="428"/>
      <c r="B6837" s="428"/>
      <c r="C6837" s="428"/>
    </row>
    <row r="6838" spans="1:8" s="429" customFormat="1" ht="11.25">
      <c r="A6838" s="428"/>
      <c r="B6838" s="428"/>
      <c r="C6838" s="428"/>
    </row>
    <row r="6839" spans="1:8" s="429" customFormat="1" ht="11.25">
      <c r="A6839" s="428"/>
      <c r="B6839" s="428"/>
      <c r="C6839" s="428"/>
    </row>
    <row r="6840" spans="1:8" s="429" customFormat="1" ht="11.25">
      <c r="A6840" s="428"/>
      <c r="B6840" s="428"/>
      <c r="C6840" s="428"/>
    </row>
    <row r="6841" spans="1:8" s="429" customFormat="1" ht="11.25">
      <c r="A6841" s="428"/>
      <c r="B6841" s="428"/>
      <c r="C6841" s="428"/>
    </row>
    <row r="6842" spans="1:8" s="429" customFormat="1" ht="11.25">
      <c r="A6842" s="428"/>
      <c r="B6842" s="428"/>
      <c r="C6842" s="428"/>
    </row>
    <row r="6843" spans="1:8" s="422" customFormat="1" ht="9" customHeight="1">
      <c r="A6843" s="430"/>
      <c r="B6843" s="430"/>
      <c r="C6843" s="430"/>
      <c r="D6843" s="430"/>
      <c r="E6843" s="430"/>
      <c r="F6843" s="430"/>
      <c r="G6843" s="430"/>
      <c r="H6843" s="430"/>
    </row>
    <row r="6844" spans="1:8" s="422" customFormat="1" ht="22.5" customHeight="1">
      <c r="A6844" s="585" t="s">
        <v>590</v>
      </c>
      <c r="B6844" s="585"/>
      <c r="C6844" s="585"/>
      <c r="D6844" s="586"/>
      <c r="E6844" s="586"/>
      <c r="F6844" s="586"/>
      <c r="G6844" s="586"/>
      <c r="H6844" s="586"/>
    </row>
    <row r="6845" spans="1:8" s="429" customFormat="1" ht="11.25">
      <c r="A6845" s="431"/>
      <c r="B6845" s="431"/>
      <c r="C6845" s="431"/>
      <c r="D6845" s="432"/>
      <c r="E6845" s="432"/>
      <c r="F6845" s="432"/>
      <c r="G6845" s="432"/>
      <c r="H6845" s="432"/>
    </row>
    <row r="6846" spans="1:8" s="429" customFormat="1" ht="11.25">
      <c r="A6846" s="431"/>
      <c r="B6846" s="431"/>
      <c r="C6846" s="431"/>
      <c r="D6846" s="432"/>
      <c r="E6846" s="432"/>
      <c r="F6846" s="432"/>
      <c r="G6846" s="432"/>
      <c r="H6846" s="432"/>
    </row>
    <row r="6847" spans="1:8" s="429" customFormat="1" ht="11.25">
      <c r="A6847" s="431"/>
      <c r="B6847" s="431"/>
      <c r="C6847" s="431"/>
      <c r="D6847" s="432"/>
      <c r="E6847" s="432"/>
      <c r="F6847" s="432"/>
      <c r="G6847" s="432"/>
      <c r="H6847" s="432"/>
    </row>
    <row r="6848" spans="1:8" s="429" customFormat="1" ht="11.25">
      <c r="A6848" s="431"/>
      <c r="B6848" s="431"/>
      <c r="C6848" s="431"/>
      <c r="D6848" s="432"/>
      <c r="E6848" s="432"/>
      <c r="F6848" s="432"/>
      <c r="G6848" s="432"/>
      <c r="H6848" s="432"/>
    </row>
    <row r="6849" spans="1:8" s="422" customFormat="1" ht="9" customHeight="1"/>
    <row r="6850" spans="1:8" s="422" customFormat="1" ht="11.25">
      <c r="A6850" s="421" t="s">
        <v>591</v>
      </c>
      <c r="B6850" s="421"/>
      <c r="C6850" s="421"/>
    </row>
    <row r="6851" spans="1:8" s="429" customFormat="1" ht="11.25">
      <c r="A6851" s="428"/>
      <c r="B6851" s="428"/>
      <c r="C6851" s="428"/>
    </row>
    <row r="6852" spans="1:8" s="429" customFormat="1" ht="11.25">
      <c r="A6852" s="428"/>
      <c r="B6852" s="428"/>
      <c r="C6852" s="428"/>
    </row>
    <row r="6853" spans="1:8" s="429" customFormat="1" ht="11.25">
      <c r="A6853" s="428"/>
      <c r="B6853" s="428"/>
      <c r="C6853" s="428"/>
    </row>
    <row r="6854" spans="1:8" s="429" customFormat="1" ht="11.25">
      <c r="A6854" s="428"/>
      <c r="B6854" s="428"/>
      <c r="C6854" s="428"/>
    </row>
    <row r="6855" spans="1:8" s="429" customFormat="1" ht="11.25">
      <c r="A6855" s="428"/>
      <c r="B6855" s="428"/>
      <c r="C6855" s="428"/>
    </row>
    <row r="6856" spans="1:8" s="422" customFormat="1" ht="9" customHeight="1"/>
    <row r="6857" spans="1:8" s="422" customFormat="1" ht="11.25">
      <c r="A6857" s="433" t="s">
        <v>592</v>
      </c>
      <c r="B6857" s="434"/>
      <c r="C6857" s="434"/>
      <c r="D6857" s="434"/>
      <c r="E6857" s="434"/>
      <c r="F6857" s="434"/>
      <c r="G6857" s="434"/>
      <c r="H6857" s="434"/>
    </row>
    <row r="6858" spans="1:8" s="429" customFormat="1" ht="11.25">
      <c r="A6858" s="435"/>
      <c r="B6858" s="436"/>
      <c r="C6858" s="436"/>
      <c r="D6858" s="436"/>
      <c r="E6858" s="436"/>
      <c r="F6858" s="436"/>
      <c r="G6858" s="436"/>
      <c r="H6858" s="436"/>
    </row>
    <row r="6859" spans="1:8" s="429" customFormat="1" ht="11.25">
      <c r="A6859" s="435"/>
      <c r="B6859" s="436"/>
      <c r="C6859" s="436"/>
      <c r="D6859" s="436"/>
      <c r="E6859" s="436"/>
      <c r="F6859" s="436"/>
      <c r="G6859" s="436"/>
      <c r="H6859" s="436"/>
    </row>
    <row r="6860" spans="1:8" s="422" customFormat="1" ht="11.25">
      <c r="A6860" s="437"/>
      <c r="B6860" s="437"/>
      <c r="C6860" s="437"/>
      <c r="D6860" s="437"/>
      <c r="E6860" s="437"/>
      <c r="F6860" s="437"/>
      <c r="G6860" s="437"/>
      <c r="H6860" s="437"/>
    </row>
    <row r="6861" spans="1:8" s="422" customFormat="1" ht="11.25">
      <c r="A6861" s="421" t="s">
        <v>593</v>
      </c>
      <c r="B6861" s="421"/>
      <c r="C6861" s="421"/>
    </row>
    <row r="6862" spans="1:8" s="422" customFormat="1" ht="11.25">
      <c r="A6862" s="438"/>
      <c r="B6862" s="439" t="s">
        <v>132</v>
      </c>
      <c r="C6862" s="439" t="s">
        <v>473</v>
      </c>
      <c r="D6862" s="439" t="s">
        <v>474</v>
      </c>
      <c r="E6862" s="439" t="s">
        <v>375</v>
      </c>
      <c r="F6862" s="439" t="s">
        <v>9</v>
      </c>
      <c r="G6862" s="439" t="s">
        <v>131</v>
      </c>
      <c r="H6862" s="439" t="s">
        <v>424</v>
      </c>
    </row>
    <row r="6863" spans="1:8" s="422" customFormat="1" ht="11.25">
      <c r="A6863" s="439" t="s">
        <v>394</v>
      </c>
      <c r="B6863" s="438">
        <v>1262054.95</v>
      </c>
      <c r="C6863" s="438">
        <v>1304271.7</v>
      </c>
      <c r="D6863" s="438">
        <v>1343019.04</v>
      </c>
      <c r="E6863" s="438">
        <v>1333645.29</v>
      </c>
      <c r="F6863" s="438">
        <v>1333645.29</v>
      </c>
      <c r="G6863" s="438">
        <v>1346383.456</v>
      </c>
      <c r="H6863" s="438">
        <v>1350932.801</v>
      </c>
    </row>
    <row r="6864" spans="1:8" s="422" customFormat="1" ht="11.25">
      <c r="A6864" s="439" t="s">
        <v>395</v>
      </c>
      <c r="B6864" s="438">
        <v>-205296.28</v>
      </c>
      <c r="C6864" s="438">
        <v>-127791.95</v>
      </c>
      <c r="D6864" s="438">
        <v>-113619.8</v>
      </c>
      <c r="E6864" s="438">
        <v>-113619.8</v>
      </c>
      <c r="F6864" s="438">
        <v>-113619.8</v>
      </c>
      <c r="G6864" s="438">
        <v>-113619.8</v>
      </c>
      <c r="H6864" s="438">
        <v>-113619.8</v>
      </c>
    </row>
    <row r="6865" spans="1:8" s="422" customFormat="1" ht="11.25">
      <c r="A6865" s="439" t="s">
        <v>396</v>
      </c>
      <c r="B6865" s="438">
        <v>1056758.67</v>
      </c>
      <c r="C6865" s="438">
        <v>1176479.75</v>
      </c>
      <c r="D6865" s="438">
        <v>1229399.24</v>
      </c>
      <c r="E6865" s="438">
        <v>1220025.49</v>
      </c>
      <c r="F6865" s="438">
        <v>1220025.49</v>
      </c>
      <c r="G6865" s="438">
        <v>1232763.656</v>
      </c>
      <c r="H6865" s="438">
        <v>1237313.0009999999</v>
      </c>
    </row>
    <row r="6866" spans="1:8" s="442" customFormat="1" ht="11.25">
      <c r="A6866" s="440" t="s">
        <v>397</v>
      </c>
      <c r="B6866" s="441">
        <v>0.16266825782823482</v>
      </c>
      <c r="C6866" s="441">
        <v>9.7979546746279941E-2</v>
      </c>
      <c r="D6866" s="441">
        <v>8.4600289806762527E-2</v>
      </c>
      <c r="E6866" s="441">
        <v>8.519491715821978E-2</v>
      </c>
      <c r="F6866" s="441">
        <v>8.519491715821978E-2</v>
      </c>
      <c r="G6866" s="441">
        <v>8.438888601435697E-2</v>
      </c>
      <c r="H6866" s="441">
        <v>8.4104701518754529E-2</v>
      </c>
    </row>
    <row r="6867" spans="1:8" s="422" customFormat="1" ht="11.25"/>
    <row r="6868" spans="1:8" s="422" customFormat="1" ht="11.25">
      <c r="A6868" s="443" t="s">
        <v>594</v>
      </c>
      <c r="B6868" s="443"/>
      <c r="C6868" s="444"/>
    </row>
    <row r="6869" spans="1:8" s="422" customFormat="1" ht="11.25">
      <c r="A6869" s="445" t="s">
        <v>595</v>
      </c>
      <c r="B6869" s="446"/>
      <c r="C6869" s="447"/>
      <c r="D6869" s="439" t="s">
        <v>474</v>
      </c>
      <c r="E6869" s="439" t="s">
        <v>375</v>
      </c>
      <c r="F6869" s="439" t="s">
        <v>9</v>
      </c>
      <c r="G6869" s="439" t="s">
        <v>131</v>
      </c>
      <c r="H6869" s="439" t="s">
        <v>424</v>
      </c>
    </row>
    <row r="6870" spans="1:8" s="422" customFormat="1" ht="11.25">
      <c r="A6870" s="448" t="s">
        <v>596</v>
      </c>
      <c r="B6870" s="449"/>
      <c r="C6870" s="449"/>
      <c r="D6870" s="438"/>
      <c r="E6870" s="438"/>
      <c r="F6870" s="438"/>
      <c r="G6870" s="438"/>
      <c r="H6870" s="438"/>
    </row>
    <row r="6871" spans="1:8" s="422" customFormat="1" ht="11.25">
      <c r="A6871" s="448"/>
      <c r="B6871" s="449"/>
      <c r="C6871" s="449"/>
      <c r="D6871" s="438"/>
      <c r="E6871" s="438"/>
      <c r="F6871" s="438"/>
      <c r="G6871" s="438"/>
      <c r="H6871" s="438"/>
    </row>
    <row r="6872" spans="1:8" s="422" customFormat="1" ht="11.25">
      <c r="A6872" s="448"/>
      <c r="B6872" s="449"/>
      <c r="C6872" s="449"/>
      <c r="D6872" s="438"/>
      <c r="E6872" s="438"/>
      <c r="F6872" s="438"/>
      <c r="G6872" s="438"/>
      <c r="H6872" s="438"/>
    </row>
    <row r="6873" spans="1:8" s="422" customFormat="1" ht="11.25"/>
    <row r="6874" spans="1:8" s="422" customFormat="1" ht="11.25">
      <c r="A6874" s="421" t="s">
        <v>423</v>
      </c>
      <c r="B6874" s="421"/>
      <c r="C6874" s="421"/>
    </row>
    <row r="6875" spans="1:8" s="422" customFormat="1" ht="11.25">
      <c r="A6875" s="450"/>
      <c r="B6875" s="439" t="s">
        <v>132</v>
      </c>
      <c r="C6875" s="439" t="s">
        <v>473</v>
      </c>
      <c r="D6875" s="439" t="s">
        <v>474</v>
      </c>
      <c r="E6875" s="439" t="s">
        <v>375</v>
      </c>
      <c r="F6875" s="439" t="s">
        <v>9</v>
      </c>
      <c r="G6875" s="439" t="s">
        <v>131</v>
      </c>
      <c r="H6875" s="439" t="s">
        <v>424</v>
      </c>
    </row>
    <row r="6876" spans="1:8" s="422" customFormat="1" ht="11.25">
      <c r="A6876" s="451" t="s">
        <v>398</v>
      </c>
      <c r="B6876" s="438">
        <v>0</v>
      </c>
      <c r="C6876" s="438">
        <v>0</v>
      </c>
      <c r="D6876" s="438">
        <v>0</v>
      </c>
      <c r="E6876" s="438">
        <v>0</v>
      </c>
      <c r="F6876" s="438">
        <v>0</v>
      </c>
      <c r="G6876" s="438">
        <v>0</v>
      </c>
      <c r="H6876" s="438">
        <v>0</v>
      </c>
    </row>
    <row r="6877" spans="1:8" s="422" customFormat="1" ht="11.25">
      <c r="A6877" s="451" t="s">
        <v>399</v>
      </c>
      <c r="B6877" s="438">
        <v>0</v>
      </c>
      <c r="C6877" s="438">
        <v>0</v>
      </c>
      <c r="D6877" s="438">
        <v>0</v>
      </c>
      <c r="E6877" s="438">
        <v>0</v>
      </c>
      <c r="F6877" s="438">
        <v>0</v>
      </c>
      <c r="G6877" s="438">
        <v>0</v>
      </c>
      <c r="H6877" s="438">
        <v>0</v>
      </c>
    </row>
    <row r="6878" spans="1:8" s="422" customFormat="1" ht="11.25">
      <c r="A6878" s="451" t="s">
        <v>400</v>
      </c>
      <c r="B6878" s="438">
        <v>0</v>
      </c>
      <c r="C6878" s="438">
        <v>0</v>
      </c>
      <c r="D6878" s="438">
        <v>0</v>
      </c>
      <c r="E6878" s="438">
        <v>0</v>
      </c>
      <c r="F6878" s="438">
        <v>0</v>
      </c>
      <c r="G6878" s="438">
        <v>0</v>
      </c>
      <c r="H6878" s="438">
        <v>0</v>
      </c>
    </row>
    <row r="6879" spans="1:8" s="422" customFormat="1" ht="11.25">
      <c r="A6879" s="451" t="s">
        <v>401</v>
      </c>
      <c r="B6879" s="438">
        <v>0</v>
      </c>
      <c r="C6879" s="438">
        <v>0</v>
      </c>
      <c r="D6879" s="438">
        <v>0</v>
      </c>
      <c r="E6879" s="438">
        <v>0</v>
      </c>
      <c r="F6879" s="438">
        <v>0</v>
      </c>
      <c r="G6879" s="438">
        <v>0</v>
      </c>
      <c r="H6879" s="438">
        <v>0</v>
      </c>
    </row>
    <row r="6880" spans="1:8" s="422" customFormat="1" ht="11.25"/>
    <row r="6881" spans="1:8" s="422" customFormat="1" ht="11.25">
      <c r="A6881" s="421" t="s">
        <v>597</v>
      </c>
      <c r="B6881" s="421"/>
      <c r="C6881" s="421"/>
    </row>
    <row r="6882" spans="1:8" s="429" customFormat="1" ht="11.25">
      <c r="A6882" s="428"/>
      <c r="B6882" s="428"/>
      <c r="C6882" s="428"/>
    </row>
    <row r="6883" spans="1:8" s="429" customFormat="1" ht="11.25">
      <c r="A6883" s="428"/>
      <c r="B6883" s="428"/>
      <c r="C6883" s="428"/>
    </row>
    <row r="6884" spans="1:8" s="429" customFormat="1" ht="11.25">
      <c r="A6884" s="428"/>
      <c r="B6884" s="428"/>
      <c r="C6884" s="428"/>
    </row>
    <row r="6885" spans="1:8" s="422" customFormat="1" ht="11.25"/>
    <row r="6886" spans="1:8" s="422" customFormat="1" ht="11.25">
      <c r="A6886" s="421" t="s">
        <v>598</v>
      </c>
      <c r="B6886" s="421"/>
      <c r="C6886" s="421"/>
    </row>
    <row r="6887" spans="1:8" s="422" customFormat="1" ht="11.25">
      <c r="A6887" s="452" t="s">
        <v>599</v>
      </c>
      <c r="B6887" s="447"/>
      <c r="C6887" s="447"/>
      <c r="D6887" s="447"/>
      <c r="E6887" s="439" t="s">
        <v>375</v>
      </c>
      <c r="F6887" s="439" t="s">
        <v>9</v>
      </c>
      <c r="G6887" s="439" t="s">
        <v>131</v>
      </c>
      <c r="H6887" s="439" t="s">
        <v>424</v>
      </c>
    </row>
    <row r="6888" spans="1:8" s="422" customFormat="1" ht="11.25">
      <c r="A6888" s="448"/>
      <c r="B6888" s="449"/>
      <c r="C6888" s="449"/>
      <c r="D6888" s="449"/>
      <c r="E6888" s="438">
        <v>0</v>
      </c>
      <c r="F6888" s="438">
        <v>0</v>
      </c>
      <c r="G6888" s="438">
        <v>0</v>
      </c>
      <c r="H6888" s="438">
        <v>0</v>
      </c>
    </row>
    <row r="6889" spans="1:8" s="422" customFormat="1" ht="11.25">
      <c r="A6889" s="448"/>
      <c r="B6889" s="449"/>
      <c r="C6889" s="449"/>
      <c r="D6889" s="449"/>
      <c r="E6889" s="438">
        <v>0</v>
      </c>
      <c r="F6889" s="438">
        <v>0</v>
      </c>
      <c r="G6889" s="438">
        <v>0</v>
      </c>
      <c r="H6889" s="438">
        <v>0</v>
      </c>
    </row>
    <row r="6890" spans="1:8" s="422" customFormat="1" ht="11.25">
      <c r="A6890" s="448"/>
      <c r="B6890" s="449"/>
      <c r="C6890" s="449"/>
      <c r="D6890" s="449"/>
      <c r="E6890" s="438">
        <v>0</v>
      </c>
      <c r="F6890" s="438">
        <v>0</v>
      </c>
      <c r="G6890" s="438">
        <v>0</v>
      </c>
      <c r="H6890" s="438">
        <v>0</v>
      </c>
    </row>
    <row r="6891" spans="1:8" s="421" customFormat="1" ht="11.25">
      <c r="A6891" s="421" t="s">
        <v>391</v>
      </c>
      <c r="D6891" s="421" t="s">
        <v>472</v>
      </c>
    </row>
    <row r="6892" spans="1:8" s="422" customFormat="1" ht="11.25"/>
    <row r="6893" spans="1:8" s="421" customFormat="1" ht="11.25" customHeight="1">
      <c r="A6893" s="423" t="s">
        <v>392</v>
      </c>
      <c r="D6893" s="421" t="s">
        <v>161</v>
      </c>
    </row>
    <row r="6894" spans="1:8" s="421" customFormat="1" ht="7.5" customHeight="1">
      <c r="A6894" s="423"/>
    </row>
    <row r="6895" spans="1:8" s="421" customFormat="1" ht="11.25">
      <c r="A6895" s="424" t="s">
        <v>393</v>
      </c>
      <c r="D6895" s="583" t="s">
        <v>41</v>
      </c>
      <c r="E6895" s="583"/>
      <c r="F6895" s="583"/>
      <c r="G6895" s="583"/>
      <c r="H6895" s="583"/>
    </row>
    <row r="6896" spans="1:8" s="421" customFormat="1" ht="7.5" customHeight="1"/>
    <row r="6897" spans="1:8" s="422" customFormat="1" ht="11.25">
      <c r="A6897" s="421" t="s">
        <v>170</v>
      </c>
      <c r="B6897" s="421"/>
      <c r="C6897" s="421"/>
      <c r="D6897" s="422" t="s">
        <v>333</v>
      </c>
      <c r="E6897" s="422" t="s">
        <v>1360</v>
      </c>
    </row>
    <row r="6898" spans="1:8" s="422" customFormat="1" ht="7.5" customHeight="1"/>
    <row r="6899" spans="1:8" s="427" customFormat="1" ht="11.25">
      <c r="A6899" s="425" t="s">
        <v>587</v>
      </c>
      <c r="B6899" s="425"/>
      <c r="C6899" s="425"/>
      <c r="D6899" s="426" t="s">
        <v>1361</v>
      </c>
      <c r="E6899" s="584" t="s">
        <v>334</v>
      </c>
      <c r="F6899" s="584"/>
      <c r="G6899" s="584"/>
      <c r="H6899" s="584"/>
    </row>
    <row r="6900" spans="1:8" s="427" customFormat="1" ht="11.25">
      <c r="A6900" s="425"/>
      <c r="B6900" s="425"/>
      <c r="C6900" s="425"/>
      <c r="D6900" s="426"/>
      <c r="E6900" s="584"/>
      <c r="F6900" s="584"/>
      <c r="G6900" s="584"/>
      <c r="H6900" s="584"/>
    </row>
    <row r="6901" spans="1:8" s="427" customFormat="1" ht="11.25"/>
    <row r="6902" spans="1:8" s="422" customFormat="1" ht="11.25"/>
    <row r="6903" spans="1:8" s="422" customFormat="1" ht="11.25">
      <c r="A6903" s="421" t="s">
        <v>589</v>
      </c>
      <c r="B6903" s="421"/>
      <c r="C6903" s="421"/>
    </row>
    <row r="6904" spans="1:8" s="429" customFormat="1" ht="11.25">
      <c r="A6904" s="428"/>
      <c r="B6904" s="428"/>
      <c r="C6904" s="428"/>
    </row>
    <row r="6905" spans="1:8" s="429" customFormat="1" ht="11.25">
      <c r="A6905" s="428"/>
      <c r="B6905" s="428"/>
      <c r="C6905" s="428"/>
    </row>
    <row r="6906" spans="1:8" s="429" customFormat="1" ht="11.25">
      <c r="A6906" s="428"/>
      <c r="B6906" s="428"/>
      <c r="C6906" s="428"/>
    </row>
    <row r="6907" spans="1:8" s="429" customFormat="1" ht="11.25">
      <c r="A6907" s="428"/>
      <c r="B6907" s="428"/>
      <c r="C6907" s="428"/>
    </row>
    <row r="6908" spans="1:8" s="429" customFormat="1" ht="11.25">
      <c r="A6908" s="428"/>
      <c r="B6908" s="428"/>
      <c r="C6908" s="428"/>
    </row>
    <row r="6909" spans="1:8" s="429" customFormat="1" ht="11.25">
      <c r="A6909" s="428"/>
      <c r="B6909" s="428"/>
      <c r="C6909" s="428"/>
    </row>
    <row r="6910" spans="1:8" s="422" customFormat="1" ht="9" customHeight="1">
      <c r="A6910" s="430"/>
      <c r="B6910" s="430"/>
      <c r="C6910" s="430"/>
      <c r="D6910" s="430"/>
      <c r="E6910" s="430"/>
      <c r="F6910" s="430"/>
      <c r="G6910" s="430"/>
      <c r="H6910" s="430"/>
    </row>
    <row r="6911" spans="1:8" s="422" customFormat="1" ht="22.5" customHeight="1">
      <c r="A6911" s="585" t="s">
        <v>590</v>
      </c>
      <c r="B6911" s="585"/>
      <c r="C6911" s="585"/>
      <c r="D6911" s="586"/>
      <c r="E6911" s="586"/>
      <c r="F6911" s="586"/>
      <c r="G6911" s="586"/>
      <c r="H6911" s="586"/>
    </row>
    <row r="6912" spans="1:8" s="429" customFormat="1" ht="11.25">
      <c r="A6912" s="431"/>
      <c r="B6912" s="431"/>
      <c r="C6912" s="431"/>
      <c r="D6912" s="432"/>
      <c r="E6912" s="432"/>
      <c r="F6912" s="432"/>
      <c r="G6912" s="432"/>
      <c r="H6912" s="432"/>
    </row>
    <row r="6913" spans="1:8" s="429" customFormat="1" ht="11.25">
      <c r="A6913" s="431"/>
      <c r="B6913" s="431"/>
      <c r="C6913" s="431"/>
      <c r="D6913" s="432"/>
      <c r="E6913" s="432"/>
      <c r="F6913" s="432"/>
      <c r="G6913" s="432"/>
      <c r="H6913" s="432"/>
    </row>
    <row r="6914" spans="1:8" s="429" customFormat="1" ht="11.25">
      <c r="A6914" s="431"/>
      <c r="B6914" s="431"/>
      <c r="C6914" s="431"/>
      <c r="D6914" s="432"/>
      <c r="E6914" s="432"/>
      <c r="F6914" s="432"/>
      <c r="G6914" s="432"/>
      <c r="H6914" s="432"/>
    </row>
    <row r="6915" spans="1:8" s="429" customFormat="1" ht="11.25">
      <c r="A6915" s="431"/>
      <c r="B6915" s="431"/>
      <c r="C6915" s="431"/>
      <c r="D6915" s="432"/>
      <c r="E6915" s="432"/>
      <c r="F6915" s="432"/>
      <c r="G6915" s="432"/>
      <c r="H6915" s="432"/>
    </row>
    <row r="6916" spans="1:8" s="422" customFormat="1" ht="9" customHeight="1"/>
    <row r="6917" spans="1:8" s="422" customFormat="1" ht="9" customHeight="1"/>
    <row r="6918" spans="1:8" s="422" customFormat="1" ht="9" customHeight="1"/>
    <row r="6919" spans="1:8" s="422" customFormat="1" ht="9" customHeight="1"/>
    <row r="6920" spans="1:8" s="422" customFormat="1" ht="11.25">
      <c r="A6920" s="421" t="s">
        <v>591</v>
      </c>
      <c r="B6920" s="421"/>
      <c r="C6920" s="421"/>
    </row>
    <row r="6921" spans="1:8" s="429" customFormat="1" ht="11.25">
      <c r="A6921" s="428"/>
      <c r="B6921" s="428"/>
      <c r="C6921" s="428"/>
    </row>
    <row r="6922" spans="1:8" s="429" customFormat="1" ht="11.25">
      <c r="A6922" s="428"/>
      <c r="B6922" s="428"/>
      <c r="C6922" s="428"/>
    </row>
    <row r="6923" spans="1:8" s="429" customFormat="1" ht="11.25">
      <c r="A6923" s="428"/>
      <c r="B6923" s="428"/>
      <c r="C6923" s="428"/>
    </row>
    <row r="6924" spans="1:8" s="429" customFormat="1" ht="11.25">
      <c r="A6924" s="428"/>
      <c r="B6924" s="428"/>
      <c r="C6924" s="428"/>
    </row>
    <row r="6925" spans="1:8" s="429" customFormat="1" ht="11.25">
      <c r="A6925" s="428"/>
      <c r="B6925" s="428"/>
      <c r="C6925" s="428"/>
    </row>
    <row r="6926" spans="1:8" s="429" customFormat="1" ht="11.25">
      <c r="A6926" s="428"/>
      <c r="B6926" s="428"/>
      <c r="C6926" s="428"/>
    </row>
    <row r="6927" spans="1:8" s="429" customFormat="1" ht="11.25">
      <c r="A6927" s="428"/>
      <c r="B6927" s="428"/>
      <c r="C6927" s="428"/>
    </row>
    <row r="6928" spans="1:8" s="422" customFormat="1" ht="9" customHeight="1"/>
    <row r="6929" spans="1:8" s="422" customFormat="1" ht="11.25">
      <c r="A6929" s="433" t="s">
        <v>592</v>
      </c>
      <c r="B6929" s="434"/>
      <c r="C6929" s="434"/>
      <c r="D6929" s="434"/>
      <c r="E6929" s="434"/>
      <c r="F6929" s="434"/>
      <c r="G6929" s="434"/>
      <c r="H6929" s="434"/>
    </row>
    <row r="6930" spans="1:8" s="429" customFormat="1" ht="11.25">
      <c r="A6930" s="435"/>
      <c r="B6930" s="436"/>
      <c r="C6930" s="436"/>
      <c r="D6930" s="436"/>
      <c r="E6930" s="436"/>
      <c r="F6930" s="436"/>
      <c r="G6930" s="436"/>
      <c r="H6930" s="436"/>
    </row>
    <row r="6931" spans="1:8" s="429" customFormat="1" ht="11.25">
      <c r="A6931" s="435"/>
      <c r="B6931" s="436"/>
      <c r="C6931" s="436"/>
      <c r="D6931" s="436"/>
      <c r="E6931" s="436"/>
      <c r="F6931" s="436"/>
      <c r="G6931" s="436"/>
      <c r="H6931" s="436"/>
    </row>
    <row r="6932" spans="1:8" s="422" customFormat="1" ht="11.25">
      <c r="A6932" s="437"/>
      <c r="B6932" s="437"/>
      <c r="C6932" s="437"/>
      <c r="D6932" s="437"/>
      <c r="E6932" s="437"/>
      <c r="F6932" s="437"/>
      <c r="G6932" s="437"/>
      <c r="H6932" s="437"/>
    </row>
    <row r="6933" spans="1:8" s="422" customFormat="1" ht="11.25">
      <c r="A6933" s="421" t="s">
        <v>593</v>
      </c>
      <c r="B6933" s="421"/>
      <c r="C6933" s="421"/>
    </row>
    <row r="6934" spans="1:8" s="422" customFormat="1" ht="11.25">
      <c r="A6934" s="438"/>
      <c r="B6934" s="439" t="s">
        <v>132</v>
      </c>
      <c r="C6934" s="439" t="s">
        <v>473</v>
      </c>
      <c r="D6934" s="439" t="s">
        <v>474</v>
      </c>
      <c r="E6934" s="439" t="s">
        <v>375</v>
      </c>
      <c r="F6934" s="439" t="s">
        <v>9</v>
      </c>
      <c r="G6934" s="439" t="s">
        <v>131</v>
      </c>
      <c r="H6934" s="439" t="s">
        <v>424</v>
      </c>
    </row>
    <row r="6935" spans="1:8" s="422" customFormat="1" ht="11.25">
      <c r="A6935" s="439" t="s">
        <v>394</v>
      </c>
      <c r="B6935" s="438">
        <v>8728930.0299999993</v>
      </c>
      <c r="C6935" s="438">
        <v>8424663.0099999998</v>
      </c>
      <c r="D6935" s="438">
        <v>9700000</v>
      </c>
      <c r="E6935" s="438">
        <v>9700000</v>
      </c>
      <c r="F6935" s="438">
        <v>9700000</v>
      </c>
      <c r="G6935" s="438">
        <v>9700000</v>
      </c>
      <c r="H6935" s="438">
        <v>9700000</v>
      </c>
    </row>
    <row r="6936" spans="1:8" s="422" customFormat="1" ht="11.25">
      <c r="A6936" s="439" t="s">
        <v>395</v>
      </c>
      <c r="B6936" s="438">
        <v>-455210965.42000002</v>
      </c>
      <c r="C6936" s="438">
        <v>-431686748.99999994</v>
      </c>
      <c r="D6936" s="438">
        <v>-424800000</v>
      </c>
      <c r="E6936" s="438">
        <v>-428500000</v>
      </c>
      <c r="F6936" s="438">
        <v>-437400000</v>
      </c>
      <c r="G6936" s="438">
        <v>-445600000</v>
      </c>
      <c r="H6936" s="438">
        <v>-454900000</v>
      </c>
    </row>
    <row r="6937" spans="1:8" s="422" customFormat="1" ht="11.25">
      <c r="A6937" s="439" t="s">
        <v>396</v>
      </c>
      <c r="B6937" s="438">
        <v>-446482035.39000005</v>
      </c>
      <c r="C6937" s="438">
        <v>-423262085.98999995</v>
      </c>
      <c r="D6937" s="438">
        <v>-415100000</v>
      </c>
      <c r="E6937" s="438">
        <v>-418800000</v>
      </c>
      <c r="F6937" s="438">
        <v>-427700000</v>
      </c>
      <c r="G6937" s="438">
        <v>-435900000</v>
      </c>
      <c r="H6937" s="438">
        <v>-445200000</v>
      </c>
    </row>
    <row r="6938" spans="1:8" s="442" customFormat="1" ht="11.25">
      <c r="A6938" s="440" t="s">
        <v>397</v>
      </c>
      <c r="B6938" s="441">
        <v>52.149686600248764</v>
      </c>
      <c r="C6938" s="441">
        <v>51.240832836588432</v>
      </c>
      <c r="D6938" s="441">
        <v>43.793814432989691</v>
      </c>
      <c r="E6938" s="441">
        <v>44.175257731958766</v>
      </c>
      <c r="F6938" s="441">
        <v>45.092783505154642</v>
      </c>
      <c r="G6938" s="441">
        <v>45.938144329896907</v>
      </c>
      <c r="H6938" s="441">
        <v>46.896907216494846</v>
      </c>
    </row>
    <row r="6939" spans="1:8" s="422" customFormat="1" ht="11.25"/>
    <row r="6940" spans="1:8" s="422" customFormat="1" ht="11.25">
      <c r="A6940" s="443" t="s">
        <v>594</v>
      </c>
      <c r="B6940" s="443"/>
      <c r="C6940" s="444"/>
    </row>
    <row r="6941" spans="1:8" s="422" customFormat="1" ht="11.25">
      <c r="A6941" s="445" t="s">
        <v>595</v>
      </c>
      <c r="B6941" s="446"/>
      <c r="C6941" s="447"/>
      <c r="D6941" s="439" t="s">
        <v>474</v>
      </c>
      <c r="E6941" s="439" t="s">
        <v>375</v>
      </c>
      <c r="F6941" s="439" t="s">
        <v>9</v>
      </c>
      <c r="G6941" s="439" t="s">
        <v>131</v>
      </c>
      <c r="H6941" s="439" t="s">
        <v>424</v>
      </c>
    </row>
    <row r="6942" spans="1:8" s="422" customFormat="1" ht="11.25">
      <c r="A6942" s="448" t="s">
        <v>596</v>
      </c>
      <c r="B6942" s="449"/>
      <c r="C6942" s="449"/>
      <c r="D6942" s="438"/>
      <c r="E6942" s="438"/>
      <c r="F6942" s="438"/>
      <c r="G6942" s="438"/>
      <c r="H6942" s="438"/>
    </row>
    <row r="6943" spans="1:8" s="422" customFormat="1" ht="11.25">
      <c r="A6943" s="448"/>
      <c r="B6943" s="449"/>
      <c r="C6943" s="449"/>
      <c r="D6943" s="438"/>
      <c r="E6943" s="438"/>
      <c r="F6943" s="438"/>
      <c r="G6943" s="438"/>
      <c r="H6943" s="438"/>
    </row>
    <row r="6944" spans="1:8" s="422" customFormat="1" ht="11.25">
      <c r="A6944" s="448"/>
      <c r="B6944" s="449"/>
      <c r="C6944" s="449"/>
      <c r="D6944" s="438"/>
      <c r="E6944" s="438"/>
      <c r="F6944" s="438"/>
      <c r="G6944" s="438"/>
      <c r="H6944" s="438"/>
    </row>
    <row r="6945" spans="1:8" s="422" customFormat="1" ht="11.25"/>
    <row r="6946" spans="1:8" s="422" customFormat="1" ht="11.25">
      <c r="A6946" s="421" t="s">
        <v>423</v>
      </c>
      <c r="B6946" s="421"/>
      <c r="C6946" s="421"/>
    </row>
    <row r="6947" spans="1:8" s="422" customFormat="1" ht="11.25">
      <c r="A6947" s="450"/>
      <c r="B6947" s="439" t="s">
        <v>132</v>
      </c>
      <c r="C6947" s="439" t="s">
        <v>473</v>
      </c>
      <c r="D6947" s="439" t="s">
        <v>474</v>
      </c>
      <c r="E6947" s="439" t="s">
        <v>375</v>
      </c>
      <c r="F6947" s="439" t="s">
        <v>9</v>
      </c>
      <c r="G6947" s="439" t="s">
        <v>131</v>
      </c>
      <c r="H6947" s="439" t="s">
        <v>424</v>
      </c>
    </row>
    <row r="6948" spans="1:8" s="422" customFormat="1" ht="11.25">
      <c r="A6948" s="451" t="s">
        <v>398</v>
      </c>
      <c r="B6948" s="438">
        <v>0</v>
      </c>
      <c r="C6948" s="438">
        <v>0</v>
      </c>
      <c r="D6948" s="438">
        <v>0</v>
      </c>
      <c r="E6948" s="438">
        <v>0</v>
      </c>
      <c r="F6948" s="438">
        <v>0</v>
      </c>
      <c r="G6948" s="438">
        <v>0</v>
      </c>
      <c r="H6948" s="438">
        <v>0</v>
      </c>
    </row>
    <row r="6949" spans="1:8" s="422" customFormat="1" ht="11.25">
      <c r="A6949" s="451" t="s">
        <v>399</v>
      </c>
      <c r="B6949" s="438">
        <v>0</v>
      </c>
      <c r="C6949" s="438">
        <v>0</v>
      </c>
      <c r="D6949" s="438">
        <v>0</v>
      </c>
      <c r="E6949" s="438">
        <v>0</v>
      </c>
      <c r="F6949" s="438">
        <v>0</v>
      </c>
      <c r="G6949" s="438">
        <v>0</v>
      </c>
      <c r="H6949" s="438">
        <v>0</v>
      </c>
    </row>
    <row r="6950" spans="1:8" s="422" customFormat="1" ht="11.25">
      <c r="A6950" s="451" t="s">
        <v>400</v>
      </c>
      <c r="B6950" s="438">
        <v>0</v>
      </c>
      <c r="C6950" s="438">
        <v>0</v>
      </c>
      <c r="D6950" s="438">
        <v>0</v>
      </c>
      <c r="E6950" s="438">
        <v>0</v>
      </c>
      <c r="F6950" s="438">
        <v>0</v>
      </c>
      <c r="G6950" s="438">
        <v>0</v>
      </c>
      <c r="H6950" s="438">
        <v>0</v>
      </c>
    </row>
    <row r="6951" spans="1:8" s="422" customFormat="1" ht="11.25">
      <c r="A6951" s="451" t="s">
        <v>401</v>
      </c>
      <c r="B6951" s="438">
        <v>0</v>
      </c>
      <c r="C6951" s="438">
        <v>0</v>
      </c>
      <c r="D6951" s="438">
        <v>0</v>
      </c>
      <c r="E6951" s="438">
        <v>0</v>
      </c>
      <c r="F6951" s="438">
        <v>0</v>
      </c>
      <c r="G6951" s="438">
        <v>0</v>
      </c>
      <c r="H6951" s="438">
        <v>0</v>
      </c>
    </row>
    <row r="6952" spans="1:8" s="422" customFormat="1" ht="11.25"/>
    <row r="6953" spans="1:8" s="422" customFormat="1" ht="11.25">
      <c r="A6953" s="421" t="s">
        <v>597</v>
      </c>
      <c r="B6953" s="421"/>
      <c r="C6953" s="421"/>
    </row>
    <row r="6954" spans="1:8" s="429" customFormat="1" ht="11.25">
      <c r="A6954" s="428"/>
      <c r="B6954" s="428"/>
      <c r="C6954" s="428"/>
    </row>
    <row r="6955" spans="1:8" s="429" customFormat="1" ht="11.25">
      <c r="A6955" s="428"/>
      <c r="B6955" s="428"/>
      <c r="C6955" s="428"/>
    </row>
    <row r="6956" spans="1:8" s="429" customFormat="1" ht="11.25">
      <c r="A6956" s="428"/>
      <c r="B6956" s="428"/>
      <c r="C6956" s="428"/>
    </row>
    <row r="6957" spans="1:8" s="422" customFormat="1" ht="11.25"/>
    <row r="6958" spans="1:8" s="422" customFormat="1" ht="11.25">
      <c r="A6958" s="421" t="s">
        <v>598</v>
      </c>
      <c r="B6958" s="421"/>
      <c r="C6958" s="421"/>
    </row>
    <row r="6959" spans="1:8" s="422" customFormat="1" ht="11.25">
      <c r="A6959" s="452" t="s">
        <v>599</v>
      </c>
      <c r="B6959" s="447"/>
      <c r="C6959" s="447"/>
      <c r="D6959" s="447"/>
      <c r="E6959" s="439" t="s">
        <v>375</v>
      </c>
      <c r="F6959" s="439" t="s">
        <v>9</v>
      </c>
      <c r="G6959" s="439" t="s">
        <v>131</v>
      </c>
      <c r="H6959" s="439" t="s">
        <v>424</v>
      </c>
    </row>
    <row r="6960" spans="1:8" s="422" customFormat="1" ht="11.25">
      <c r="A6960" s="448"/>
      <c r="B6960" s="449"/>
      <c r="C6960" s="449"/>
      <c r="D6960" s="449"/>
      <c r="E6960" s="438">
        <v>0</v>
      </c>
      <c r="F6960" s="438">
        <v>0</v>
      </c>
      <c r="G6960" s="438">
        <v>0</v>
      </c>
      <c r="H6960" s="438">
        <v>0</v>
      </c>
    </row>
    <row r="6961" spans="1:8" s="422" customFormat="1" ht="11.25">
      <c r="A6961" s="448"/>
      <c r="B6961" s="449"/>
      <c r="C6961" s="449"/>
      <c r="D6961" s="449"/>
      <c r="E6961" s="438">
        <v>0</v>
      </c>
      <c r="F6961" s="438">
        <v>0</v>
      </c>
      <c r="G6961" s="438">
        <v>0</v>
      </c>
      <c r="H6961" s="438">
        <v>0</v>
      </c>
    </row>
    <row r="6962" spans="1:8" s="422" customFormat="1" ht="11.25">
      <c r="A6962" s="448"/>
      <c r="B6962" s="449"/>
      <c r="C6962" s="449"/>
      <c r="D6962" s="449"/>
      <c r="E6962" s="438">
        <v>0</v>
      </c>
      <c r="F6962" s="438">
        <v>0</v>
      </c>
      <c r="G6962" s="438">
        <v>0</v>
      </c>
      <c r="H6962" s="438">
        <v>0</v>
      </c>
    </row>
    <row r="6963" spans="1:8" s="421" customFormat="1" ht="11.25">
      <c r="A6963" s="421" t="s">
        <v>391</v>
      </c>
      <c r="D6963" s="421" t="s">
        <v>472</v>
      </c>
    </row>
    <row r="6964" spans="1:8" s="422" customFormat="1" ht="11.25"/>
    <row r="6965" spans="1:8" s="421" customFormat="1" ht="11.25" customHeight="1">
      <c r="A6965" s="423" t="s">
        <v>392</v>
      </c>
      <c r="D6965" s="421" t="s">
        <v>161</v>
      </c>
    </row>
    <row r="6966" spans="1:8" s="421" customFormat="1" ht="7.5" customHeight="1">
      <c r="A6966" s="423"/>
    </row>
    <row r="6967" spans="1:8" s="421" customFormat="1" ht="11.25">
      <c r="A6967" s="424" t="s">
        <v>393</v>
      </c>
      <c r="D6967" s="583" t="s">
        <v>164</v>
      </c>
      <c r="E6967" s="583"/>
      <c r="F6967" s="583"/>
      <c r="G6967" s="583"/>
      <c r="H6967" s="583"/>
    </row>
    <row r="6968" spans="1:8" s="421" customFormat="1" ht="7.5" customHeight="1"/>
    <row r="6969" spans="1:8" s="422" customFormat="1" ht="11.25">
      <c r="A6969" s="421" t="s">
        <v>170</v>
      </c>
      <c r="B6969" s="421"/>
      <c r="C6969" s="421"/>
      <c r="D6969" s="422" t="s">
        <v>335</v>
      </c>
      <c r="E6969" s="422" t="s">
        <v>1362</v>
      </c>
    </row>
    <row r="6970" spans="1:8" s="422" customFormat="1" ht="7.5" customHeight="1"/>
    <row r="6971" spans="1:8" s="427" customFormat="1" ht="11.25">
      <c r="A6971" s="425" t="s">
        <v>587</v>
      </c>
      <c r="B6971" s="425"/>
      <c r="C6971" s="425"/>
      <c r="D6971" s="426" t="s">
        <v>1363</v>
      </c>
      <c r="E6971" s="584" t="s">
        <v>1323</v>
      </c>
      <c r="F6971" s="584"/>
      <c r="G6971" s="584"/>
      <c r="H6971" s="584"/>
    </row>
    <row r="6972" spans="1:8" s="427" customFormat="1" ht="11.25">
      <c r="A6972" s="425"/>
      <c r="B6972" s="425"/>
      <c r="C6972" s="425"/>
      <c r="D6972" s="426" t="s">
        <v>1364</v>
      </c>
      <c r="E6972" s="584" t="s">
        <v>1365</v>
      </c>
      <c r="F6972" s="584"/>
      <c r="G6972" s="584"/>
      <c r="H6972" s="584"/>
    </row>
    <row r="6973" spans="1:8" s="427" customFormat="1" ht="11.25">
      <c r="A6973" s="425"/>
      <c r="B6973" s="425"/>
      <c r="C6973" s="425"/>
      <c r="D6973" s="426" t="s">
        <v>1366</v>
      </c>
      <c r="E6973" s="584" t="s">
        <v>1367</v>
      </c>
      <c r="F6973" s="584"/>
      <c r="G6973" s="584"/>
      <c r="H6973" s="584"/>
    </row>
    <row r="6974" spans="1:8" s="427" customFormat="1" ht="22.5" customHeight="1">
      <c r="A6974" s="425"/>
      <c r="B6974" s="425"/>
      <c r="C6974" s="425"/>
      <c r="D6974" s="426" t="s">
        <v>1368</v>
      </c>
      <c r="E6974" s="584" t="s">
        <v>1369</v>
      </c>
      <c r="F6974" s="584"/>
      <c r="G6974" s="584"/>
      <c r="H6974" s="584"/>
    </row>
    <row r="6975" spans="1:8" s="427" customFormat="1" ht="11.25">
      <c r="A6975" s="425"/>
      <c r="B6975" s="425"/>
      <c r="C6975" s="425"/>
      <c r="D6975" s="426" t="s">
        <v>1370</v>
      </c>
      <c r="E6975" s="584" t="s">
        <v>1371</v>
      </c>
      <c r="F6975" s="584"/>
      <c r="G6975" s="584"/>
      <c r="H6975" s="584"/>
    </row>
    <row r="6976" spans="1:8" s="427" customFormat="1" ht="11.25">
      <c r="A6976" s="425"/>
      <c r="B6976" s="425"/>
      <c r="C6976" s="425"/>
      <c r="D6976" s="426"/>
      <c r="E6976" s="584"/>
      <c r="F6976" s="584"/>
      <c r="G6976" s="584"/>
      <c r="H6976" s="584"/>
    </row>
    <row r="6977" spans="1:8" s="422" customFormat="1" ht="11.25"/>
    <row r="6978" spans="1:8" s="422" customFormat="1" ht="11.25">
      <c r="A6978" s="421" t="s">
        <v>589</v>
      </c>
      <c r="B6978" s="421"/>
      <c r="C6978" s="421"/>
    </row>
    <row r="6979" spans="1:8" s="429" customFormat="1" ht="11.25">
      <c r="A6979" s="428"/>
      <c r="B6979" s="428"/>
      <c r="C6979" s="428"/>
    </row>
    <row r="6980" spans="1:8" s="429" customFormat="1" ht="11.25">
      <c r="A6980" s="428"/>
      <c r="B6980" s="428"/>
      <c r="C6980" s="428"/>
    </row>
    <row r="6981" spans="1:8" s="429" customFormat="1" ht="11.25">
      <c r="A6981" s="428"/>
      <c r="B6981" s="428"/>
      <c r="C6981" s="428"/>
    </row>
    <row r="6982" spans="1:8" s="429" customFormat="1" ht="11.25">
      <c r="A6982" s="428"/>
      <c r="B6982" s="428"/>
      <c r="C6982" s="428"/>
    </row>
    <row r="6983" spans="1:8" s="429" customFormat="1" ht="11.25">
      <c r="A6983" s="428"/>
      <c r="B6983" s="428"/>
      <c r="C6983" s="428"/>
    </row>
    <row r="6984" spans="1:8" s="429" customFormat="1" ht="11.25">
      <c r="A6984" s="428"/>
      <c r="B6984" s="428"/>
      <c r="C6984" s="428"/>
    </row>
    <row r="6985" spans="1:8" s="429" customFormat="1" ht="11.25">
      <c r="A6985" s="428"/>
      <c r="B6985" s="428"/>
      <c r="C6985" s="428"/>
    </row>
    <row r="6986" spans="1:8" s="422" customFormat="1" ht="9" customHeight="1">
      <c r="A6986" s="430"/>
      <c r="B6986" s="430"/>
      <c r="C6986" s="430"/>
      <c r="D6986" s="430"/>
      <c r="E6986" s="430"/>
      <c r="F6986" s="430"/>
      <c r="G6986" s="430"/>
      <c r="H6986" s="430"/>
    </row>
    <row r="6987" spans="1:8" s="422" customFormat="1" ht="22.5" customHeight="1">
      <c r="A6987" s="585" t="s">
        <v>590</v>
      </c>
      <c r="B6987" s="585"/>
      <c r="C6987" s="585"/>
      <c r="D6987" s="586"/>
      <c r="E6987" s="586"/>
      <c r="F6987" s="586"/>
      <c r="G6987" s="586"/>
      <c r="H6987" s="586"/>
    </row>
    <row r="6988" spans="1:8" s="429" customFormat="1" ht="11.25">
      <c r="A6988" s="431"/>
      <c r="B6988" s="431"/>
      <c r="C6988" s="431"/>
      <c r="D6988" s="432"/>
      <c r="E6988" s="432"/>
      <c r="F6988" s="432"/>
      <c r="G6988" s="432"/>
      <c r="H6988" s="432"/>
    </row>
    <row r="6989" spans="1:8" s="429" customFormat="1" ht="11.25">
      <c r="A6989" s="431"/>
      <c r="B6989" s="431"/>
      <c r="C6989" s="431"/>
      <c r="D6989" s="432"/>
      <c r="E6989" s="432"/>
      <c r="F6989" s="432"/>
      <c r="G6989" s="432"/>
      <c r="H6989" s="432"/>
    </row>
    <row r="6990" spans="1:8" s="429" customFormat="1" ht="11.25">
      <c r="A6990" s="431"/>
      <c r="B6990" s="431"/>
      <c r="C6990" s="431"/>
      <c r="D6990" s="432"/>
      <c r="E6990" s="432"/>
      <c r="F6990" s="432"/>
      <c r="G6990" s="432"/>
      <c r="H6990" s="432"/>
    </row>
    <row r="6991" spans="1:8" s="429" customFormat="1" ht="11.25">
      <c r="A6991" s="431"/>
      <c r="B6991" s="431"/>
      <c r="C6991" s="431"/>
      <c r="D6991" s="432"/>
      <c r="E6991" s="432"/>
      <c r="F6991" s="432"/>
      <c r="G6991" s="432"/>
      <c r="H6991" s="432"/>
    </row>
    <row r="6992" spans="1:8" s="429" customFormat="1" ht="11.25">
      <c r="A6992" s="431"/>
      <c r="B6992" s="431"/>
      <c r="C6992" s="431"/>
      <c r="D6992" s="432"/>
      <c r="E6992" s="432"/>
      <c r="F6992" s="432"/>
      <c r="G6992" s="432"/>
      <c r="H6992" s="432"/>
    </row>
    <row r="6993" spans="1:8" s="422" customFormat="1" ht="9" customHeight="1"/>
    <row r="6994" spans="1:8" s="422" customFormat="1" ht="11.25">
      <c r="A6994" s="421" t="s">
        <v>591</v>
      </c>
      <c r="B6994" s="421"/>
      <c r="C6994" s="421"/>
    </row>
    <row r="6995" spans="1:8" s="429" customFormat="1" ht="11.25">
      <c r="A6995" s="428"/>
      <c r="B6995" s="428"/>
      <c r="C6995" s="428"/>
    </row>
    <row r="6996" spans="1:8" s="429" customFormat="1" ht="11.25">
      <c r="A6996" s="428"/>
      <c r="B6996" s="428"/>
      <c r="C6996" s="428"/>
    </row>
    <row r="6997" spans="1:8" s="429" customFormat="1" ht="11.25">
      <c r="A6997" s="428"/>
      <c r="B6997" s="428"/>
      <c r="C6997" s="428"/>
    </row>
    <row r="6998" spans="1:8" s="429" customFormat="1" ht="11.25">
      <c r="A6998" s="428"/>
      <c r="B6998" s="428"/>
      <c r="C6998" s="428"/>
    </row>
    <row r="6999" spans="1:8" s="422" customFormat="1" ht="9" customHeight="1"/>
    <row r="7000" spans="1:8" s="422" customFormat="1" ht="11.25">
      <c r="A7000" s="433" t="s">
        <v>592</v>
      </c>
      <c r="B7000" s="434"/>
      <c r="C7000" s="434"/>
      <c r="D7000" s="434"/>
      <c r="E7000" s="434"/>
      <c r="F7000" s="434"/>
      <c r="G7000" s="434"/>
      <c r="H7000" s="434"/>
    </row>
    <row r="7001" spans="1:8" s="429" customFormat="1" ht="11.25">
      <c r="A7001" s="435"/>
      <c r="B7001" s="436"/>
      <c r="C7001" s="436"/>
      <c r="D7001" s="436"/>
      <c r="E7001" s="436"/>
      <c r="F7001" s="436"/>
      <c r="G7001" s="436"/>
      <c r="H7001" s="436"/>
    </row>
    <row r="7002" spans="1:8" s="429" customFormat="1" ht="11.25">
      <c r="A7002" s="435"/>
      <c r="B7002" s="436"/>
      <c r="C7002" s="436"/>
      <c r="D7002" s="436"/>
      <c r="E7002" s="436"/>
      <c r="F7002" s="436"/>
      <c r="G7002" s="436"/>
      <c r="H7002" s="436"/>
    </row>
    <row r="7003" spans="1:8" s="422" customFormat="1" ht="11.25">
      <c r="A7003" s="437"/>
      <c r="B7003" s="437"/>
      <c r="C7003" s="437"/>
      <c r="D7003" s="437"/>
      <c r="E7003" s="437"/>
      <c r="F7003" s="437"/>
      <c r="G7003" s="437"/>
      <c r="H7003" s="437"/>
    </row>
    <row r="7004" spans="1:8" s="422" customFormat="1" ht="11.25">
      <c r="A7004" s="421" t="s">
        <v>593</v>
      </c>
      <c r="B7004" s="421"/>
      <c r="C7004" s="421"/>
    </row>
    <row r="7005" spans="1:8" s="422" customFormat="1" ht="11.25">
      <c r="A7005" s="438"/>
      <c r="B7005" s="439" t="s">
        <v>132</v>
      </c>
      <c r="C7005" s="439" t="s">
        <v>473</v>
      </c>
      <c r="D7005" s="439" t="s">
        <v>474</v>
      </c>
      <c r="E7005" s="439" t="s">
        <v>375</v>
      </c>
      <c r="F7005" s="439" t="s">
        <v>9</v>
      </c>
      <c r="G7005" s="439" t="s">
        <v>131</v>
      </c>
      <c r="H7005" s="439" t="s">
        <v>424</v>
      </c>
    </row>
    <row r="7006" spans="1:8" s="422" customFormat="1" ht="11.25">
      <c r="A7006" s="439" t="s">
        <v>394</v>
      </c>
      <c r="B7006" s="438">
        <v>3946075.5599999996</v>
      </c>
      <c r="C7006" s="438">
        <v>3976118.0900000003</v>
      </c>
      <c r="D7006" s="438">
        <v>4825255.88</v>
      </c>
      <c r="E7006" s="438">
        <v>4240124.9487999994</v>
      </c>
      <c r="F7006" s="438">
        <v>4139374.9487999999</v>
      </c>
      <c r="G7006" s="438">
        <v>4178512.0451199999</v>
      </c>
      <c r="H7006" s="438">
        <v>4192489.5795199997</v>
      </c>
    </row>
    <row r="7007" spans="1:8" s="422" customFormat="1" ht="11.25">
      <c r="A7007" s="439" t="s">
        <v>395</v>
      </c>
      <c r="B7007" s="438">
        <v>-640132.09</v>
      </c>
      <c r="C7007" s="438">
        <v>-505770.05</v>
      </c>
      <c r="D7007" s="438">
        <v>-602815.07999999996</v>
      </c>
      <c r="E7007" s="438">
        <v>-602815.07999999996</v>
      </c>
      <c r="F7007" s="438">
        <v>-602815.07999999996</v>
      </c>
      <c r="G7007" s="438">
        <v>-602815.07999999996</v>
      </c>
      <c r="H7007" s="438">
        <v>-602815.07999999996</v>
      </c>
    </row>
    <row r="7008" spans="1:8" s="422" customFormat="1" ht="11.25">
      <c r="A7008" s="439" t="s">
        <v>396</v>
      </c>
      <c r="B7008" s="438">
        <v>3305943.4699999997</v>
      </c>
      <c r="C7008" s="438">
        <v>3470348.0400000005</v>
      </c>
      <c r="D7008" s="438">
        <v>4222440.8</v>
      </c>
      <c r="E7008" s="438">
        <v>3637309.8687999994</v>
      </c>
      <c r="F7008" s="438">
        <v>3536559.8687999998</v>
      </c>
      <c r="G7008" s="438">
        <v>3575696.9651199998</v>
      </c>
      <c r="H7008" s="438">
        <v>3589674.4995199996</v>
      </c>
    </row>
    <row r="7009" spans="1:8" s="442" customFormat="1" ht="11.25">
      <c r="A7009" s="440" t="s">
        <v>397</v>
      </c>
      <c r="B7009" s="441">
        <v>0.16221992718253983</v>
      </c>
      <c r="C7009" s="441">
        <v>0.12720196899383338</v>
      </c>
      <c r="D7009" s="441">
        <v>0.12492914261782112</v>
      </c>
      <c r="E7009" s="441">
        <v>0.14216917833296472</v>
      </c>
      <c r="F7009" s="441">
        <v>0.14562949417635032</v>
      </c>
      <c r="G7009" s="441">
        <v>0.14426548816677831</v>
      </c>
      <c r="H7009" s="441">
        <v>0.14378451480111171</v>
      </c>
    </row>
    <row r="7010" spans="1:8" s="422" customFormat="1" ht="11.25"/>
    <row r="7011" spans="1:8" s="422" customFormat="1" ht="11.25">
      <c r="A7011" s="443" t="s">
        <v>594</v>
      </c>
      <c r="B7011" s="443"/>
      <c r="C7011" s="444"/>
    </row>
    <row r="7012" spans="1:8" s="422" customFormat="1" ht="11.25">
      <c r="A7012" s="445" t="s">
        <v>595</v>
      </c>
      <c r="B7012" s="446"/>
      <c r="C7012" s="447"/>
      <c r="D7012" s="439" t="s">
        <v>474</v>
      </c>
      <c r="E7012" s="439" t="s">
        <v>375</v>
      </c>
      <c r="F7012" s="439" t="s">
        <v>9</v>
      </c>
      <c r="G7012" s="439" t="s">
        <v>131</v>
      </c>
      <c r="H7012" s="439" t="s">
        <v>424</v>
      </c>
    </row>
    <row r="7013" spans="1:8" s="422" customFormat="1" ht="11.25">
      <c r="A7013" s="448" t="s">
        <v>596</v>
      </c>
      <c r="B7013" s="449"/>
      <c r="C7013" s="449"/>
      <c r="D7013" s="438"/>
      <c r="E7013" s="438"/>
      <c r="F7013" s="438"/>
      <c r="G7013" s="438"/>
      <c r="H7013" s="438"/>
    </row>
    <row r="7014" spans="1:8" s="422" customFormat="1" ht="11.25">
      <c r="A7014" s="448"/>
      <c r="B7014" s="449"/>
      <c r="C7014" s="449"/>
      <c r="D7014" s="438"/>
      <c r="E7014" s="438"/>
      <c r="F7014" s="438"/>
      <c r="G7014" s="438"/>
      <c r="H7014" s="438"/>
    </row>
    <row r="7015" spans="1:8" s="422" customFormat="1" ht="11.25">
      <c r="A7015" s="448"/>
      <c r="B7015" s="449"/>
      <c r="C7015" s="449"/>
      <c r="D7015" s="438"/>
      <c r="E7015" s="438"/>
      <c r="F7015" s="438"/>
      <c r="G7015" s="438"/>
      <c r="H7015" s="438"/>
    </row>
    <row r="7016" spans="1:8" s="422" customFormat="1" ht="11.25"/>
    <row r="7017" spans="1:8" s="422" customFormat="1" ht="11.25">
      <c r="A7017" s="421" t="s">
        <v>423</v>
      </c>
      <c r="B7017" s="421"/>
      <c r="C7017" s="421"/>
    </row>
    <row r="7018" spans="1:8" s="422" customFormat="1" ht="11.25">
      <c r="A7018" s="450"/>
      <c r="B7018" s="439" t="s">
        <v>132</v>
      </c>
      <c r="C7018" s="439" t="s">
        <v>473</v>
      </c>
      <c r="D7018" s="439" t="s">
        <v>474</v>
      </c>
      <c r="E7018" s="439" t="s">
        <v>375</v>
      </c>
      <c r="F7018" s="439" t="s">
        <v>9</v>
      </c>
      <c r="G7018" s="439" t="s">
        <v>131</v>
      </c>
      <c r="H7018" s="439" t="s">
        <v>424</v>
      </c>
    </row>
    <row r="7019" spans="1:8" s="422" customFormat="1" ht="11.25">
      <c r="A7019" s="451" t="s">
        <v>398</v>
      </c>
      <c r="B7019" s="438">
        <v>0</v>
      </c>
      <c r="C7019" s="438">
        <v>0</v>
      </c>
      <c r="D7019" s="438">
        <v>0</v>
      </c>
      <c r="E7019" s="438">
        <v>0</v>
      </c>
      <c r="F7019" s="438">
        <v>0</v>
      </c>
      <c r="G7019" s="438">
        <v>0</v>
      </c>
      <c r="H7019" s="438">
        <v>0</v>
      </c>
    </row>
    <row r="7020" spans="1:8" s="422" customFormat="1" ht="11.25">
      <c r="A7020" s="451" t="s">
        <v>399</v>
      </c>
      <c r="B7020" s="438">
        <v>0</v>
      </c>
      <c r="C7020" s="438">
        <v>0</v>
      </c>
      <c r="D7020" s="438">
        <v>0</v>
      </c>
      <c r="E7020" s="438">
        <v>0</v>
      </c>
      <c r="F7020" s="438">
        <v>0</v>
      </c>
      <c r="G7020" s="438">
        <v>0</v>
      </c>
      <c r="H7020" s="438">
        <v>0</v>
      </c>
    </row>
    <row r="7021" spans="1:8" s="422" customFormat="1" ht="11.25">
      <c r="A7021" s="451" t="s">
        <v>400</v>
      </c>
      <c r="B7021" s="438">
        <v>0</v>
      </c>
      <c r="C7021" s="438">
        <v>0</v>
      </c>
      <c r="D7021" s="438">
        <v>0</v>
      </c>
      <c r="E7021" s="438">
        <v>0</v>
      </c>
      <c r="F7021" s="438">
        <v>0</v>
      </c>
      <c r="G7021" s="438">
        <v>0</v>
      </c>
      <c r="H7021" s="438">
        <v>0</v>
      </c>
    </row>
    <row r="7022" spans="1:8" s="422" customFormat="1" ht="11.25">
      <c r="A7022" s="451" t="s">
        <v>401</v>
      </c>
      <c r="B7022" s="438">
        <v>0</v>
      </c>
      <c r="C7022" s="438">
        <v>0</v>
      </c>
      <c r="D7022" s="438">
        <v>0</v>
      </c>
      <c r="E7022" s="438">
        <v>0</v>
      </c>
      <c r="F7022" s="438">
        <v>0</v>
      </c>
      <c r="G7022" s="438">
        <v>0</v>
      </c>
      <c r="H7022" s="438">
        <v>0</v>
      </c>
    </row>
    <row r="7023" spans="1:8" s="422" customFormat="1" ht="11.25"/>
    <row r="7024" spans="1:8" s="422" customFormat="1" ht="11.25">
      <c r="A7024" s="421" t="s">
        <v>597</v>
      </c>
      <c r="B7024" s="421"/>
      <c r="C7024" s="421"/>
    </row>
    <row r="7025" spans="1:8" s="429" customFormat="1" ht="11.25">
      <c r="A7025" s="428"/>
      <c r="B7025" s="428"/>
      <c r="C7025" s="428"/>
    </row>
    <row r="7026" spans="1:8" s="429" customFormat="1" ht="11.25">
      <c r="A7026" s="428"/>
      <c r="B7026" s="428"/>
      <c r="C7026" s="428"/>
    </row>
    <row r="7027" spans="1:8" s="429" customFormat="1" ht="11.25">
      <c r="A7027" s="428"/>
      <c r="B7027" s="428"/>
      <c r="C7027" s="428"/>
    </row>
    <row r="7028" spans="1:8" s="429" customFormat="1" ht="11.25">
      <c r="A7028" s="428"/>
      <c r="B7028" s="428"/>
      <c r="C7028" s="428"/>
    </row>
    <row r="7029" spans="1:8" s="422" customFormat="1" ht="11.25"/>
    <row r="7030" spans="1:8" s="422" customFormat="1" ht="11.25">
      <c r="A7030" s="421" t="s">
        <v>598</v>
      </c>
      <c r="B7030" s="421"/>
      <c r="C7030" s="421"/>
    </row>
    <row r="7031" spans="1:8" s="422" customFormat="1" ht="11.25">
      <c r="A7031" s="452" t="s">
        <v>599</v>
      </c>
      <c r="B7031" s="447"/>
      <c r="C7031" s="447"/>
      <c r="D7031" s="513"/>
      <c r="E7031" s="439" t="s">
        <v>375</v>
      </c>
      <c r="F7031" s="439" t="s">
        <v>9</v>
      </c>
      <c r="G7031" s="439" t="s">
        <v>131</v>
      </c>
      <c r="H7031" s="439" t="s">
        <v>424</v>
      </c>
    </row>
    <row r="7032" spans="1:8" s="422" customFormat="1" ht="11.25">
      <c r="A7032" s="448" t="s">
        <v>469</v>
      </c>
      <c r="B7032" s="449"/>
      <c r="C7032" s="449"/>
      <c r="D7032" s="514"/>
      <c r="E7032" s="515">
        <v>100750</v>
      </c>
      <c r="F7032" s="438">
        <v>0</v>
      </c>
      <c r="G7032" s="438">
        <v>0</v>
      </c>
      <c r="H7032" s="438">
        <v>0</v>
      </c>
    </row>
    <row r="7033" spans="1:8" s="422" customFormat="1" ht="11.25">
      <c r="A7033" s="448"/>
      <c r="B7033" s="449"/>
      <c r="C7033" s="449"/>
      <c r="D7033" s="514"/>
      <c r="E7033" s="515">
        <v>0</v>
      </c>
      <c r="F7033" s="438">
        <v>0</v>
      </c>
      <c r="G7033" s="438">
        <v>0</v>
      </c>
      <c r="H7033" s="438">
        <v>0</v>
      </c>
    </row>
    <row r="7034" spans="1:8" s="422" customFormat="1" ht="11.25">
      <c r="A7034" s="448"/>
      <c r="B7034" s="449"/>
      <c r="C7034" s="449"/>
      <c r="D7034" s="514"/>
      <c r="E7034" s="515">
        <v>0</v>
      </c>
      <c r="F7034" s="438">
        <v>0</v>
      </c>
      <c r="G7034" s="438">
        <v>0</v>
      </c>
      <c r="H7034" s="438">
        <v>0</v>
      </c>
    </row>
    <row r="7035" spans="1:8" s="421" customFormat="1" ht="11.25">
      <c r="A7035" s="421" t="s">
        <v>391</v>
      </c>
      <c r="D7035" s="421" t="s">
        <v>472</v>
      </c>
    </row>
    <row r="7036" spans="1:8" s="422" customFormat="1" ht="11.25"/>
    <row r="7037" spans="1:8" s="421" customFormat="1" ht="11.25" customHeight="1">
      <c r="A7037" s="423" t="s">
        <v>392</v>
      </c>
      <c r="D7037" s="421" t="s">
        <v>161</v>
      </c>
    </row>
    <row r="7038" spans="1:8" s="421" customFormat="1" ht="7.5" customHeight="1">
      <c r="A7038" s="423"/>
    </row>
    <row r="7039" spans="1:8" s="421" customFormat="1" ht="11.25">
      <c r="A7039" s="424" t="s">
        <v>393</v>
      </c>
      <c r="D7039" s="583" t="s">
        <v>164</v>
      </c>
      <c r="E7039" s="583"/>
      <c r="F7039" s="583"/>
      <c r="G7039" s="583"/>
      <c r="H7039" s="583"/>
    </row>
    <row r="7040" spans="1:8" s="421" customFormat="1" ht="7.5" customHeight="1"/>
    <row r="7041" spans="1:8" s="422" customFormat="1" ht="11.25">
      <c r="A7041" s="421" t="s">
        <v>170</v>
      </c>
      <c r="B7041" s="421"/>
      <c r="C7041" s="421"/>
      <c r="D7041" s="422" t="s">
        <v>359</v>
      </c>
      <c r="E7041" s="422" t="s">
        <v>1372</v>
      </c>
    </row>
    <row r="7042" spans="1:8" s="422" customFormat="1" ht="7.5" customHeight="1"/>
    <row r="7043" spans="1:8" s="427" customFormat="1" ht="11.25">
      <c r="A7043" s="425" t="s">
        <v>587</v>
      </c>
      <c r="B7043" s="425"/>
      <c r="C7043" s="425"/>
      <c r="D7043" s="426" t="s">
        <v>1373</v>
      </c>
      <c r="E7043" s="584" t="s">
        <v>1374</v>
      </c>
      <c r="F7043" s="584"/>
      <c r="G7043" s="584"/>
      <c r="H7043" s="584"/>
    </row>
    <row r="7044" spans="1:8" s="427" customFormat="1" ht="11.25">
      <c r="A7044" s="425"/>
      <c r="B7044" s="425"/>
      <c r="C7044" s="425"/>
      <c r="D7044" s="426" t="s">
        <v>1375</v>
      </c>
      <c r="E7044" s="584" t="s">
        <v>1376</v>
      </c>
      <c r="F7044" s="584"/>
      <c r="G7044" s="584"/>
      <c r="H7044" s="584"/>
    </row>
    <row r="7045" spans="1:8" s="427" customFormat="1" ht="11.25">
      <c r="A7045" s="425"/>
      <c r="B7045" s="425"/>
      <c r="C7045" s="425"/>
      <c r="D7045" s="426" t="s">
        <v>1377</v>
      </c>
      <c r="E7045" s="584" t="s">
        <v>1378</v>
      </c>
      <c r="F7045" s="584"/>
      <c r="G7045" s="584"/>
      <c r="H7045" s="584"/>
    </row>
    <row r="7046" spans="1:8" s="427" customFormat="1" ht="11.25">
      <c r="A7046" s="425"/>
      <c r="B7046" s="425"/>
      <c r="C7046" s="425"/>
      <c r="D7046" s="426"/>
      <c r="E7046" s="584"/>
      <c r="F7046" s="584"/>
      <c r="G7046" s="584"/>
      <c r="H7046" s="584"/>
    </row>
    <row r="7047" spans="1:8" s="427" customFormat="1" ht="11.25"/>
    <row r="7048" spans="1:8" s="422" customFormat="1" ht="11.25"/>
    <row r="7049" spans="1:8" s="422" customFormat="1" ht="11.25">
      <c r="A7049" s="421" t="s">
        <v>589</v>
      </c>
      <c r="B7049" s="421"/>
      <c r="C7049" s="421"/>
    </row>
    <row r="7050" spans="1:8" s="429" customFormat="1" ht="11.25">
      <c r="A7050" s="428"/>
      <c r="B7050" s="428"/>
      <c r="C7050" s="428"/>
    </row>
    <row r="7051" spans="1:8" s="429" customFormat="1" ht="11.25">
      <c r="A7051" s="428"/>
      <c r="B7051" s="428"/>
      <c r="C7051" s="428"/>
    </row>
    <row r="7052" spans="1:8" s="429" customFormat="1" ht="11.25">
      <c r="A7052" s="428"/>
      <c r="B7052" s="428"/>
      <c r="C7052" s="428"/>
    </row>
    <row r="7053" spans="1:8" s="429" customFormat="1" ht="11.25">
      <c r="A7053" s="428"/>
      <c r="B7053" s="428"/>
      <c r="C7053" s="428"/>
    </row>
    <row r="7054" spans="1:8" s="429" customFormat="1" ht="11.25">
      <c r="A7054" s="428"/>
      <c r="B7054" s="428"/>
      <c r="C7054" s="428"/>
    </row>
    <row r="7055" spans="1:8" s="429" customFormat="1" ht="11.25">
      <c r="A7055" s="428"/>
      <c r="B7055" s="428"/>
      <c r="C7055" s="428"/>
    </row>
    <row r="7056" spans="1:8" s="422" customFormat="1" ht="9" customHeight="1">
      <c r="A7056" s="430"/>
      <c r="B7056" s="430"/>
      <c r="C7056" s="430"/>
      <c r="D7056" s="430"/>
      <c r="E7056" s="430"/>
      <c r="F7056" s="430"/>
      <c r="G7056" s="430"/>
      <c r="H7056" s="430"/>
    </row>
    <row r="7057" spans="1:8" s="422" customFormat="1" ht="22.5" customHeight="1">
      <c r="A7057" s="585" t="s">
        <v>590</v>
      </c>
      <c r="B7057" s="585"/>
      <c r="C7057" s="585"/>
      <c r="D7057" s="586"/>
      <c r="E7057" s="586"/>
      <c r="F7057" s="586"/>
      <c r="G7057" s="586"/>
      <c r="H7057" s="586"/>
    </row>
    <row r="7058" spans="1:8" s="429" customFormat="1" ht="11.25">
      <c r="A7058" s="431"/>
      <c r="B7058" s="431"/>
      <c r="C7058" s="431"/>
      <c r="D7058" s="432"/>
      <c r="E7058" s="432"/>
      <c r="F7058" s="432"/>
      <c r="G7058" s="432"/>
      <c r="H7058" s="432"/>
    </row>
    <row r="7059" spans="1:8" s="429" customFormat="1" ht="11.25">
      <c r="A7059" s="431"/>
      <c r="B7059" s="431"/>
      <c r="C7059" s="431"/>
      <c r="D7059" s="432"/>
      <c r="E7059" s="432"/>
      <c r="F7059" s="432"/>
      <c r="G7059" s="432"/>
      <c r="H7059" s="432"/>
    </row>
    <row r="7060" spans="1:8" s="429" customFormat="1" ht="11.25">
      <c r="A7060" s="431"/>
      <c r="B7060" s="431"/>
      <c r="C7060" s="431"/>
      <c r="D7060" s="432"/>
      <c r="E7060" s="432"/>
      <c r="F7060" s="432"/>
      <c r="G7060" s="432"/>
      <c r="H7060" s="432"/>
    </row>
    <row r="7061" spans="1:8" s="429" customFormat="1" ht="11.25">
      <c r="A7061" s="431"/>
      <c r="B7061" s="431"/>
      <c r="C7061" s="431"/>
      <c r="D7061" s="432"/>
      <c r="E7061" s="432"/>
      <c r="F7061" s="432"/>
      <c r="G7061" s="432"/>
      <c r="H7061" s="432"/>
    </row>
    <row r="7062" spans="1:8" s="422" customFormat="1" ht="9" customHeight="1"/>
    <row r="7063" spans="1:8" s="422" customFormat="1" ht="11.25">
      <c r="A7063" s="421" t="s">
        <v>591</v>
      </c>
      <c r="B7063" s="421"/>
      <c r="C7063" s="421"/>
    </row>
    <row r="7064" spans="1:8" s="429" customFormat="1" ht="11.25">
      <c r="A7064" s="428"/>
      <c r="B7064" s="428"/>
      <c r="C7064" s="428"/>
    </row>
    <row r="7065" spans="1:8" s="429" customFormat="1" ht="11.25">
      <c r="A7065" s="428"/>
      <c r="B7065" s="428"/>
      <c r="C7065" s="428"/>
    </row>
    <row r="7066" spans="1:8" s="429" customFormat="1" ht="11.25">
      <c r="A7066" s="428"/>
      <c r="B7066" s="428"/>
      <c r="C7066" s="428"/>
    </row>
    <row r="7067" spans="1:8" s="429" customFormat="1" ht="11.25">
      <c r="A7067" s="428"/>
      <c r="B7067" s="428"/>
      <c r="C7067" s="428"/>
    </row>
    <row r="7068" spans="1:8" s="429" customFormat="1" ht="11.25">
      <c r="A7068" s="428"/>
      <c r="B7068" s="428"/>
      <c r="C7068" s="428"/>
    </row>
    <row r="7069" spans="1:8" s="422" customFormat="1" ht="9" customHeight="1"/>
    <row r="7070" spans="1:8" s="422" customFormat="1" ht="11.25">
      <c r="A7070" s="433" t="s">
        <v>592</v>
      </c>
      <c r="B7070" s="434"/>
      <c r="C7070" s="434"/>
      <c r="D7070" s="434"/>
      <c r="E7070" s="434"/>
      <c r="F7070" s="434"/>
      <c r="G7070" s="434"/>
      <c r="H7070" s="434"/>
    </row>
    <row r="7071" spans="1:8" s="429" customFormat="1" ht="11.25">
      <c r="A7071" s="435"/>
      <c r="B7071" s="436"/>
      <c r="C7071" s="436"/>
      <c r="D7071" s="436"/>
      <c r="E7071" s="436"/>
      <c r="F7071" s="436"/>
      <c r="G7071" s="436"/>
      <c r="H7071" s="436"/>
    </row>
    <row r="7072" spans="1:8" s="429" customFormat="1" ht="11.25">
      <c r="A7072" s="435"/>
      <c r="B7072" s="436"/>
      <c r="C7072" s="436"/>
      <c r="D7072" s="436"/>
      <c r="E7072" s="436"/>
      <c r="F7072" s="436"/>
      <c r="G7072" s="436"/>
      <c r="H7072" s="436"/>
    </row>
    <row r="7073" spans="1:8" s="422" customFormat="1" ht="11.25">
      <c r="A7073" s="437"/>
      <c r="B7073" s="437"/>
      <c r="C7073" s="437"/>
      <c r="D7073" s="437"/>
      <c r="E7073" s="437"/>
      <c r="F7073" s="437"/>
      <c r="G7073" s="437"/>
      <c r="H7073" s="437"/>
    </row>
    <row r="7074" spans="1:8" s="422" customFormat="1" ht="11.25">
      <c r="A7074" s="421" t="s">
        <v>593</v>
      </c>
      <c r="B7074" s="421"/>
      <c r="C7074" s="421"/>
    </row>
    <row r="7075" spans="1:8" s="422" customFormat="1" ht="11.25">
      <c r="A7075" s="438"/>
      <c r="B7075" s="439" t="s">
        <v>132</v>
      </c>
      <c r="C7075" s="439" t="s">
        <v>473</v>
      </c>
      <c r="D7075" s="439" t="s">
        <v>474</v>
      </c>
      <c r="E7075" s="439" t="s">
        <v>375</v>
      </c>
      <c r="F7075" s="439" t="s">
        <v>9</v>
      </c>
      <c r="G7075" s="439" t="s">
        <v>131</v>
      </c>
      <c r="H7075" s="439" t="s">
        <v>424</v>
      </c>
    </row>
    <row r="7076" spans="1:8" s="422" customFormat="1" ht="11.25">
      <c r="A7076" s="439" t="s">
        <v>394</v>
      </c>
      <c r="B7076" s="438">
        <v>1043170.6000000001</v>
      </c>
      <c r="C7076" s="438">
        <v>1123333.74</v>
      </c>
      <c r="D7076" s="438">
        <v>1130567.92</v>
      </c>
      <c r="E7076" s="438">
        <v>1125053.1392000001</v>
      </c>
      <c r="F7076" s="438">
        <v>1125053.1392000001</v>
      </c>
      <c r="G7076" s="438">
        <v>1138990.4460800001</v>
      </c>
      <c r="H7076" s="438">
        <v>1143968.05568</v>
      </c>
    </row>
    <row r="7077" spans="1:8" s="422" customFormat="1" ht="11.25">
      <c r="A7077" s="439" t="s">
        <v>395</v>
      </c>
      <c r="B7077" s="438">
        <v>-560773.01</v>
      </c>
      <c r="C7077" s="438">
        <v>-539805.25</v>
      </c>
      <c r="D7077" s="438">
        <v>-54935.56</v>
      </c>
      <c r="E7077" s="438">
        <v>-54935.56</v>
      </c>
      <c r="F7077" s="438">
        <v>-54935.56</v>
      </c>
      <c r="G7077" s="438">
        <v>-54935.56</v>
      </c>
      <c r="H7077" s="438">
        <v>-54935.56</v>
      </c>
    </row>
    <row r="7078" spans="1:8" s="422" customFormat="1" ht="11.25">
      <c r="A7078" s="439" t="s">
        <v>396</v>
      </c>
      <c r="B7078" s="438">
        <v>482397.59000000008</v>
      </c>
      <c r="C7078" s="438">
        <v>583528.49</v>
      </c>
      <c r="D7078" s="438">
        <v>1075632.3599999999</v>
      </c>
      <c r="E7078" s="438">
        <v>1070117.5792</v>
      </c>
      <c r="F7078" s="438">
        <v>1070117.5792</v>
      </c>
      <c r="G7078" s="438">
        <v>1084054.8860800001</v>
      </c>
      <c r="H7078" s="438">
        <v>1089032.4956799999</v>
      </c>
    </row>
    <row r="7079" spans="1:8" s="442" customFormat="1" ht="11.25">
      <c r="A7079" s="440" t="s">
        <v>397</v>
      </c>
      <c r="B7079" s="441">
        <v>0.53756596476166019</v>
      </c>
      <c r="C7079" s="441">
        <v>0.48053862425604699</v>
      </c>
      <c r="D7079" s="441">
        <v>4.8591118700767662E-2</v>
      </c>
      <c r="E7079" s="441">
        <v>4.882930244438359E-2</v>
      </c>
      <c r="F7079" s="441">
        <v>4.882930244438359E-2</v>
      </c>
      <c r="G7079" s="441">
        <v>4.8231800529204304E-2</v>
      </c>
      <c r="H7079" s="441">
        <v>4.8021935339221583E-2</v>
      </c>
    </row>
    <row r="7080" spans="1:8" s="422" customFormat="1" ht="11.25"/>
    <row r="7081" spans="1:8" s="422" customFormat="1" ht="11.25">
      <c r="A7081" s="443" t="s">
        <v>594</v>
      </c>
      <c r="B7081" s="443"/>
      <c r="C7081" s="444"/>
    </row>
    <row r="7082" spans="1:8" s="422" customFormat="1" ht="11.25">
      <c r="A7082" s="445" t="s">
        <v>595</v>
      </c>
      <c r="B7082" s="446"/>
      <c r="C7082" s="447"/>
      <c r="D7082" s="439" t="s">
        <v>474</v>
      </c>
      <c r="E7082" s="439" t="s">
        <v>375</v>
      </c>
      <c r="F7082" s="439" t="s">
        <v>9</v>
      </c>
      <c r="G7082" s="439" t="s">
        <v>131</v>
      </c>
      <c r="H7082" s="439" t="s">
        <v>424</v>
      </c>
    </row>
    <row r="7083" spans="1:8" s="422" customFormat="1" ht="11.25">
      <c r="A7083" s="448" t="s">
        <v>596</v>
      </c>
      <c r="B7083" s="449"/>
      <c r="C7083" s="449"/>
      <c r="D7083" s="438"/>
      <c r="E7083" s="438"/>
      <c r="F7083" s="438"/>
      <c r="G7083" s="438"/>
      <c r="H7083" s="438"/>
    </row>
    <row r="7084" spans="1:8" s="422" customFormat="1" ht="11.25">
      <c r="A7084" s="448"/>
      <c r="B7084" s="449"/>
      <c r="C7084" s="449"/>
      <c r="D7084" s="438"/>
      <c r="E7084" s="438"/>
      <c r="F7084" s="438"/>
      <c r="G7084" s="438"/>
      <c r="H7084" s="438"/>
    </row>
    <row r="7085" spans="1:8" s="422" customFormat="1" ht="11.25">
      <c r="A7085" s="448"/>
      <c r="B7085" s="449"/>
      <c r="C7085" s="449"/>
      <c r="D7085" s="438"/>
      <c r="E7085" s="438"/>
      <c r="F7085" s="438"/>
      <c r="G7085" s="438"/>
      <c r="H7085" s="438"/>
    </row>
    <row r="7086" spans="1:8" s="422" customFormat="1" ht="11.25"/>
    <row r="7087" spans="1:8" s="422" customFormat="1" ht="11.25">
      <c r="A7087" s="421" t="s">
        <v>423</v>
      </c>
      <c r="B7087" s="421"/>
      <c r="C7087" s="421"/>
    </row>
    <row r="7088" spans="1:8" s="422" customFormat="1" ht="11.25">
      <c r="A7088" s="450"/>
      <c r="B7088" s="439" t="s">
        <v>132</v>
      </c>
      <c r="C7088" s="439" t="s">
        <v>473</v>
      </c>
      <c r="D7088" s="439" t="s">
        <v>474</v>
      </c>
      <c r="E7088" s="439" t="s">
        <v>375</v>
      </c>
      <c r="F7088" s="439" t="s">
        <v>9</v>
      </c>
      <c r="G7088" s="439" t="s">
        <v>131</v>
      </c>
      <c r="H7088" s="439" t="s">
        <v>424</v>
      </c>
    </row>
    <row r="7089" spans="1:8" s="422" customFormat="1" ht="11.25">
      <c r="A7089" s="451" t="s">
        <v>398</v>
      </c>
      <c r="B7089" s="438">
        <v>0</v>
      </c>
      <c r="C7089" s="438">
        <v>0</v>
      </c>
      <c r="D7089" s="438">
        <v>0</v>
      </c>
      <c r="E7089" s="438">
        <v>0</v>
      </c>
      <c r="F7089" s="438">
        <v>0</v>
      </c>
      <c r="G7089" s="438">
        <v>0</v>
      </c>
      <c r="H7089" s="438">
        <v>0</v>
      </c>
    </row>
    <row r="7090" spans="1:8" s="422" customFormat="1" ht="11.25">
      <c r="A7090" s="451" t="s">
        <v>399</v>
      </c>
      <c r="B7090" s="438">
        <v>0</v>
      </c>
      <c r="C7090" s="438">
        <v>0</v>
      </c>
      <c r="D7090" s="438">
        <v>0</v>
      </c>
      <c r="E7090" s="438">
        <v>0</v>
      </c>
      <c r="F7090" s="438">
        <v>0</v>
      </c>
      <c r="G7090" s="438">
        <v>0</v>
      </c>
      <c r="H7090" s="438">
        <v>0</v>
      </c>
    </row>
    <row r="7091" spans="1:8" s="422" customFormat="1" ht="11.25">
      <c r="A7091" s="451" t="s">
        <v>400</v>
      </c>
      <c r="B7091" s="438">
        <v>0</v>
      </c>
      <c r="C7091" s="438">
        <v>0</v>
      </c>
      <c r="D7091" s="438">
        <v>0</v>
      </c>
      <c r="E7091" s="438">
        <v>0</v>
      </c>
      <c r="F7091" s="438">
        <v>0</v>
      </c>
      <c r="G7091" s="438">
        <v>0</v>
      </c>
      <c r="H7091" s="438">
        <v>0</v>
      </c>
    </row>
    <row r="7092" spans="1:8" s="422" customFormat="1" ht="11.25">
      <c r="A7092" s="451" t="s">
        <v>401</v>
      </c>
      <c r="B7092" s="438">
        <v>0</v>
      </c>
      <c r="C7092" s="438">
        <v>0</v>
      </c>
      <c r="D7092" s="438">
        <v>0</v>
      </c>
      <c r="E7092" s="438">
        <v>0</v>
      </c>
      <c r="F7092" s="438">
        <v>0</v>
      </c>
      <c r="G7092" s="438">
        <v>0</v>
      </c>
      <c r="H7092" s="438">
        <v>0</v>
      </c>
    </row>
    <row r="7093" spans="1:8" s="422" customFormat="1" ht="11.25"/>
    <row r="7094" spans="1:8" s="422" customFormat="1" ht="11.25">
      <c r="A7094" s="421" t="s">
        <v>597</v>
      </c>
      <c r="B7094" s="421"/>
      <c r="C7094" s="421"/>
    </row>
    <row r="7095" spans="1:8" s="429" customFormat="1" ht="11.25">
      <c r="A7095" s="428"/>
      <c r="B7095" s="428"/>
      <c r="C7095" s="428"/>
    </row>
    <row r="7096" spans="1:8" s="429" customFormat="1" ht="11.25">
      <c r="A7096" s="428"/>
      <c r="B7096" s="428"/>
      <c r="C7096" s="428"/>
    </row>
    <row r="7097" spans="1:8" s="429" customFormat="1" ht="11.25">
      <c r="A7097" s="428"/>
      <c r="B7097" s="428"/>
      <c r="C7097" s="428"/>
    </row>
    <row r="7098" spans="1:8" s="422" customFormat="1" ht="11.25"/>
    <row r="7099" spans="1:8" s="422" customFormat="1" ht="11.25">
      <c r="A7099" s="421" t="s">
        <v>598</v>
      </c>
      <c r="B7099" s="421"/>
      <c r="C7099" s="421"/>
    </row>
    <row r="7100" spans="1:8" s="422" customFormat="1" ht="11.25">
      <c r="A7100" s="452" t="s">
        <v>599</v>
      </c>
      <c r="B7100" s="447"/>
      <c r="C7100" s="447"/>
      <c r="D7100" s="447"/>
      <c r="E7100" s="439" t="s">
        <v>375</v>
      </c>
      <c r="F7100" s="439" t="s">
        <v>9</v>
      </c>
      <c r="G7100" s="439" t="s">
        <v>131</v>
      </c>
      <c r="H7100" s="439" t="s">
        <v>424</v>
      </c>
    </row>
    <row r="7101" spans="1:8" s="422" customFormat="1" ht="11.25">
      <c r="A7101" s="448"/>
      <c r="B7101" s="449"/>
      <c r="C7101" s="449"/>
      <c r="D7101" s="449"/>
      <c r="E7101" s="438">
        <v>0</v>
      </c>
      <c r="F7101" s="438">
        <v>0</v>
      </c>
      <c r="G7101" s="438">
        <v>0</v>
      </c>
      <c r="H7101" s="438">
        <v>0</v>
      </c>
    </row>
    <row r="7102" spans="1:8" s="422" customFormat="1" ht="11.25">
      <c r="A7102" s="448"/>
      <c r="B7102" s="449"/>
      <c r="C7102" s="449"/>
      <c r="D7102" s="449"/>
      <c r="E7102" s="438">
        <v>0</v>
      </c>
      <c r="F7102" s="438">
        <v>0</v>
      </c>
      <c r="G7102" s="438">
        <v>0</v>
      </c>
      <c r="H7102" s="438">
        <v>0</v>
      </c>
    </row>
    <row r="7103" spans="1:8" s="422" customFormat="1" ht="11.25">
      <c r="A7103" s="448"/>
      <c r="B7103" s="449"/>
      <c r="C7103" s="449"/>
      <c r="D7103" s="449"/>
      <c r="E7103" s="438">
        <v>0</v>
      </c>
      <c r="F7103" s="438">
        <v>0</v>
      </c>
      <c r="G7103" s="438">
        <v>0</v>
      </c>
      <c r="H7103" s="438">
        <v>0</v>
      </c>
    </row>
    <row r="7104" spans="1:8" s="421" customFormat="1" ht="11.25">
      <c r="A7104" s="421" t="s">
        <v>391</v>
      </c>
      <c r="D7104" s="421" t="s">
        <v>472</v>
      </c>
    </row>
    <row r="7105" spans="1:8" s="422" customFormat="1" ht="11.25"/>
    <row r="7106" spans="1:8" s="421" customFormat="1" ht="11.25" customHeight="1">
      <c r="A7106" s="423" t="s">
        <v>392</v>
      </c>
      <c r="D7106" s="421" t="s">
        <v>161</v>
      </c>
    </row>
    <row r="7107" spans="1:8" s="421" customFormat="1" ht="7.5" customHeight="1">
      <c r="A7107" s="423"/>
    </row>
    <row r="7108" spans="1:8" s="421" customFormat="1" ht="11.25">
      <c r="A7108" s="424" t="s">
        <v>393</v>
      </c>
      <c r="D7108" s="583" t="s">
        <v>43</v>
      </c>
      <c r="E7108" s="583"/>
      <c r="F7108" s="583"/>
      <c r="G7108" s="583"/>
      <c r="H7108" s="583"/>
    </row>
    <row r="7109" spans="1:8" s="421" customFormat="1" ht="7.5" customHeight="1"/>
    <row r="7110" spans="1:8" s="422" customFormat="1" ht="11.25">
      <c r="A7110" s="421" t="s">
        <v>170</v>
      </c>
      <c r="B7110" s="421"/>
      <c r="C7110" s="421"/>
      <c r="D7110" s="422" t="s">
        <v>338</v>
      </c>
      <c r="E7110" s="422" t="s">
        <v>1379</v>
      </c>
    </row>
    <row r="7111" spans="1:8" s="422" customFormat="1" ht="7.5" customHeight="1"/>
    <row r="7112" spans="1:8" s="427" customFormat="1" ht="11.25" customHeight="1">
      <c r="A7112" s="425" t="s">
        <v>587</v>
      </c>
      <c r="B7112" s="425"/>
      <c r="C7112" s="425"/>
      <c r="D7112" s="426" t="s">
        <v>1380</v>
      </c>
      <c r="E7112" s="600" t="s">
        <v>1381</v>
      </c>
      <c r="F7112" s="600"/>
      <c r="G7112" s="600"/>
      <c r="H7112" s="600"/>
    </row>
    <row r="7113" spans="1:8" s="427" customFormat="1" ht="11.25">
      <c r="A7113" s="425"/>
      <c r="B7113" s="425"/>
      <c r="C7113" s="425"/>
      <c r="D7113" s="426" t="s">
        <v>1382</v>
      </c>
      <c r="E7113" s="584" t="s">
        <v>1383</v>
      </c>
      <c r="F7113" s="584"/>
      <c r="G7113" s="584"/>
      <c r="H7113" s="584"/>
    </row>
    <row r="7114" spans="1:8" s="427" customFormat="1" ht="11.25">
      <c r="A7114" s="425"/>
      <c r="B7114" s="425"/>
      <c r="C7114" s="425"/>
      <c r="D7114" s="426"/>
      <c r="E7114" s="584"/>
      <c r="F7114" s="584"/>
      <c r="G7114" s="584"/>
      <c r="H7114" s="584"/>
    </row>
    <row r="7115" spans="1:8" s="427" customFormat="1" ht="11.25"/>
    <row r="7116" spans="1:8" s="422" customFormat="1" ht="11.25"/>
    <row r="7117" spans="1:8" s="422" customFormat="1" ht="11.25">
      <c r="A7117" s="421" t="s">
        <v>589</v>
      </c>
      <c r="B7117" s="421"/>
      <c r="C7117" s="421"/>
    </row>
    <row r="7118" spans="1:8" s="429" customFormat="1" ht="11.25">
      <c r="A7118" s="428"/>
      <c r="B7118" s="428"/>
      <c r="C7118" s="428"/>
    </row>
    <row r="7119" spans="1:8" s="429" customFormat="1" ht="11.25">
      <c r="A7119" s="428"/>
      <c r="B7119" s="428"/>
      <c r="C7119" s="428"/>
    </row>
    <row r="7120" spans="1:8" s="429" customFormat="1" ht="3" customHeight="1">
      <c r="A7120" s="428"/>
      <c r="B7120" s="428"/>
      <c r="C7120" s="428"/>
    </row>
    <row r="7121" spans="1:8" s="422" customFormat="1" ht="1.5" customHeight="1">
      <c r="A7121" s="430"/>
      <c r="B7121" s="430"/>
      <c r="C7121" s="430"/>
      <c r="D7121" s="430"/>
      <c r="E7121" s="430"/>
      <c r="F7121" s="430"/>
      <c r="G7121" s="430"/>
      <c r="H7121" s="430"/>
    </row>
    <row r="7122" spans="1:8" s="422" customFormat="1" ht="22.5" customHeight="1">
      <c r="A7122" s="585" t="s">
        <v>590</v>
      </c>
      <c r="B7122" s="585"/>
      <c r="C7122" s="585"/>
      <c r="D7122" s="586"/>
      <c r="E7122" s="586"/>
      <c r="F7122" s="586"/>
      <c r="G7122" s="586"/>
      <c r="H7122" s="586"/>
    </row>
    <row r="7123" spans="1:8" s="429" customFormat="1" ht="11.25">
      <c r="A7123" s="431"/>
      <c r="B7123" s="431"/>
      <c r="C7123" s="431"/>
      <c r="D7123" s="432"/>
      <c r="E7123" s="432"/>
      <c r="F7123" s="432"/>
      <c r="G7123" s="432"/>
      <c r="H7123" s="432"/>
    </row>
    <row r="7124" spans="1:8" s="429" customFormat="1" ht="11.25">
      <c r="A7124" s="431"/>
      <c r="B7124" s="431"/>
      <c r="C7124" s="431"/>
      <c r="D7124" s="432"/>
      <c r="E7124" s="432"/>
      <c r="F7124" s="432"/>
      <c r="G7124" s="432"/>
      <c r="H7124" s="432"/>
    </row>
    <row r="7125" spans="1:8" s="429" customFormat="1" ht="11.25">
      <c r="A7125" s="431"/>
      <c r="B7125" s="431"/>
      <c r="C7125" s="431"/>
      <c r="D7125" s="432"/>
      <c r="E7125" s="432"/>
      <c r="F7125" s="432"/>
      <c r="G7125" s="432"/>
      <c r="H7125" s="432"/>
    </row>
    <row r="7126" spans="1:8" s="429" customFormat="1" ht="11.25">
      <c r="A7126" s="431"/>
      <c r="B7126" s="431"/>
      <c r="C7126" s="431"/>
      <c r="D7126" s="432"/>
      <c r="E7126" s="432"/>
      <c r="F7126" s="432"/>
      <c r="G7126" s="432"/>
      <c r="H7126" s="432"/>
    </row>
    <row r="7127" spans="1:8" s="422" customFormat="1" ht="21.75" customHeight="1"/>
    <row r="7128" spans="1:8" s="422" customFormat="1" ht="11.25">
      <c r="A7128" s="421" t="s">
        <v>591</v>
      </c>
      <c r="B7128" s="421"/>
      <c r="C7128" s="421"/>
    </row>
    <row r="7129" spans="1:8" s="429" customFormat="1" ht="11.25">
      <c r="A7129" s="428"/>
      <c r="B7129" s="428"/>
      <c r="C7129" s="428"/>
    </row>
    <row r="7130" spans="1:8" s="429" customFormat="1" ht="11.25">
      <c r="A7130" s="428"/>
      <c r="B7130" s="428"/>
      <c r="C7130" s="428"/>
    </row>
    <row r="7131" spans="1:8" s="429" customFormat="1" ht="11.25">
      <c r="A7131" s="428"/>
      <c r="B7131" s="428"/>
      <c r="C7131" s="428"/>
    </row>
    <row r="7132" spans="1:8" s="429" customFormat="1" ht="11.25">
      <c r="A7132" s="428"/>
      <c r="B7132" s="428"/>
      <c r="C7132" s="428"/>
    </row>
    <row r="7133" spans="1:8" s="429" customFormat="1" ht="11.25">
      <c r="A7133" s="428"/>
      <c r="B7133" s="428"/>
      <c r="C7133" s="428"/>
    </row>
    <row r="7134" spans="1:8" s="429" customFormat="1" ht="11.25">
      <c r="A7134" s="428"/>
      <c r="B7134" s="428"/>
      <c r="C7134" s="428"/>
    </row>
    <row r="7135" spans="1:8" s="429" customFormat="1" ht="11.25">
      <c r="A7135" s="428"/>
      <c r="B7135" s="428"/>
      <c r="C7135" s="428"/>
    </row>
    <row r="7136" spans="1:8" s="429" customFormat="1" ht="5.25" customHeight="1">
      <c r="A7136" s="428"/>
      <c r="B7136" s="428"/>
      <c r="C7136" s="428"/>
    </row>
    <row r="7137" spans="1:8" s="422" customFormat="1" ht="9" customHeight="1"/>
    <row r="7138" spans="1:8" s="422" customFormat="1" ht="11.25">
      <c r="A7138" s="433" t="s">
        <v>592</v>
      </c>
      <c r="B7138" s="434"/>
      <c r="C7138" s="434"/>
      <c r="D7138" s="434"/>
      <c r="E7138" s="434"/>
      <c r="F7138" s="434"/>
      <c r="G7138" s="434"/>
      <c r="H7138" s="434"/>
    </row>
    <row r="7139" spans="1:8" s="429" customFormat="1" ht="11.25">
      <c r="A7139" s="435"/>
      <c r="B7139" s="436"/>
      <c r="C7139" s="436"/>
      <c r="D7139" s="436"/>
      <c r="E7139" s="436"/>
      <c r="F7139" s="436"/>
      <c r="G7139" s="436"/>
      <c r="H7139" s="436"/>
    </row>
    <row r="7140" spans="1:8" s="429" customFormat="1" ht="11.25">
      <c r="A7140" s="435"/>
      <c r="B7140" s="436"/>
      <c r="C7140" s="436"/>
      <c r="D7140" s="436"/>
      <c r="E7140" s="436"/>
      <c r="F7140" s="436"/>
      <c r="G7140" s="436"/>
      <c r="H7140" s="436"/>
    </row>
    <row r="7141" spans="1:8" s="429" customFormat="1" ht="11.25">
      <c r="A7141" s="435"/>
      <c r="B7141" s="436"/>
      <c r="C7141" s="436"/>
      <c r="D7141" s="436"/>
      <c r="E7141" s="436"/>
      <c r="F7141" s="436"/>
      <c r="G7141" s="436"/>
      <c r="H7141" s="436"/>
    </row>
    <row r="7142" spans="1:8" s="422" customFormat="1" ht="11.25">
      <c r="A7142" s="437"/>
      <c r="B7142" s="437"/>
      <c r="C7142" s="437"/>
      <c r="D7142" s="437"/>
      <c r="E7142" s="437"/>
      <c r="F7142" s="437"/>
      <c r="G7142" s="437"/>
      <c r="H7142" s="437"/>
    </row>
    <row r="7143" spans="1:8" s="422" customFormat="1" ht="11.25">
      <c r="A7143" s="421" t="s">
        <v>593</v>
      </c>
      <c r="B7143" s="421"/>
      <c r="C7143" s="421"/>
    </row>
    <row r="7144" spans="1:8" s="422" customFormat="1" ht="11.25">
      <c r="A7144" s="438"/>
      <c r="B7144" s="439" t="s">
        <v>132</v>
      </c>
      <c r="C7144" s="439" t="s">
        <v>473</v>
      </c>
      <c r="D7144" s="439" t="s">
        <v>474</v>
      </c>
      <c r="E7144" s="439" t="s">
        <v>375</v>
      </c>
      <c r="F7144" s="439" t="s">
        <v>9</v>
      </c>
      <c r="G7144" s="439" t="s">
        <v>131</v>
      </c>
      <c r="H7144" s="439" t="s">
        <v>424</v>
      </c>
    </row>
    <row r="7145" spans="1:8" s="422" customFormat="1" ht="11.25">
      <c r="A7145" s="439" t="s">
        <v>394</v>
      </c>
      <c r="B7145" s="438">
        <v>20248293.199999999</v>
      </c>
      <c r="C7145" s="438">
        <v>24484687.960000005</v>
      </c>
      <c r="D7145" s="438">
        <v>18423614.859999999</v>
      </c>
      <c r="E7145" s="438">
        <v>18787370.313999999</v>
      </c>
      <c r="F7145" s="438">
        <v>18910274.313999999</v>
      </c>
      <c r="G7145" s="438">
        <v>19429848.193599999</v>
      </c>
      <c r="H7145" s="438">
        <v>27123528.150600001</v>
      </c>
    </row>
    <row r="7146" spans="1:8" s="422" customFormat="1" ht="11.25">
      <c r="A7146" s="439" t="s">
        <v>395</v>
      </c>
      <c r="B7146" s="438">
        <v>-20467207.5</v>
      </c>
      <c r="C7146" s="438">
        <v>-24485147.969999999</v>
      </c>
      <c r="D7146" s="438">
        <v>-18235750.079999998</v>
      </c>
      <c r="E7146" s="438">
        <v>-18919220</v>
      </c>
      <c r="F7146" s="438">
        <v>-18910274</v>
      </c>
      <c r="G7146" s="438">
        <v>-19429848</v>
      </c>
      <c r="H7146" s="438">
        <v>-27123528</v>
      </c>
    </row>
    <row r="7147" spans="1:8" s="422" customFormat="1" ht="11.25">
      <c r="A7147" s="439" t="s">
        <v>396</v>
      </c>
      <c r="B7147" s="438">
        <v>-218914.30000000075</v>
      </c>
      <c r="C7147" s="438">
        <v>-460.00999999418855</v>
      </c>
      <c r="D7147" s="438">
        <v>187864.78000000119</v>
      </c>
      <c r="E7147" s="438">
        <v>-131849.68600000069</v>
      </c>
      <c r="F7147" s="438">
        <v>0.31399999931454659</v>
      </c>
      <c r="G7147" s="438">
        <v>0.19359999895095825</v>
      </c>
      <c r="H7147" s="438">
        <v>0.15060000121593475</v>
      </c>
    </row>
    <row r="7148" spans="1:8" s="442" customFormat="1" ht="11.25">
      <c r="A7148" s="440" t="s">
        <v>397</v>
      </c>
      <c r="B7148" s="441">
        <v>1.0108114939781689</v>
      </c>
      <c r="C7148" s="441">
        <v>1.0000187876603019</v>
      </c>
      <c r="D7148" s="441">
        <v>0.98980304454757795</v>
      </c>
      <c r="E7148" s="441">
        <v>1.0070179958023049</v>
      </c>
      <c r="F7148" s="441">
        <v>0.99999998339526996</v>
      </c>
      <c r="G7148" s="441">
        <v>0.99999999003594897</v>
      </c>
      <c r="H7148" s="441">
        <v>0.999999994447625</v>
      </c>
    </row>
    <row r="7149" spans="1:8" s="422" customFormat="1" ht="11.25"/>
    <row r="7150" spans="1:8" s="422" customFormat="1" ht="11.25">
      <c r="A7150" s="443" t="s">
        <v>594</v>
      </c>
      <c r="B7150" s="443"/>
      <c r="C7150" s="444"/>
    </row>
    <row r="7151" spans="1:8" s="422" customFormat="1" ht="11.25">
      <c r="A7151" s="445" t="s">
        <v>595</v>
      </c>
      <c r="B7151" s="446"/>
      <c r="C7151" s="447"/>
      <c r="D7151" s="439" t="s">
        <v>474</v>
      </c>
      <c r="E7151" s="439" t="s">
        <v>375</v>
      </c>
      <c r="F7151" s="439" t="s">
        <v>9</v>
      </c>
      <c r="G7151" s="439" t="s">
        <v>131</v>
      </c>
      <c r="H7151" s="439" t="s">
        <v>424</v>
      </c>
    </row>
    <row r="7152" spans="1:8" s="422" customFormat="1" ht="11.25">
      <c r="A7152" s="448" t="s">
        <v>1384</v>
      </c>
      <c r="B7152" s="449"/>
      <c r="C7152" s="449"/>
      <c r="D7152" s="457">
        <v>1</v>
      </c>
      <c r="E7152" s="457">
        <v>1</v>
      </c>
      <c r="F7152" s="457">
        <v>1</v>
      </c>
      <c r="G7152" s="457">
        <v>1</v>
      </c>
      <c r="H7152" s="457">
        <v>1</v>
      </c>
    </row>
    <row r="7153" spans="1:8" s="422" customFormat="1" ht="11.25">
      <c r="A7153" s="448" t="s">
        <v>1385</v>
      </c>
      <c r="B7153" s="449"/>
      <c r="C7153" s="449"/>
      <c r="D7153" s="438" t="s">
        <v>1386</v>
      </c>
      <c r="E7153" s="438" t="s">
        <v>1386</v>
      </c>
      <c r="F7153" s="438" t="s">
        <v>1386</v>
      </c>
      <c r="G7153" s="438" t="s">
        <v>1387</v>
      </c>
      <c r="H7153" s="438" t="s">
        <v>1387</v>
      </c>
    </row>
    <row r="7154" spans="1:8" s="422" customFormat="1" ht="11.25">
      <c r="A7154" s="448" t="s">
        <v>1388</v>
      </c>
      <c r="B7154" s="449"/>
      <c r="C7154" s="449"/>
      <c r="D7154" s="438">
        <v>2</v>
      </c>
      <c r="E7154" s="438">
        <v>2</v>
      </c>
      <c r="F7154" s="438">
        <v>2</v>
      </c>
      <c r="G7154" s="438">
        <v>2</v>
      </c>
      <c r="H7154" s="438">
        <v>2</v>
      </c>
    </row>
    <row r="7155" spans="1:8" s="422" customFormat="1" ht="11.25"/>
    <row r="7156" spans="1:8" s="422" customFormat="1" ht="11.25">
      <c r="A7156" s="421" t="s">
        <v>423</v>
      </c>
      <c r="B7156" s="421"/>
      <c r="C7156" s="421"/>
    </row>
    <row r="7157" spans="1:8" s="422" customFormat="1" ht="11.25">
      <c r="A7157" s="450"/>
      <c r="B7157" s="439" t="s">
        <v>132</v>
      </c>
      <c r="C7157" s="439" t="s">
        <v>473</v>
      </c>
      <c r="D7157" s="439" t="s">
        <v>474</v>
      </c>
      <c r="E7157" s="439" t="s">
        <v>375</v>
      </c>
      <c r="F7157" s="439" t="s">
        <v>9</v>
      </c>
      <c r="G7157" s="439" t="s">
        <v>131</v>
      </c>
      <c r="H7157" s="439" t="s">
        <v>424</v>
      </c>
    </row>
    <row r="7158" spans="1:8" s="422" customFormat="1" ht="11.25">
      <c r="A7158" s="451" t="s">
        <v>398</v>
      </c>
      <c r="B7158" s="438">
        <v>1482380.85</v>
      </c>
      <c r="C7158" s="438">
        <v>996769.8</v>
      </c>
      <c r="D7158" s="438">
        <v>2360000</v>
      </c>
      <c r="E7158" s="438">
        <v>2382000</v>
      </c>
      <c r="F7158" s="438">
        <v>2149000</v>
      </c>
      <c r="G7158" s="438">
        <v>150000</v>
      </c>
      <c r="H7158" s="438">
        <v>0</v>
      </c>
    </row>
    <row r="7159" spans="1:8" s="422" customFormat="1" ht="11.25">
      <c r="A7159" s="451" t="s">
        <v>399</v>
      </c>
      <c r="B7159" s="438">
        <v>0</v>
      </c>
      <c r="C7159" s="438">
        <v>0</v>
      </c>
      <c r="D7159" s="438">
        <v>635000</v>
      </c>
      <c r="E7159" s="438">
        <v>743000</v>
      </c>
      <c r="F7159" s="438">
        <v>501000</v>
      </c>
      <c r="G7159" s="438">
        <v>100000</v>
      </c>
      <c r="H7159" s="438">
        <v>0</v>
      </c>
    </row>
    <row r="7160" spans="1:8" s="422" customFormat="1" ht="11.25">
      <c r="A7160" s="451" t="s">
        <v>400</v>
      </c>
      <c r="B7160" s="438">
        <v>0</v>
      </c>
      <c r="C7160" s="438">
        <v>-74960.850000000006</v>
      </c>
      <c r="D7160" s="438">
        <v>0</v>
      </c>
      <c r="E7160" s="438">
        <v>0</v>
      </c>
      <c r="F7160" s="438">
        <v>0</v>
      </c>
      <c r="G7160" s="438">
        <v>0</v>
      </c>
      <c r="H7160" s="438">
        <v>0</v>
      </c>
    </row>
    <row r="7161" spans="1:8" s="422" customFormat="1" ht="11.25">
      <c r="A7161" s="451" t="s">
        <v>401</v>
      </c>
      <c r="B7161" s="438">
        <v>1482380.85</v>
      </c>
      <c r="C7161" s="438">
        <v>921808.95000000007</v>
      </c>
      <c r="D7161" s="438">
        <v>2995000</v>
      </c>
      <c r="E7161" s="438">
        <v>3125000</v>
      </c>
      <c r="F7161" s="438">
        <v>2650000</v>
      </c>
      <c r="G7161" s="438">
        <v>250000</v>
      </c>
      <c r="H7161" s="438">
        <v>0</v>
      </c>
    </row>
    <row r="7162" spans="1:8" s="422" customFormat="1" ht="11.25"/>
    <row r="7163" spans="1:8" s="422" customFormat="1" ht="11.25">
      <c r="A7163" s="421" t="s">
        <v>597</v>
      </c>
      <c r="B7163" s="421"/>
      <c r="C7163" s="421"/>
    </row>
    <row r="7164" spans="1:8" s="429" customFormat="1" ht="11.25">
      <c r="A7164" s="428"/>
      <c r="B7164" s="428"/>
      <c r="C7164" s="428"/>
    </row>
    <row r="7165" spans="1:8" s="429" customFormat="1" ht="11.25">
      <c r="A7165" s="428"/>
      <c r="B7165" s="428"/>
      <c r="C7165" s="428"/>
    </row>
    <row r="7166" spans="1:8" s="429" customFormat="1" ht="11.25">
      <c r="A7166" s="428"/>
      <c r="B7166" s="428"/>
      <c r="C7166" s="428"/>
    </row>
    <row r="7167" spans="1:8" s="422" customFormat="1" ht="11.25"/>
    <row r="7168" spans="1:8" s="422" customFormat="1" ht="11.25">
      <c r="A7168" s="421" t="s">
        <v>598</v>
      </c>
      <c r="B7168" s="421"/>
      <c r="C7168" s="421"/>
    </row>
    <row r="7169" spans="1:8" s="422" customFormat="1" ht="11.25">
      <c r="A7169" s="452" t="s">
        <v>599</v>
      </c>
      <c r="B7169" s="447"/>
      <c r="C7169" s="447"/>
      <c r="D7169" s="447"/>
      <c r="E7169" s="439" t="s">
        <v>375</v>
      </c>
      <c r="F7169" s="439" t="s">
        <v>9</v>
      </c>
      <c r="G7169" s="439" t="s">
        <v>131</v>
      </c>
      <c r="H7169" s="439" t="s">
        <v>424</v>
      </c>
    </row>
    <row r="7170" spans="1:8" s="422" customFormat="1" ht="11.25">
      <c r="A7170" s="448" t="s">
        <v>523</v>
      </c>
      <c r="B7170" s="449"/>
      <c r="C7170" s="449"/>
      <c r="D7170" s="449"/>
      <c r="E7170" s="438">
        <v>800000</v>
      </c>
      <c r="F7170" s="438">
        <v>482350</v>
      </c>
      <c r="G7170" s="438">
        <v>482350</v>
      </c>
      <c r="H7170" s="438">
        <v>482350</v>
      </c>
    </row>
    <row r="7171" spans="1:8" s="422" customFormat="1" ht="11.25">
      <c r="A7171" s="448" t="s">
        <v>524</v>
      </c>
      <c r="B7171" s="449"/>
      <c r="C7171" s="449"/>
      <c r="D7171" s="449"/>
      <c r="E7171" s="438">
        <v>101000</v>
      </c>
      <c r="F7171" s="438">
        <v>101000</v>
      </c>
      <c r="G7171" s="438">
        <v>102400</v>
      </c>
      <c r="H7171" s="438">
        <v>102899.99999999999</v>
      </c>
    </row>
    <row r="7172" spans="1:8" s="422" customFormat="1" ht="11.25">
      <c r="A7172" s="448"/>
      <c r="B7172" s="449"/>
      <c r="C7172" s="449"/>
      <c r="D7172" s="449"/>
      <c r="E7172" s="438">
        <v>0</v>
      </c>
      <c r="F7172" s="438">
        <v>0</v>
      </c>
      <c r="G7172" s="438">
        <v>0</v>
      </c>
      <c r="H7172" s="438">
        <v>0</v>
      </c>
    </row>
    <row r="7173" spans="1:8" s="421" customFormat="1" ht="11.25">
      <c r="A7173" s="421" t="s">
        <v>391</v>
      </c>
      <c r="D7173" s="421" t="s">
        <v>472</v>
      </c>
    </row>
    <row r="7174" spans="1:8" s="422" customFormat="1" ht="11.25"/>
    <row r="7175" spans="1:8" s="421" customFormat="1" ht="11.25" customHeight="1">
      <c r="A7175" s="423" t="s">
        <v>392</v>
      </c>
      <c r="D7175" s="421" t="s">
        <v>161</v>
      </c>
    </row>
    <row r="7176" spans="1:8" s="421" customFormat="1" ht="9.75" customHeight="1">
      <c r="A7176" s="423"/>
    </row>
    <row r="7177" spans="1:8" s="421" customFormat="1" ht="11.25">
      <c r="A7177" s="424" t="s">
        <v>393</v>
      </c>
      <c r="D7177" s="583" t="s">
        <v>44</v>
      </c>
      <c r="E7177" s="583"/>
      <c r="F7177" s="583"/>
      <c r="G7177" s="583"/>
      <c r="H7177" s="583"/>
    </row>
    <row r="7178" spans="1:8" s="421" customFormat="1" ht="7.5" customHeight="1"/>
    <row r="7179" spans="1:8" s="422" customFormat="1" ht="11.25">
      <c r="A7179" s="421" t="s">
        <v>170</v>
      </c>
      <c r="B7179" s="421"/>
      <c r="C7179" s="421"/>
      <c r="D7179" s="422" t="s">
        <v>352</v>
      </c>
      <c r="E7179" s="422" t="s">
        <v>366</v>
      </c>
    </row>
    <row r="7180" spans="1:8" s="422" customFormat="1" ht="7.5" customHeight="1"/>
    <row r="7181" spans="1:8" s="427" customFormat="1" ht="11.25">
      <c r="A7181" s="425" t="s">
        <v>587</v>
      </c>
      <c r="B7181" s="425"/>
      <c r="C7181" s="425"/>
      <c r="D7181" s="426" t="s">
        <v>1389</v>
      </c>
      <c r="E7181" s="584" t="s">
        <v>1390</v>
      </c>
      <c r="F7181" s="584"/>
      <c r="G7181" s="584"/>
      <c r="H7181" s="584"/>
    </row>
    <row r="7182" spans="1:8" s="427" customFormat="1" ht="11.25">
      <c r="A7182" s="425"/>
      <c r="B7182" s="425"/>
      <c r="C7182" s="425"/>
      <c r="D7182" s="426" t="s">
        <v>1391</v>
      </c>
      <c r="E7182" s="584" t="s">
        <v>1392</v>
      </c>
      <c r="F7182" s="584"/>
      <c r="G7182" s="584"/>
      <c r="H7182" s="584"/>
    </row>
    <row r="7183" spans="1:8" s="427" customFormat="1" ht="11.25">
      <c r="A7183" s="425"/>
      <c r="B7183" s="425"/>
      <c r="C7183" s="425"/>
      <c r="D7183" s="426" t="s">
        <v>1393</v>
      </c>
      <c r="E7183" s="584" t="s">
        <v>1394</v>
      </c>
      <c r="F7183" s="584"/>
      <c r="G7183" s="584"/>
      <c r="H7183" s="584"/>
    </row>
    <row r="7184" spans="1:8" s="427" customFormat="1" ht="11.25">
      <c r="A7184" s="425"/>
      <c r="B7184" s="425"/>
      <c r="C7184" s="425"/>
      <c r="D7184" s="426" t="s">
        <v>1395</v>
      </c>
      <c r="E7184" s="584" t="s">
        <v>1396</v>
      </c>
      <c r="F7184" s="584"/>
      <c r="G7184" s="584"/>
      <c r="H7184" s="584"/>
    </row>
    <row r="7185" spans="1:8" s="427" customFormat="1" ht="11.25">
      <c r="A7185" s="425"/>
      <c r="B7185" s="425"/>
      <c r="C7185" s="425"/>
      <c r="D7185" s="426" t="s">
        <v>1397</v>
      </c>
      <c r="E7185" s="584" t="s">
        <v>1398</v>
      </c>
      <c r="F7185" s="584"/>
      <c r="G7185" s="584"/>
      <c r="H7185" s="584"/>
    </row>
    <row r="7186" spans="1:8" s="427" customFormat="1" ht="11.25">
      <c r="A7186" s="425"/>
      <c r="B7186" s="425"/>
      <c r="C7186" s="425"/>
      <c r="D7186" s="426" t="s">
        <v>1399</v>
      </c>
      <c r="E7186" s="584" t="s">
        <v>1400</v>
      </c>
      <c r="F7186" s="584"/>
      <c r="G7186" s="584"/>
      <c r="H7186" s="584"/>
    </row>
    <row r="7187" spans="1:8" s="427" customFormat="1" ht="11.25">
      <c r="A7187" s="425"/>
      <c r="B7187" s="425"/>
      <c r="C7187" s="425"/>
      <c r="D7187" s="426"/>
      <c r="E7187" s="584"/>
      <c r="F7187" s="584"/>
      <c r="G7187" s="584"/>
      <c r="H7187" s="584"/>
    </row>
    <row r="7188" spans="1:8" s="427" customFormat="1" ht="11.25"/>
    <row r="7189" spans="1:8" s="422" customFormat="1" ht="11.25"/>
    <row r="7190" spans="1:8" s="422" customFormat="1" ht="11.25">
      <c r="A7190" s="421" t="s">
        <v>589</v>
      </c>
      <c r="B7190" s="421"/>
      <c r="C7190" s="421"/>
    </row>
    <row r="7191" spans="1:8" s="429" customFormat="1" ht="11.25">
      <c r="A7191" s="428"/>
      <c r="B7191" s="428"/>
      <c r="C7191" s="428"/>
    </row>
    <row r="7192" spans="1:8" s="429" customFormat="1" ht="11.25">
      <c r="A7192" s="428"/>
      <c r="B7192" s="428"/>
      <c r="C7192" s="428"/>
    </row>
    <row r="7193" spans="1:8" s="429" customFormat="1" ht="11.25">
      <c r="A7193" s="428"/>
      <c r="B7193" s="428"/>
      <c r="C7193" s="428"/>
    </row>
    <row r="7194" spans="1:8" s="429" customFormat="1" ht="11.25">
      <c r="A7194" s="428"/>
      <c r="B7194" s="428"/>
      <c r="C7194" s="428"/>
    </row>
    <row r="7195" spans="1:8" s="422" customFormat="1" ht="9" customHeight="1">
      <c r="A7195" s="430"/>
      <c r="B7195" s="430"/>
      <c r="C7195" s="430"/>
      <c r="D7195" s="430"/>
      <c r="E7195" s="430"/>
      <c r="F7195" s="430"/>
      <c r="G7195" s="430"/>
      <c r="H7195" s="430"/>
    </row>
    <row r="7196" spans="1:8" s="422" customFormat="1" ht="22.5" customHeight="1">
      <c r="A7196" s="585" t="s">
        <v>590</v>
      </c>
      <c r="B7196" s="585"/>
      <c r="C7196" s="585"/>
      <c r="D7196" s="586"/>
      <c r="E7196" s="586"/>
      <c r="F7196" s="586"/>
      <c r="G7196" s="586"/>
      <c r="H7196" s="586"/>
    </row>
    <row r="7197" spans="1:8" s="429" customFormat="1" ht="11.25">
      <c r="A7197" s="431"/>
      <c r="B7197" s="431"/>
      <c r="C7197" s="431"/>
      <c r="D7197" s="432"/>
      <c r="E7197" s="432"/>
      <c r="F7197" s="432"/>
      <c r="G7197" s="432"/>
      <c r="H7197" s="432"/>
    </row>
    <row r="7198" spans="1:8" s="429" customFormat="1" ht="11.25">
      <c r="A7198" s="431"/>
      <c r="B7198" s="431"/>
      <c r="C7198" s="431"/>
      <c r="D7198" s="432"/>
      <c r="E7198" s="432"/>
      <c r="F7198" s="432"/>
      <c r="G7198" s="432"/>
      <c r="H7198" s="432"/>
    </row>
    <row r="7199" spans="1:8" s="429" customFormat="1" ht="11.25">
      <c r="A7199" s="431"/>
      <c r="B7199" s="431"/>
      <c r="C7199" s="431"/>
      <c r="D7199" s="432"/>
      <c r="E7199" s="432"/>
      <c r="F7199" s="432"/>
      <c r="G7199" s="432"/>
      <c r="H7199" s="432"/>
    </row>
    <row r="7200" spans="1:8" s="422" customFormat="1" ht="9" customHeight="1"/>
    <row r="7201" spans="1:8" s="422" customFormat="1" ht="11.25">
      <c r="A7201" s="421" t="s">
        <v>591</v>
      </c>
      <c r="B7201" s="421"/>
      <c r="C7201" s="421"/>
    </row>
    <row r="7202" spans="1:8" s="429" customFormat="1" ht="11.25">
      <c r="A7202" s="428"/>
      <c r="B7202" s="428"/>
      <c r="C7202" s="428"/>
    </row>
    <row r="7203" spans="1:8" s="429" customFormat="1" ht="11.25">
      <c r="A7203" s="428"/>
      <c r="B7203" s="428"/>
      <c r="C7203" s="428"/>
    </row>
    <row r="7204" spans="1:8" s="429" customFormat="1" ht="11.25">
      <c r="A7204" s="428"/>
      <c r="B7204" s="428"/>
      <c r="C7204" s="428"/>
    </row>
    <row r="7205" spans="1:8" s="429" customFormat="1" ht="11.25">
      <c r="A7205" s="428"/>
      <c r="B7205" s="428"/>
      <c r="C7205" s="428"/>
    </row>
    <row r="7206" spans="1:8" s="429" customFormat="1" ht="11.25">
      <c r="A7206" s="428"/>
      <c r="B7206" s="428"/>
      <c r="C7206" s="428"/>
    </row>
    <row r="7207" spans="1:8" s="422" customFormat="1" ht="9" customHeight="1"/>
    <row r="7208" spans="1:8" s="422" customFormat="1" ht="11.25">
      <c r="A7208" s="433" t="s">
        <v>592</v>
      </c>
      <c r="B7208" s="434"/>
      <c r="C7208" s="434"/>
      <c r="D7208" s="434"/>
      <c r="E7208" s="434"/>
      <c r="F7208" s="434"/>
      <c r="G7208" s="434"/>
      <c r="H7208" s="434"/>
    </row>
    <row r="7209" spans="1:8" s="429" customFormat="1" ht="11.25">
      <c r="A7209" s="435"/>
      <c r="B7209" s="436"/>
      <c r="C7209" s="436"/>
      <c r="D7209" s="436"/>
      <c r="E7209" s="436"/>
      <c r="F7209" s="436"/>
      <c r="G7209" s="436"/>
      <c r="H7209" s="436"/>
    </row>
    <row r="7210" spans="1:8" s="429" customFormat="1" ht="11.25">
      <c r="A7210" s="435"/>
      <c r="B7210" s="436"/>
      <c r="C7210" s="436"/>
      <c r="D7210" s="436"/>
      <c r="E7210" s="436"/>
      <c r="F7210" s="436"/>
      <c r="G7210" s="436"/>
      <c r="H7210" s="436"/>
    </row>
    <row r="7211" spans="1:8" s="422" customFormat="1" ht="11.25">
      <c r="A7211" s="437"/>
      <c r="B7211" s="437"/>
      <c r="C7211" s="437"/>
      <c r="D7211" s="437"/>
      <c r="E7211" s="437"/>
      <c r="F7211" s="437"/>
      <c r="G7211" s="437"/>
      <c r="H7211" s="437"/>
    </row>
    <row r="7212" spans="1:8" s="422" customFormat="1" ht="11.25">
      <c r="A7212" s="421" t="s">
        <v>593</v>
      </c>
      <c r="B7212" s="421"/>
      <c r="C7212" s="421"/>
    </row>
    <row r="7213" spans="1:8" s="422" customFormat="1" ht="11.25">
      <c r="A7213" s="438"/>
      <c r="B7213" s="439" t="s">
        <v>132</v>
      </c>
      <c r="C7213" s="439" t="s">
        <v>473</v>
      </c>
      <c r="D7213" s="439" t="s">
        <v>474</v>
      </c>
      <c r="E7213" s="439" t="s">
        <v>375</v>
      </c>
      <c r="F7213" s="439" t="s">
        <v>9</v>
      </c>
      <c r="G7213" s="439" t="s">
        <v>131</v>
      </c>
      <c r="H7213" s="439" t="s">
        <v>424</v>
      </c>
    </row>
    <row r="7214" spans="1:8" s="422" customFormat="1" ht="11.25">
      <c r="A7214" s="439" t="s">
        <v>394</v>
      </c>
      <c r="B7214" s="438">
        <v>8193024.8599999994</v>
      </c>
      <c r="C7214" s="438">
        <v>8189870.7700000005</v>
      </c>
      <c r="D7214" s="438">
        <v>8427939</v>
      </c>
      <c r="E7214" s="438">
        <v>8184434.1500000004</v>
      </c>
      <c r="F7214" s="438">
        <v>8184723.0099999998</v>
      </c>
      <c r="G7214" s="438">
        <v>8200705.6639999999</v>
      </c>
      <c r="H7214" s="438">
        <v>8205872.4529999997</v>
      </c>
    </row>
    <row r="7215" spans="1:8" s="422" customFormat="1" ht="11.25">
      <c r="A7215" s="439" t="s">
        <v>395</v>
      </c>
      <c r="B7215" s="438">
        <v>-8274069.0800000001</v>
      </c>
      <c r="C7215" s="438">
        <v>-8359156.0999999996</v>
      </c>
      <c r="D7215" s="438">
        <v>-8523486.4000000004</v>
      </c>
      <c r="E7215" s="438">
        <v>-8280600</v>
      </c>
      <c r="F7215" s="438">
        <v>-8281500</v>
      </c>
      <c r="G7215" s="438">
        <v>-8293700</v>
      </c>
      <c r="H7215" s="438">
        <v>-8299700</v>
      </c>
    </row>
    <row r="7216" spans="1:8" s="422" customFormat="1" ht="11.25">
      <c r="A7216" s="439" t="s">
        <v>396</v>
      </c>
      <c r="B7216" s="438">
        <v>-81044.220000000671</v>
      </c>
      <c r="C7216" s="438">
        <v>-169285.32999999914</v>
      </c>
      <c r="D7216" s="438">
        <v>-95547.400000000373</v>
      </c>
      <c r="E7216" s="438">
        <v>-96165.849999999627</v>
      </c>
      <c r="F7216" s="438">
        <v>-96776.990000000224</v>
      </c>
      <c r="G7216" s="438">
        <v>-92994.336000000127</v>
      </c>
      <c r="H7216" s="438">
        <v>-93827.547000000253</v>
      </c>
    </row>
    <row r="7217" spans="1:8" s="442" customFormat="1" ht="11.25">
      <c r="A7217" s="440" t="s">
        <v>397</v>
      </c>
      <c r="B7217" s="441">
        <v>1.0098918557412995</v>
      </c>
      <c r="C7217" s="441">
        <v>1.0206700856160151</v>
      </c>
      <c r="D7217" s="441">
        <v>1.0113369828614089</v>
      </c>
      <c r="E7217" s="441">
        <v>1.0117498471167978</v>
      </c>
      <c r="F7217" s="441">
        <v>1.0118241008134006</v>
      </c>
      <c r="G7217" s="441">
        <v>1.0113397968187339</v>
      </c>
      <c r="H7217" s="441">
        <v>1.01143419514956</v>
      </c>
    </row>
    <row r="7218" spans="1:8" s="422" customFormat="1" ht="11.25"/>
    <row r="7219" spans="1:8" s="422" customFormat="1" ht="11.25">
      <c r="A7219" s="443" t="s">
        <v>594</v>
      </c>
      <c r="B7219" s="443"/>
      <c r="C7219" s="444"/>
    </row>
    <row r="7220" spans="1:8" s="422" customFormat="1" ht="11.25">
      <c r="A7220" s="445" t="s">
        <v>595</v>
      </c>
      <c r="B7220" s="446"/>
      <c r="C7220" s="447"/>
      <c r="D7220" s="439" t="s">
        <v>474</v>
      </c>
      <c r="E7220" s="439" t="s">
        <v>375</v>
      </c>
      <c r="F7220" s="439" t="s">
        <v>9</v>
      </c>
      <c r="G7220" s="439" t="s">
        <v>131</v>
      </c>
      <c r="H7220" s="439" t="s">
        <v>424</v>
      </c>
    </row>
    <row r="7221" spans="1:8" s="422" customFormat="1" ht="11.25">
      <c r="A7221" s="448" t="s">
        <v>826</v>
      </c>
      <c r="B7221" s="449"/>
      <c r="C7221" s="449"/>
      <c r="D7221" s="516">
        <v>1</v>
      </c>
      <c r="E7221" s="516">
        <v>1</v>
      </c>
      <c r="F7221" s="457">
        <v>1</v>
      </c>
      <c r="G7221" s="457">
        <v>1</v>
      </c>
      <c r="H7221" s="457">
        <v>1</v>
      </c>
    </row>
    <row r="7222" spans="1:8" s="422" customFormat="1" ht="11.25">
      <c r="A7222" s="448"/>
      <c r="B7222" s="449"/>
      <c r="C7222" s="449"/>
      <c r="D7222" s="438"/>
      <c r="E7222" s="438"/>
      <c r="F7222" s="438"/>
      <c r="G7222" s="438"/>
      <c r="H7222" s="438"/>
    </row>
    <row r="7223" spans="1:8" s="422" customFormat="1" ht="11.25">
      <c r="A7223" s="448"/>
      <c r="B7223" s="449"/>
      <c r="C7223" s="449"/>
      <c r="D7223" s="438"/>
      <c r="E7223" s="438"/>
      <c r="F7223" s="438"/>
      <c r="G7223" s="438"/>
      <c r="H7223" s="438"/>
    </row>
    <row r="7224" spans="1:8" s="422" customFormat="1" ht="11.25"/>
    <row r="7225" spans="1:8" s="422" customFormat="1" ht="11.25">
      <c r="A7225" s="421" t="s">
        <v>423</v>
      </c>
      <c r="B7225" s="421"/>
      <c r="C7225" s="421"/>
    </row>
    <row r="7226" spans="1:8" s="422" customFormat="1" ht="11.25">
      <c r="A7226" s="450"/>
      <c r="B7226" s="439" t="s">
        <v>132</v>
      </c>
      <c r="C7226" s="439" t="s">
        <v>473</v>
      </c>
      <c r="D7226" s="439" t="s">
        <v>474</v>
      </c>
      <c r="E7226" s="439" t="s">
        <v>375</v>
      </c>
      <c r="F7226" s="439" t="s">
        <v>9</v>
      </c>
      <c r="G7226" s="439" t="s">
        <v>131</v>
      </c>
      <c r="H7226" s="439" t="s">
        <v>424</v>
      </c>
    </row>
    <row r="7227" spans="1:8" s="422" customFormat="1" ht="11.25">
      <c r="A7227" s="451" t="s">
        <v>398</v>
      </c>
      <c r="B7227" s="438">
        <v>0</v>
      </c>
      <c r="C7227" s="438">
        <v>0</v>
      </c>
      <c r="D7227" s="438">
        <v>0</v>
      </c>
      <c r="E7227" s="438">
        <v>100000</v>
      </c>
      <c r="F7227" s="438">
        <v>0</v>
      </c>
      <c r="G7227" s="438">
        <v>0</v>
      </c>
      <c r="H7227" s="438">
        <v>0</v>
      </c>
    </row>
    <row r="7228" spans="1:8" s="422" customFormat="1" ht="11.25">
      <c r="A7228" s="451" t="s">
        <v>399</v>
      </c>
      <c r="B7228" s="438">
        <v>0</v>
      </c>
      <c r="C7228" s="438">
        <v>0</v>
      </c>
      <c r="D7228" s="438">
        <v>0</v>
      </c>
      <c r="E7228" s="438">
        <v>0</v>
      </c>
      <c r="F7228" s="438">
        <v>0</v>
      </c>
      <c r="G7228" s="438">
        <v>0</v>
      </c>
      <c r="H7228" s="438">
        <v>0</v>
      </c>
    </row>
    <row r="7229" spans="1:8" s="422" customFormat="1" ht="11.25">
      <c r="A7229" s="451" t="s">
        <v>400</v>
      </c>
      <c r="B7229" s="438">
        <v>0</v>
      </c>
      <c r="C7229" s="438">
        <v>0</v>
      </c>
      <c r="D7229" s="438">
        <v>0</v>
      </c>
      <c r="E7229" s="438">
        <v>0</v>
      </c>
      <c r="F7229" s="438">
        <v>0</v>
      </c>
      <c r="G7229" s="438">
        <v>0</v>
      </c>
      <c r="H7229" s="438">
        <v>0</v>
      </c>
    </row>
    <row r="7230" spans="1:8" s="422" customFormat="1" ht="11.25">
      <c r="A7230" s="451" t="s">
        <v>401</v>
      </c>
      <c r="B7230" s="438">
        <v>0</v>
      </c>
      <c r="C7230" s="438">
        <v>0</v>
      </c>
      <c r="D7230" s="438">
        <v>0</v>
      </c>
      <c r="E7230" s="438">
        <v>100000</v>
      </c>
      <c r="F7230" s="438">
        <v>0</v>
      </c>
      <c r="G7230" s="438">
        <v>0</v>
      </c>
      <c r="H7230" s="438">
        <v>0</v>
      </c>
    </row>
    <row r="7231" spans="1:8" s="422" customFormat="1" ht="11.25"/>
    <row r="7232" spans="1:8" s="422" customFormat="1" ht="11.25">
      <c r="A7232" s="421" t="s">
        <v>597</v>
      </c>
      <c r="B7232" s="421"/>
      <c r="C7232" s="421"/>
    </row>
    <row r="7233" spans="1:8" s="429" customFormat="1" ht="11.25">
      <c r="A7233" s="428"/>
      <c r="B7233" s="428"/>
      <c r="C7233" s="428"/>
    </row>
    <row r="7234" spans="1:8" s="429" customFormat="1" ht="11.25">
      <c r="A7234" s="428"/>
      <c r="B7234" s="428"/>
      <c r="C7234" s="428"/>
    </row>
    <row r="7235" spans="1:8" s="429" customFormat="1" ht="11.25">
      <c r="A7235" s="428"/>
      <c r="B7235" s="428"/>
      <c r="C7235" s="428"/>
    </row>
    <row r="7236" spans="1:8" s="422" customFormat="1" ht="11.25"/>
    <row r="7237" spans="1:8" s="422" customFormat="1" ht="11.25">
      <c r="A7237" s="421" t="s">
        <v>598</v>
      </c>
      <c r="B7237" s="421"/>
      <c r="C7237" s="421"/>
    </row>
    <row r="7238" spans="1:8" s="422" customFormat="1" ht="11.25">
      <c r="A7238" s="452" t="s">
        <v>599</v>
      </c>
      <c r="B7238" s="447"/>
      <c r="C7238" s="447"/>
      <c r="D7238" s="447"/>
      <c r="E7238" s="439" t="s">
        <v>375</v>
      </c>
      <c r="F7238" s="439" t="s">
        <v>9</v>
      </c>
      <c r="G7238" s="439" t="s">
        <v>131</v>
      </c>
      <c r="H7238" s="439" t="s">
        <v>424</v>
      </c>
    </row>
    <row r="7239" spans="1:8" s="422" customFormat="1" ht="11.25">
      <c r="A7239" s="448"/>
      <c r="B7239" s="449"/>
      <c r="C7239" s="449"/>
      <c r="D7239" s="449"/>
      <c r="E7239" s="438">
        <v>0</v>
      </c>
      <c r="F7239" s="438">
        <v>0</v>
      </c>
      <c r="G7239" s="438">
        <v>0</v>
      </c>
      <c r="H7239" s="438">
        <v>0</v>
      </c>
    </row>
    <row r="7240" spans="1:8" s="421" customFormat="1" ht="11.25">
      <c r="A7240" s="421" t="s">
        <v>391</v>
      </c>
      <c r="D7240" s="421" t="s">
        <v>472</v>
      </c>
    </row>
    <row r="7241" spans="1:8" s="422" customFormat="1" ht="11.25"/>
    <row r="7242" spans="1:8" s="421" customFormat="1" ht="11.25" customHeight="1">
      <c r="A7242" s="423" t="s">
        <v>392</v>
      </c>
      <c r="D7242" s="421" t="s">
        <v>161</v>
      </c>
    </row>
    <row r="7243" spans="1:8" s="421" customFormat="1" ht="10.5" customHeight="1">
      <c r="A7243" s="423"/>
    </row>
    <row r="7244" spans="1:8" s="421" customFormat="1" ht="11.25">
      <c r="A7244" s="424" t="s">
        <v>393</v>
      </c>
      <c r="D7244" s="583" t="s">
        <v>44</v>
      </c>
      <c r="E7244" s="583"/>
      <c r="F7244" s="583"/>
      <c r="G7244" s="583"/>
      <c r="H7244" s="583"/>
    </row>
    <row r="7245" spans="1:8" s="421" customFormat="1" ht="7.5" customHeight="1"/>
    <row r="7246" spans="1:8" s="422" customFormat="1" ht="11.25">
      <c r="A7246" s="421" t="s">
        <v>170</v>
      </c>
      <c r="B7246" s="421"/>
      <c r="C7246" s="421"/>
      <c r="D7246" s="422" t="s">
        <v>353</v>
      </c>
      <c r="E7246" s="422" t="s">
        <v>354</v>
      </c>
    </row>
    <row r="7247" spans="1:8" s="422" customFormat="1" ht="7.5" customHeight="1"/>
    <row r="7248" spans="1:8" s="427" customFormat="1" ht="11.25">
      <c r="A7248" s="425" t="s">
        <v>587</v>
      </c>
      <c r="B7248" s="425"/>
      <c r="C7248" s="425"/>
      <c r="D7248" s="426" t="s">
        <v>1401</v>
      </c>
      <c r="E7248" s="584" t="s">
        <v>1402</v>
      </c>
      <c r="F7248" s="584"/>
      <c r="G7248" s="584"/>
      <c r="H7248" s="584"/>
    </row>
    <row r="7249" spans="1:8" s="427" customFormat="1" ht="11.25">
      <c r="A7249" s="425"/>
      <c r="B7249" s="425"/>
      <c r="C7249" s="425"/>
      <c r="D7249" s="426"/>
      <c r="E7249" s="584"/>
      <c r="F7249" s="584"/>
      <c r="G7249" s="584"/>
      <c r="H7249" s="584"/>
    </row>
    <row r="7250" spans="1:8" s="427" customFormat="1" ht="11.25"/>
    <row r="7251" spans="1:8" s="422" customFormat="1" ht="11.25"/>
    <row r="7252" spans="1:8" s="422" customFormat="1" ht="11.25">
      <c r="A7252" s="421" t="s">
        <v>589</v>
      </c>
      <c r="B7252" s="421"/>
      <c r="C7252" s="421"/>
    </row>
    <row r="7253" spans="1:8" s="429" customFormat="1" ht="11.25">
      <c r="A7253" s="428"/>
      <c r="B7253" s="428"/>
      <c r="C7253" s="428"/>
    </row>
    <row r="7254" spans="1:8" s="429" customFormat="1" ht="11.25">
      <c r="A7254" s="428"/>
      <c r="B7254" s="428"/>
      <c r="C7254" s="428"/>
    </row>
    <row r="7255" spans="1:8" s="429" customFormat="1" ht="11.25">
      <c r="A7255" s="428"/>
      <c r="B7255" s="428"/>
      <c r="C7255" s="428"/>
    </row>
    <row r="7256" spans="1:8" s="429" customFormat="1" ht="11.25">
      <c r="A7256" s="428"/>
      <c r="B7256" s="428"/>
      <c r="C7256" s="428"/>
    </row>
    <row r="7257" spans="1:8" s="429" customFormat="1" ht="11.25">
      <c r="A7257" s="428"/>
      <c r="B7257" s="428"/>
      <c r="C7257" s="428"/>
    </row>
    <row r="7258" spans="1:8" s="429" customFormat="1" ht="11.25">
      <c r="A7258" s="428"/>
      <c r="B7258" s="428"/>
      <c r="C7258" s="428"/>
    </row>
    <row r="7259" spans="1:8" s="422" customFormat="1" ht="9" customHeight="1">
      <c r="A7259" s="430"/>
      <c r="B7259" s="430"/>
      <c r="C7259" s="430"/>
      <c r="D7259" s="430"/>
      <c r="E7259" s="430"/>
      <c r="F7259" s="430"/>
      <c r="G7259" s="430"/>
      <c r="H7259" s="430"/>
    </row>
    <row r="7260" spans="1:8" s="422" customFormat="1" ht="22.5" customHeight="1">
      <c r="A7260" s="585" t="s">
        <v>590</v>
      </c>
      <c r="B7260" s="585"/>
      <c r="C7260" s="585"/>
      <c r="D7260" s="586"/>
      <c r="E7260" s="586"/>
      <c r="F7260" s="586"/>
      <c r="G7260" s="586"/>
      <c r="H7260" s="586"/>
    </row>
    <row r="7261" spans="1:8" s="429" customFormat="1" ht="11.25">
      <c r="A7261" s="431"/>
      <c r="B7261" s="431"/>
      <c r="C7261" s="431"/>
      <c r="D7261" s="432"/>
      <c r="E7261" s="432"/>
      <c r="F7261" s="432"/>
      <c r="G7261" s="432"/>
      <c r="H7261" s="432"/>
    </row>
    <row r="7262" spans="1:8" s="429" customFormat="1" ht="11.25">
      <c r="A7262" s="431"/>
      <c r="B7262" s="431"/>
      <c r="C7262" s="431"/>
      <c r="D7262" s="432"/>
      <c r="E7262" s="432"/>
      <c r="F7262" s="432"/>
      <c r="G7262" s="432"/>
      <c r="H7262" s="432"/>
    </row>
    <row r="7263" spans="1:8" s="429" customFormat="1" ht="11.25">
      <c r="A7263" s="431"/>
      <c r="B7263" s="431"/>
      <c r="C7263" s="431"/>
      <c r="D7263" s="432"/>
      <c r="E7263" s="432"/>
      <c r="F7263" s="432"/>
      <c r="G7263" s="432"/>
      <c r="H7263" s="432"/>
    </row>
    <row r="7264" spans="1:8" s="429" customFormat="1" ht="11.25">
      <c r="A7264" s="431"/>
      <c r="B7264" s="431"/>
      <c r="C7264" s="431"/>
      <c r="D7264" s="432"/>
      <c r="E7264" s="432"/>
      <c r="F7264" s="432"/>
      <c r="G7264" s="432"/>
      <c r="H7264" s="432"/>
    </row>
    <row r="7265" spans="1:8" s="422" customFormat="1" ht="9" customHeight="1"/>
    <row r="7266" spans="1:8" s="422" customFormat="1" ht="11.25">
      <c r="A7266" s="421" t="s">
        <v>591</v>
      </c>
      <c r="B7266" s="421"/>
      <c r="C7266" s="421"/>
    </row>
    <row r="7267" spans="1:8" s="429" customFormat="1" ht="11.25">
      <c r="A7267" s="428"/>
      <c r="B7267" s="428"/>
      <c r="C7267" s="428"/>
    </row>
    <row r="7268" spans="1:8" s="429" customFormat="1" ht="11.25">
      <c r="A7268" s="428"/>
      <c r="B7268" s="428"/>
      <c r="C7268" s="428"/>
    </row>
    <row r="7269" spans="1:8" s="429" customFormat="1" ht="11.25">
      <c r="A7269" s="428"/>
      <c r="B7269" s="428"/>
      <c r="C7269" s="428"/>
    </row>
    <row r="7270" spans="1:8" s="429" customFormat="1" ht="11.25">
      <c r="A7270" s="428"/>
      <c r="B7270" s="428"/>
      <c r="C7270" s="428"/>
    </row>
    <row r="7271" spans="1:8" s="429" customFormat="1" ht="11.25">
      <c r="A7271" s="428"/>
      <c r="B7271" s="428"/>
      <c r="C7271" s="428"/>
    </row>
    <row r="7272" spans="1:8" s="422" customFormat="1" ht="9" customHeight="1"/>
    <row r="7273" spans="1:8" s="422" customFormat="1" ht="11.25">
      <c r="A7273" s="433" t="s">
        <v>592</v>
      </c>
      <c r="B7273" s="434"/>
      <c r="C7273" s="434"/>
      <c r="D7273" s="434"/>
      <c r="E7273" s="434"/>
      <c r="F7273" s="434"/>
      <c r="G7273" s="434"/>
      <c r="H7273" s="434"/>
    </row>
    <row r="7274" spans="1:8" s="429" customFormat="1" ht="11.25">
      <c r="A7274" s="435"/>
      <c r="B7274" s="436"/>
      <c r="C7274" s="436"/>
      <c r="D7274" s="436"/>
      <c r="E7274" s="436"/>
      <c r="F7274" s="436"/>
      <c r="G7274" s="436"/>
      <c r="H7274" s="436"/>
    </row>
    <row r="7275" spans="1:8" s="429" customFormat="1" ht="11.25">
      <c r="A7275" s="435"/>
      <c r="B7275" s="436"/>
      <c r="C7275" s="436"/>
      <c r="D7275" s="436"/>
      <c r="E7275" s="436"/>
      <c r="F7275" s="436"/>
      <c r="G7275" s="436"/>
      <c r="H7275" s="436"/>
    </row>
    <row r="7276" spans="1:8" s="422" customFormat="1" ht="11.25">
      <c r="A7276" s="437"/>
      <c r="B7276" s="437"/>
      <c r="C7276" s="437"/>
      <c r="D7276" s="437"/>
      <c r="E7276" s="437"/>
      <c r="F7276" s="437"/>
      <c r="G7276" s="437"/>
      <c r="H7276" s="437"/>
    </row>
    <row r="7277" spans="1:8" s="422" customFormat="1" ht="11.25">
      <c r="A7277" s="421" t="s">
        <v>593</v>
      </c>
      <c r="B7277" s="421"/>
      <c r="C7277" s="421"/>
    </row>
    <row r="7278" spans="1:8" s="422" customFormat="1" ht="11.25">
      <c r="A7278" s="438"/>
      <c r="B7278" s="439" t="s">
        <v>132</v>
      </c>
      <c r="C7278" s="439" t="s">
        <v>473</v>
      </c>
      <c r="D7278" s="439" t="s">
        <v>474</v>
      </c>
      <c r="E7278" s="439" t="s">
        <v>375</v>
      </c>
      <c r="F7278" s="439" t="s">
        <v>9</v>
      </c>
      <c r="G7278" s="439" t="s">
        <v>131</v>
      </c>
      <c r="H7278" s="439" t="s">
        <v>424</v>
      </c>
    </row>
    <row r="7279" spans="1:8" s="422" customFormat="1" ht="11.25">
      <c r="A7279" s="439" t="s">
        <v>394</v>
      </c>
      <c r="B7279" s="438">
        <v>769470.15</v>
      </c>
      <c r="C7279" s="438">
        <v>707193.01</v>
      </c>
      <c r="D7279" s="438">
        <v>743055.64</v>
      </c>
      <c r="E7279" s="438">
        <v>740929.59000000008</v>
      </c>
      <c r="F7279" s="438">
        <v>741016.45</v>
      </c>
      <c r="G7279" s="438">
        <v>746932.03200000001</v>
      </c>
      <c r="H7279" s="438">
        <v>748489.69799999997</v>
      </c>
    </row>
    <row r="7280" spans="1:8" s="422" customFormat="1" ht="11.25">
      <c r="A7280" s="439" t="s">
        <v>395</v>
      </c>
      <c r="B7280" s="438">
        <v>-780692.33</v>
      </c>
      <c r="C7280" s="438">
        <v>-729127.59</v>
      </c>
      <c r="D7280" s="438">
        <v>-751692.96</v>
      </c>
      <c r="E7280" s="438">
        <v>-742000</v>
      </c>
      <c r="F7280" s="438">
        <v>-742000</v>
      </c>
      <c r="G7280" s="438">
        <v>-747000</v>
      </c>
      <c r="H7280" s="438">
        <v>-749000</v>
      </c>
    </row>
    <row r="7281" spans="1:8" s="422" customFormat="1" ht="11.25">
      <c r="A7281" s="439" t="s">
        <v>396</v>
      </c>
      <c r="B7281" s="438">
        <v>-11222.179999999935</v>
      </c>
      <c r="C7281" s="438">
        <v>-21934.579999999958</v>
      </c>
      <c r="D7281" s="438">
        <v>-8637.3199999999488</v>
      </c>
      <c r="E7281" s="438">
        <v>-1070.4099999999162</v>
      </c>
      <c r="F7281" s="438">
        <v>-983.55000000004657</v>
      </c>
      <c r="G7281" s="438">
        <v>-67.967999999993481</v>
      </c>
      <c r="H7281" s="438">
        <v>-510.30200000002515</v>
      </c>
    </row>
    <row r="7282" spans="1:8" s="442" customFormat="1" ht="11.25">
      <c r="A7282" s="440" t="s">
        <v>397</v>
      </c>
      <c r="B7282" s="441">
        <v>1.0145842954401805</v>
      </c>
      <c r="C7282" s="441">
        <v>1.0310163981965828</v>
      </c>
      <c r="D7282" s="441">
        <v>1.0116240555014158</v>
      </c>
      <c r="E7282" s="441">
        <v>1.0014446851825689</v>
      </c>
      <c r="F7282" s="441">
        <v>1.0013272984695549</v>
      </c>
      <c r="G7282" s="441">
        <v>1.000090996231368</v>
      </c>
      <c r="H7282" s="441">
        <v>1.0006817755827015</v>
      </c>
    </row>
    <row r="7283" spans="1:8" s="422" customFormat="1" ht="11.25"/>
    <row r="7284" spans="1:8" s="422" customFormat="1" ht="11.25">
      <c r="A7284" s="443" t="s">
        <v>594</v>
      </c>
      <c r="B7284" s="443"/>
      <c r="C7284" s="444"/>
    </row>
    <row r="7285" spans="1:8" s="422" customFormat="1" ht="11.25">
      <c r="A7285" s="445" t="s">
        <v>595</v>
      </c>
      <c r="B7285" s="446"/>
      <c r="C7285" s="447"/>
      <c r="D7285" s="439" t="s">
        <v>474</v>
      </c>
      <c r="E7285" s="439" t="s">
        <v>375</v>
      </c>
      <c r="F7285" s="439" t="s">
        <v>9</v>
      </c>
      <c r="G7285" s="439" t="s">
        <v>131</v>
      </c>
      <c r="H7285" s="439" t="s">
        <v>424</v>
      </c>
    </row>
    <row r="7286" spans="1:8" s="422" customFormat="1" ht="11.25">
      <c r="A7286" s="448" t="s">
        <v>826</v>
      </c>
      <c r="B7286" s="449"/>
      <c r="C7286" s="449"/>
      <c r="D7286" s="457">
        <v>1</v>
      </c>
      <c r="E7286" s="457">
        <v>1</v>
      </c>
      <c r="F7286" s="457">
        <v>1</v>
      </c>
      <c r="G7286" s="457">
        <v>1</v>
      </c>
      <c r="H7286" s="457">
        <v>1</v>
      </c>
    </row>
    <row r="7287" spans="1:8" s="422" customFormat="1" ht="11.25">
      <c r="A7287" s="448"/>
      <c r="B7287" s="449"/>
      <c r="C7287" s="449"/>
      <c r="D7287" s="438"/>
      <c r="E7287" s="438"/>
      <c r="F7287" s="438"/>
      <c r="G7287" s="438"/>
      <c r="H7287" s="438"/>
    </row>
    <row r="7288" spans="1:8" s="422" customFormat="1" ht="11.25">
      <c r="A7288" s="448"/>
      <c r="B7288" s="449"/>
      <c r="C7288" s="449"/>
      <c r="D7288" s="438"/>
      <c r="E7288" s="438"/>
      <c r="F7288" s="438"/>
      <c r="G7288" s="438"/>
      <c r="H7288" s="438"/>
    </row>
    <row r="7289" spans="1:8" s="422" customFormat="1" ht="11.25"/>
    <row r="7290" spans="1:8" s="422" customFormat="1" ht="11.25">
      <c r="A7290" s="421" t="s">
        <v>423</v>
      </c>
      <c r="B7290" s="421"/>
      <c r="C7290" s="421"/>
    </row>
    <row r="7291" spans="1:8" s="422" customFormat="1" ht="11.25">
      <c r="A7291" s="450"/>
      <c r="B7291" s="439" t="s">
        <v>132</v>
      </c>
      <c r="C7291" s="439" t="s">
        <v>473</v>
      </c>
      <c r="D7291" s="439" t="s">
        <v>474</v>
      </c>
      <c r="E7291" s="439" t="s">
        <v>375</v>
      </c>
      <c r="F7291" s="439" t="s">
        <v>9</v>
      </c>
      <c r="G7291" s="439" t="s">
        <v>131</v>
      </c>
      <c r="H7291" s="439" t="s">
        <v>424</v>
      </c>
    </row>
    <row r="7292" spans="1:8" s="422" customFormat="1" ht="11.25">
      <c r="A7292" s="451" t="s">
        <v>398</v>
      </c>
      <c r="B7292" s="438">
        <v>0</v>
      </c>
      <c r="C7292" s="438">
        <v>0</v>
      </c>
      <c r="D7292" s="438">
        <v>0</v>
      </c>
      <c r="E7292" s="438">
        <v>0</v>
      </c>
      <c r="F7292" s="438">
        <v>0</v>
      </c>
      <c r="G7292" s="438">
        <v>0</v>
      </c>
      <c r="H7292" s="438">
        <v>0</v>
      </c>
    </row>
    <row r="7293" spans="1:8" s="422" customFormat="1" ht="11.25">
      <c r="A7293" s="451" t="s">
        <v>399</v>
      </c>
      <c r="B7293" s="438">
        <v>0</v>
      </c>
      <c r="C7293" s="438">
        <v>0</v>
      </c>
      <c r="D7293" s="438">
        <v>0</v>
      </c>
      <c r="E7293" s="438">
        <v>0</v>
      </c>
      <c r="F7293" s="438">
        <v>0</v>
      </c>
      <c r="G7293" s="438">
        <v>0</v>
      </c>
      <c r="H7293" s="438">
        <v>0</v>
      </c>
    </row>
    <row r="7294" spans="1:8" s="422" customFormat="1" ht="11.25">
      <c r="A7294" s="451" t="s">
        <v>400</v>
      </c>
      <c r="B7294" s="438">
        <v>0</v>
      </c>
      <c r="C7294" s="438">
        <v>0</v>
      </c>
      <c r="D7294" s="438">
        <v>0</v>
      </c>
      <c r="E7294" s="438">
        <v>0</v>
      </c>
      <c r="F7294" s="438">
        <v>0</v>
      </c>
      <c r="G7294" s="438">
        <v>0</v>
      </c>
      <c r="H7294" s="438">
        <v>0</v>
      </c>
    </row>
    <row r="7295" spans="1:8" s="422" customFormat="1" ht="11.25">
      <c r="A7295" s="451" t="s">
        <v>401</v>
      </c>
      <c r="B7295" s="438">
        <v>0</v>
      </c>
      <c r="C7295" s="438">
        <v>0</v>
      </c>
      <c r="D7295" s="438">
        <v>0</v>
      </c>
      <c r="E7295" s="438">
        <v>0</v>
      </c>
      <c r="F7295" s="438">
        <v>0</v>
      </c>
      <c r="G7295" s="438">
        <v>0</v>
      </c>
      <c r="H7295" s="438">
        <v>0</v>
      </c>
    </row>
    <row r="7296" spans="1:8" s="422" customFormat="1" ht="11.25"/>
    <row r="7297" spans="1:8" s="422" customFormat="1" ht="11.25">
      <c r="A7297" s="421" t="s">
        <v>597</v>
      </c>
      <c r="B7297" s="421"/>
      <c r="C7297" s="421"/>
    </row>
    <row r="7298" spans="1:8" s="429" customFormat="1" ht="11.25">
      <c r="A7298" s="428"/>
      <c r="B7298" s="428"/>
      <c r="C7298" s="428"/>
    </row>
    <row r="7299" spans="1:8" s="429" customFormat="1" ht="11.25">
      <c r="A7299" s="428"/>
      <c r="B7299" s="428"/>
      <c r="C7299" s="428"/>
    </row>
    <row r="7300" spans="1:8" s="429" customFormat="1" ht="11.25">
      <c r="A7300" s="428"/>
      <c r="B7300" s="428"/>
      <c r="C7300" s="428"/>
    </row>
    <row r="7301" spans="1:8" s="422" customFormat="1" ht="11.25"/>
    <row r="7302" spans="1:8" s="422" customFormat="1" ht="11.25">
      <c r="A7302" s="421" t="s">
        <v>598</v>
      </c>
      <c r="B7302" s="421"/>
      <c r="C7302" s="421"/>
    </row>
    <row r="7303" spans="1:8" s="422" customFormat="1" ht="11.25">
      <c r="A7303" s="452" t="s">
        <v>599</v>
      </c>
      <c r="B7303" s="447"/>
      <c r="C7303" s="447"/>
      <c r="D7303" s="447"/>
      <c r="E7303" s="439" t="s">
        <v>375</v>
      </c>
      <c r="F7303" s="439" t="s">
        <v>9</v>
      </c>
      <c r="G7303" s="439" t="s">
        <v>131</v>
      </c>
      <c r="H7303" s="439" t="s">
        <v>424</v>
      </c>
    </row>
    <row r="7304" spans="1:8" s="422" customFormat="1" ht="11.25">
      <c r="A7304" s="448"/>
      <c r="B7304" s="449"/>
      <c r="C7304" s="449"/>
      <c r="D7304" s="449"/>
      <c r="E7304" s="438">
        <v>0</v>
      </c>
      <c r="F7304" s="438">
        <v>0</v>
      </c>
      <c r="G7304" s="438">
        <v>0</v>
      </c>
      <c r="H7304" s="438">
        <v>0</v>
      </c>
    </row>
    <row r="7305" spans="1:8" s="422" customFormat="1" ht="11.25">
      <c r="A7305" s="448"/>
      <c r="B7305" s="449"/>
      <c r="C7305" s="449"/>
      <c r="D7305" s="449"/>
      <c r="E7305" s="438">
        <v>0</v>
      </c>
      <c r="F7305" s="438">
        <v>0</v>
      </c>
      <c r="G7305" s="438">
        <v>0</v>
      </c>
      <c r="H7305" s="438">
        <v>0</v>
      </c>
    </row>
    <row r="7306" spans="1:8" s="422" customFormat="1" ht="11.25">
      <c r="A7306" s="448"/>
      <c r="B7306" s="449"/>
      <c r="C7306" s="449"/>
      <c r="D7306" s="449"/>
      <c r="E7306" s="438">
        <v>0</v>
      </c>
      <c r="F7306" s="438">
        <v>0</v>
      </c>
      <c r="G7306" s="438">
        <v>0</v>
      </c>
      <c r="H7306" s="438">
        <v>0</v>
      </c>
    </row>
    <row r="7307" spans="1:8" s="421" customFormat="1" ht="11.25">
      <c r="A7307" s="421" t="s">
        <v>391</v>
      </c>
      <c r="D7307" s="421" t="s">
        <v>472</v>
      </c>
    </row>
    <row r="7308" spans="1:8" s="422" customFormat="1" ht="11.25"/>
    <row r="7309" spans="1:8" s="421" customFormat="1" ht="11.25" customHeight="1">
      <c r="A7309" s="423" t="s">
        <v>392</v>
      </c>
      <c r="D7309" s="421" t="s">
        <v>161</v>
      </c>
    </row>
    <row r="7310" spans="1:8" s="421" customFormat="1" ht="7.5" customHeight="1">
      <c r="A7310" s="423"/>
    </row>
    <row r="7311" spans="1:8" s="421" customFormat="1" ht="11.25">
      <c r="A7311" s="424" t="s">
        <v>393</v>
      </c>
      <c r="D7311" s="583" t="s">
        <v>44</v>
      </c>
      <c r="E7311" s="583"/>
      <c r="F7311" s="583"/>
      <c r="G7311" s="583"/>
      <c r="H7311" s="583"/>
    </row>
    <row r="7312" spans="1:8" s="421" customFormat="1" ht="10.5" customHeight="1"/>
    <row r="7313" spans="1:8" s="422" customFormat="1" ht="11.25">
      <c r="A7313" s="421" t="s">
        <v>170</v>
      </c>
      <c r="B7313" s="421"/>
      <c r="C7313" s="421"/>
      <c r="D7313" s="422" t="s">
        <v>355</v>
      </c>
      <c r="E7313" s="422" t="s">
        <v>171</v>
      </c>
    </row>
    <row r="7314" spans="1:8" s="422" customFormat="1" ht="7.5" customHeight="1"/>
    <row r="7315" spans="1:8" s="427" customFormat="1" ht="11.25">
      <c r="A7315" s="425" t="s">
        <v>587</v>
      </c>
      <c r="B7315" s="425"/>
      <c r="C7315" s="425"/>
      <c r="D7315" s="426" t="s">
        <v>1403</v>
      </c>
      <c r="E7315" s="584" t="s">
        <v>1404</v>
      </c>
      <c r="F7315" s="584"/>
      <c r="G7315" s="584"/>
      <c r="H7315" s="584"/>
    </row>
    <row r="7316" spans="1:8" s="427" customFormat="1" ht="11.25">
      <c r="A7316" s="425"/>
      <c r="B7316" s="425"/>
      <c r="C7316" s="425"/>
      <c r="D7316" s="426" t="s">
        <v>1405</v>
      </c>
      <c r="E7316" s="584" t="s">
        <v>1406</v>
      </c>
      <c r="F7316" s="584"/>
      <c r="G7316" s="584"/>
      <c r="H7316" s="584"/>
    </row>
    <row r="7317" spans="1:8" s="427" customFormat="1" ht="11.25">
      <c r="A7317" s="425"/>
      <c r="B7317" s="425"/>
      <c r="C7317" s="425"/>
      <c r="D7317" s="426"/>
      <c r="E7317" s="584"/>
      <c r="F7317" s="584"/>
      <c r="G7317" s="584"/>
      <c r="H7317" s="584"/>
    </row>
    <row r="7318" spans="1:8" s="427" customFormat="1" ht="11.25"/>
    <row r="7319" spans="1:8" s="422" customFormat="1" ht="11.25"/>
    <row r="7320" spans="1:8" s="422" customFormat="1" ht="11.25">
      <c r="A7320" s="421" t="s">
        <v>589</v>
      </c>
      <c r="B7320" s="421"/>
      <c r="C7320" s="421"/>
    </row>
    <row r="7321" spans="1:8" s="429" customFormat="1" ht="11.25">
      <c r="A7321" s="428"/>
      <c r="B7321" s="428"/>
      <c r="C7321" s="428"/>
    </row>
    <row r="7322" spans="1:8" s="429" customFormat="1" ht="11.25">
      <c r="A7322" s="428"/>
      <c r="B7322" s="428"/>
      <c r="C7322" s="428"/>
    </row>
    <row r="7323" spans="1:8" s="429" customFormat="1" ht="11.25">
      <c r="A7323" s="428"/>
      <c r="B7323" s="428"/>
      <c r="C7323" s="428"/>
    </row>
    <row r="7324" spans="1:8" s="429" customFormat="1" ht="11.25">
      <c r="A7324" s="428"/>
      <c r="B7324" s="428"/>
      <c r="C7324" s="428"/>
    </row>
    <row r="7325" spans="1:8" s="429" customFormat="1" ht="11.25">
      <c r="A7325" s="428"/>
      <c r="B7325" s="428"/>
      <c r="C7325" s="428"/>
    </row>
    <row r="7326" spans="1:8" s="429" customFormat="1" ht="11.25">
      <c r="A7326" s="428"/>
      <c r="B7326" s="428"/>
      <c r="C7326" s="428"/>
    </row>
    <row r="7327" spans="1:8" s="422" customFormat="1" ht="9" customHeight="1">
      <c r="A7327" s="430"/>
      <c r="B7327" s="430"/>
      <c r="C7327" s="430"/>
      <c r="D7327" s="430"/>
      <c r="E7327" s="430"/>
      <c r="F7327" s="430"/>
      <c r="G7327" s="430"/>
      <c r="H7327" s="430"/>
    </row>
    <row r="7328" spans="1:8" s="422" customFormat="1" ht="22.5" customHeight="1">
      <c r="A7328" s="585" t="s">
        <v>590</v>
      </c>
      <c r="B7328" s="585"/>
      <c r="C7328" s="585"/>
      <c r="D7328" s="586"/>
      <c r="E7328" s="586"/>
      <c r="F7328" s="586"/>
      <c r="G7328" s="586"/>
      <c r="H7328" s="586"/>
    </row>
    <row r="7329" spans="1:8" s="429" customFormat="1" ht="11.25">
      <c r="A7329" s="431"/>
      <c r="B7329" s="431"/>
      <c r="C7329" s="431"/>
      <c r="D7329" s="432"/>
      <c r="E7329" s="432"/>
      <c r="F7329" s="432"/>
      <c r="G7329" s="432"/>
      <c r="H7329" s="432"/>
    </row>
    <row r="7330" spans="1:8" s="429" customFormat="1" ht="11.25">
      <c r="A7330" s="431"/>
      <c r="B7330" s="431"/>
      <c r="C7330" s="431"/>
      <c r="D7330" s="432"/>
      <c r="E7330" s="432"/>
      <c r="F7330" s="432"/>
      <c r="G7330" s="432"/>
      <c r="H7330" s="432"/>
    </row>
    <row r="7331" spans="1:8" s="429" customFormat="1" ht="11.25">
      <c r="A7331" s="431"/>
      <c r="B7331" s="431"/>
      <c r="C7331" s="431"/>
      <c r="D7331" s="432"/>
      <c r="E7331" s="432"/>
      <c r="F7331" s="432"/>
      <c r="G7331" s="432"/>
      <c r="H7331" s="432"/>
    </row>
    <row r="7332" spans="1:8" s="429" customFormat="1" ht="11.25">
      <c r="A7332" s="431"/>
      <c r="B7332" s="431"/>
      <c r="C7332" s="431"/>
      <c r="D7332" s="432"/>
      <c r="E7332" s="432"/>
      <c r="F7332" s="432"/>
      <c r="G7332" s="432"/>
      <c r="H7332" s="432"/>
    </row>
    <row r="7333" spans="1:8" s="422" customFormat="1" ht="9" customHeight="1"/>
    <row r="7334" spans="1:8" s="422" customFormat="1" ht="11.25">
      <c r="A7334" s="421" t="s">
        <v>591</v>
      </c>
      <c r="B7334" s="421"/>
      <c r="C7334" s="421"/>
    </row>
    <row r="7335" spans="1:8" s="429" customFormat="1" ht="11.25">
      <c r="A7335" s="428"/>
      <c r="B7335" s="428"/>
      <c r="C7335" s="428"/>
    </row>
    <row r="7336" spans="1:8" s="429" customFormat="1" ht="11.25">
      <c r="A7336" s="428"/>
      <c r="B7336" s="428"/>
      <c r="C7336" s="428"/>
    </row>
    <row r="7337" spans="1:8" s="429" customFormat="1" ht="11.25">
      <c r="A7337" s="428"/>
      <c r="B7337" s="428"/>
      <c r="C7337" s="428"/>
    </row>
    <row r="7338" spans="1:8" s="429" customFormat="1" ht="11.25">
      <c r="A7338" s="428"/>
      <c r="B7338" s="428"/>
      <c r="C7338" s="428"/>
    </row>
    <row r="7339" spans="1:8" s="429" customFormat="1" ht="11.25">
      <c r="A7339" s="428"/>
      <c r="B7339" s="428"/>
      <c r="C7339" s="428"/>
    </row>
    <row r="7340" spans="1:8" s="422" customFormat="1" ht="9" customHeight="1"/>
    <row r="7341" spans="1:8" s="422" customFormat="1" ht="11.25" customHeight="1">
      <c r="A7341" s="433" t="s">
        <v>592</v>
      </c>
      <c r="B7341" s="434"/>
      <c r="C7341" s="434"/>
      <c r="D7341" s="434"/>
      <c r="E7341" s="434"/>
      <c r="F7341" s="434"/>
      <c r="G7341" s="434"/>
      <c r="H7341" s="434"/>
    </row>
    <row r="7342" spans="1:8" s="429" customFormat="1" ht="11.25">
      <c r="A7342" s="435"/>
      <c r="B7342" s="436"/>
      <c r="C7342" s="436"/>
      <c r="D7342" s="436"/>
      <c r="E7342" s="436"/>
      <c r="F7342" s="436"/>
      <c r="G7342" s="436"/>
      <c r="H7342" s="436"/>
    </row>
    <row r="7343" spans="1:8" s="429" customFormat="1" ht="11.25">
      <c r="A7343" s="435"/>
      <c r="B7343" s="436"/>
      <c r="C7343" s="436"/>
      <c r="D7343" s="436"/>
      <c r="E7343" s="436"/>
      <c r="F7343" s="436"/>
      <c r="G7343" s="436"/>
      <c r="H7343" s="436"/>
    </row>
    <row r="7344" spans="1:8" s="422" customFormat="1" ht="11.25">
      <c r="A7344" s="437"/>
      <c r="B7344" s="437"/>
      <c r="C7344" s="437"/>
      <c r="D7344" s="437"/>
      <c r="E7344" s="437"/>
      <c r="F7344" s="437"/>
      <c r="G7344" s="437"/>
      <c r="H7344" s="437"/>
    </row>
    <row r="7345" spans="1:8" s="422" customFormat="1" ht="18.75" customHeight="1">
      <c r="A7345" s="421" t="s">
        <v>593</v>
      </c>
      <c r="B7345" s="421"/>
      <c r="C7345" s="421"/>
    </row>
    <row r="7346" spans="1:8" s="422" customFormat="1" ht="11.25">
      <c r="A7346" s="438"/>
      <c r="B7346" s="439" t="s">
        <v>132</v>
      </c>
      <c r="C7346" s="439" t="s">
        <v>473</v>
      </c>
      <c r="D7346" s="439" t="s">
        <v>474</v>
      </c>
      <c r="E7346" s="439" t="s">
        <v>375</v>
      </c>
      <c r="F7346" s="439" t="s">
        <v>9</v>
      </c>
      <c r="G7346" s="439" t="s">
        <v>131</v>
      </c>
      <c r="H7346" s="439" t="s">
        <v>424</v>
      </c>
    </row>
    <row r="7347" spans="1:8" s="422" customFormat="1" ht="11.25">
      <c r="A7347" s="439" t="s">
        <v>394</v>
      </c>
      <c r="B7347" s="438">
        <v>1708195.4800000002</v>
      </c>
      <c r="C7347" s="438">
        <v>1809325.36</v>
      </c>
      <c r="D7347" s="438">
        <v>1543161.4</v>
      </c>
      <c r="E7347" s="438">
        <v>1469719.46</v>
      </c>
      <c r="F7347" s="438">
        <v>1469791.17</v>
      </c>
      <c r="G7347" s="438">
        <v>1474027.9679999999</v>
      </c>
      <c r="H7347" s="438">
        <v>1475316.4990000001</v>
      </c>
    </row>
    <row r="7348" spans="1:8" s="422" customFormat="1" ht="11.25">
      <c r="A7348" s="439" t="s">
        <v>395</v>
      </c>
      <c r="B7348" s="438">
        <v>-1597080.1900000002</v>
      </c>
      <c r="C7348" s="438">
        <v>-1696019.27</v>
      </c>
      <c r="D7348" s="438">
        <v>-1438976.68</v>
      </c>
      <c r="E7348" s="438">
        <v>-1373983</v>
      </c>
      <c r="F7348" s="438">
        <v>-1374031</v>
      </c>
      <c r="G7348" s="438">
        <v>-1383966</v>
      </c>
      <c r="H7348" s="438">
        <v>-1383979</v>
      </c>
    </row>
    <row r="7349" spans="1:8" s="422" customFormat="1" ht="11.25">
      <c r="A7349" s="439" t="s">
        <v>396</v>
      </c>
      <c r="B7349" s="438">
        <v>111115.29000000004</v>
      </c>
      <c r="C7349" s="438">
        <v>113306.09000000008</v>
      </c>
      <c r="D7349" s="438">
        <v>104184.71999999997</v>
      </c>
      <c r="E7349" s="438">
        <v>95736.459999999963</v>
      </c>
      <c r="F7349" s="438">
        <v>95760.169999999925</v>
      </c>
      <c r="G7349" s="438">
        <v>90061.967999999877</v>
      </c>
      <c r="H7349" s="438">
        <v>91337.499000000069</v>
      </c>
    </row>
    <row r="7350" spans="1:8" s="442" customFormat="1" ht="11.25">
      <c r="A7350" s="440" t="s">
        <v>397</v>
      </c>
      <c r="B7350" s="441">
        <v>0.93495165436218108</v>
      </c>
      <c r="C7350" s="441">
        <v>0.93737660870458361</v>
      </c>
      <c r="D7350" s="441">
        <v>0.93248618064189526</v>
      </c>
      <c r="E7350" s="441">
        <v>0.9348607250529295</v>
      </c>
      <c r="F7350" s="441">
        <v>0.93484777160554045</v>
      </c>
      <c r="G7350" s="441">
        <v>0.93890077396414784</v>
      </c>
      <c r="H7350" s="441">
        <v>0.9380895563345828</v>
      </c>
    </row>
    <row r="7351" spans="1:8" s="422" customFormat="1" ht="11.25"/>
    <row r="7352" spans="1:8" s="422" customFormat="1" ht="11.25">
      <c r="A7352" s="443" t="s">
        <v>594</v>
      </c>
      <c r="B7352" s="443"/>
      <c r="C7352" s="444"/>
    </row>
    <row r="7353" spans="1:8" s="422" customFormat="1" ht="11.25">
      <c r="A7353" s="445" t="s">
        <v>595</v>
      </c>
      <c r="B7353" s="446"/>
      <c r="C7353" s="447"/>
      <c r="D7353" s="439" t="s">
        <v>474</v>
      </c>
      <c r="E7353" s="439" t="s">
        <v>375</v>
      </c>
      <c r="F7353" s="439" t="s">
        <v>9</v>
      </c>
      <c r="G7353" s="439" t="s">
        <v>131</v>
      </c>
      <c r="H7353" s="439" t="s">
        <v>424</v>
      </c>
    </row>
    <row r="7354" spans="1:8" s="422" customFormat="1" ht="11.25">
      <c r="A7354" s="448" t="s">
        <v>826</v>
      </c>
      <c r="B7354" s="449"/>
      <c r="C7354" s="449"/>
      <c r="D7354" s="457">
        <v>0.93</v>
      </c>
      <c r="E7354" s="457">
        <v>0.93</v>
      </c>
      <c r="F7354" s="457">
        <v>0.93</v>
      </c>
      <c r="G7354" s="457">
        <v>0.93</v>
      </c>
      <c r="H7354" s="457">
        <v>0.93</v>
      </c>
    </row>
    <row r="7355" spans="1:8" s="422" customFormat="1" ht="11.25">
      <c r="A7355" s="448"/>
      <c r="B7355" s="449"/>
      <c r="C7355" s="449"/>
      <c r="D7355" s="438"/>
      <c r="E7355" s="438"/>
      <c r="F7355" s="438"/>
      <c r="G7355" s="438"/>
      <c r="H7355" s="438"/>
    </row>
    <row r="7356" spans="1:8" s="422" customFormat="1" ht="11.25">
      <c r="A7356" s="448"/>
      <c r="B7356" s="449"/>
      <c r="C7356" s="449"/>
      <c r="D7356" s="438"/>
      <c r="E7356" s="438"/>
      <c r="F7356" s="438"/>
      <c r="G7356" s="438"/>
      <c r="H7356" s="438"/>
    </row>
    <row r="7357" spans="1:8" s="422" customFormat="1" ht="11.25"/>
    <row r="7358" spans="1:8" s="422" customFormat="1" ht="11.25">
      <c r="A7358" s="421" t="s">
        <v>423</v>
      </c>
      <c r="B7358" s="421"/>
      <c r="C7358" s="421"/>
    </row>
    <row r="7359" spans="1:8" s="422" customFormat="1" ht="11.25">
      <c r="A7359" s="450"/>
      <c r="B7359" s="439" t="s">
        <v>132</v>
      </c>
      <c r="C7359" s="439" t="s">
        <v>473</v>
      </c>
      <c r="D7359" s="439" t="s">
        <v>474</v>
      </c>
      <c r="E7359" s="439" t="s">
        <v>375</v>
      </c>
      <c r="F7359" s="439" t="s">
        <v>9</v>
      </c>
      <c r="G7359" s="439" t="s">
        <v>131</v>
      </c>
      <c r="H7359" s="439" t="s">
        <v>424</v>
      </c>
    </row>
    <row r="7360" spans="1:8" s="422" customFormat="1" ht="11.25">
      <c r="A7360" s="451" t="s">
        <v>398</v>
      </c>
      <c r="B7360" s="438">
        <v>0</v>
      </c>
      <c r="C7360" s="438">
        <v>0</v>
      </c>
      <c r="D7360" s="438">
        <v>0</v>
      </c>
      <c r="E7360" s="438">
        <v>0</v>
      </c>
      <c r="F7360" s="438">
        <v>0</v>
      </c>
      <c r="G7360" s="438">
        <v>0</v>
      </c>
      <c r="H7360" s="438">
        <v>0</v>
      </c>
    </row>
    <row r="7361" spans="1:8" s="422" customFormat="1" ht="11.25">
      <c r="A7361" s="451" t="s">
        <v>399</v>
      </c>
      <c r="B7361" s="438">
        <v>0</v>
      </c>
      <c r="C7361" s="438">
        <v>0</v>
      </c>
      <c r="D7361" s="438">
        <v>0</v>
      </c>
      <c r="E7361" s="438">
        <v>0</v>
      </c>
      <c r="F7361" s="438">
        <v>0</v>
      </c>
      <c r="G7361" s="438">
        <v>0</v>
      </c>
      <c r="H7361" s="438">
        <v>0</v>
      </c>
    </row>
    <row r="7362" spans="1:8" s="422" customFormat="1" ht="11.25">
      <c r="A7362" s="451" t="s">
        <v>400</v>
      </c>
      <c r="B7362" s="438">
        <v>0</v>
      </c>
      <c r="C7362" s="438">
        <v>0</v>
      </c>
      <c r="D7362" s="438">
        <v>0</v>
      </c>
      <c r="E7362" s="438">
        <v>0</v>
      </c>
      <c r="F7362" s="438">
        <v>0</v>
      </c>
      <c r="G7362" s="438">
        <v>0</v>
      </c>
      <c r="H7362" s="438">
        <v>0</v>
      </c>
    </row>
    <row r="7363" spans="1:8" s="422" customFormat="1" ht="11.25">
      <c r="A7363" s="451" t="s">
        <v>401</v>
      </c>
      <c r="B7363" s="438">
        <v>0</v>
      </c>
      <c r="C7363" s="438">
        <v>0</v>
      </c>
      <c r="D7363" s="438">
        <v>0</v>
      </c>
      <c r="E7363" s="438">
        <v>0</v>
      </c>
      <c r="F7363" s="438">
        <v>0</v>
      </c>
      <c r="G7363" s="438">
        <v>0</v>
      </c>
      <c r="H7363" s="438">
        <v>0</v>
      </c>
    </row>
    <row r="7364" spans="1:8" s="422" customFormat="1" ht="11.25"/>
    <row r="7365" spans="1:8" s="422" customFormat="1" ht="11.25">
      <c r="A7365" s="421" t="s">
        <v>597</v>
      </c>
      <c r="B7365" s="421"/>
      <c r="C7365" s="421"/>
    </row>
    <row r="7366" spans="1:8" s="429" customFormat="1" ht="11.25">
      <c r="A7366" s="428"/>
      <c r="B7366" s="428"/>
      <c r="C7366" s="428"/>
    </row>
    <row r="7367" spans="1:8" s="429" customFormat="1" ht="11.25">
      <c r="A7367" s="428"/>
      <c r="B7367" s="428"/>
      <c r="C7367" s="428"/>
    </row>
    <row r="7368" spans="1:8" s="429" customFormat="1" ht="5.25" customHeight="1">
      <c r="A7368" s="428"/>
      <c r="B7368" s="428"/>
      <c r="C7368" s="428"/>
    </row>
    <row r="7369" spans="1:8" s="422" customFormat="1" ht="11.25"/>
    <row r="7370" spans="1:8" s="422" customFormat="1" ht="11.25">
      <c r="A7370" s="421" t="s">
        <v>598</v>
      </c>
      <c r="B7370" s="421"/>
      <c r="C7370" s="421"/>
    </row>
    <row r="7371" spans="1:8" s="422" customFormat="1" ht="11.25">
      <c r="A7371" s="452" t="s">
        <v>599</v>
      </c>
      <c r="B7371" s="447"/>
      <c r="C7371" s="447"/>
      <c r="D7371" s="447"/>
      <c r="E7371" s="439" t="s">
        <v>375</v>
      </c>
      <c r="F7371" s="439" t="s">
        <v>9</v>
      </c>
      <c r="G7371" s="439" t="s">
        <v>131</v>
      </c>
      <c r="H7371" s="439" t="s">
        <v>424</v>
      </c>
    </row>
    <row r="7372" spans="1:8" s="422" customFormat="1" ht="11.25">
      <c r="A7372" s="448"/>
      <c r="B7372" s="449"/>
      <c r="C7372" s="449"/>
      <c r="D7372" s="449"/>
      <c r="E7372" s="438">
        <v>0</v>
      </c>
      <c r="F7372" s="438">
        <v>0</v>
      </c>
      <c r="G7372" s="438">
        <v>0</v>
      </c>
      <c r="H7372" s="438">
        <v>0</v>
      </c>
    </row>
    <row r="7373" spans="1:8" s="422" customFormat="1" ht="11.25">
      <c r="A7373" s="448"/>
      <c r="B7373" s="449"/>
      <c r="C7373" s="449"/>
      <c r="D7373" s="449"/>
      <c r="E7373" s="438">
        <v>0</v>
      </c>
      <c r="F7373" s="438">
        <v>0</v>
      </c>
      <c r="G7373" s="438">
        <v>0</v>
      </c>
      <c r="H7373" s="438">
        <v>0</v>
      </c>
    </row>
    <row r="7374" spans="1:8" s="422" customFormat="1" ht="11.25">
      <c r="A7374" s="448"/>
      <c r="B7374" s="449"/>
      <c r="C7374" s="449"/>
      <c r="D7374" s="449"/>
      <c r="E7374" s="438">
        <v>0</v>
      </c>
      <c r="F7374" s="438">
        <v>0</v>
      </c>
      <c r="G7374" s="438">
        <v>0</v>
      </c>
      <c r="H7374" s="438">
        <v>0</v>
      </c>
    </row>
    <row r="7375" spans="1:8" s="421" customFormat="1" ht="11.25">
      <c r="A7375" s="421" t="s">
        <v>391</v>
      </c>
      <c r="D7375" s="421" t="s">
        <v>472</v>
      </c>
    </row>
    <row r="7376" spans="1:8" s="422" customFormat="1" ht="11.25"/>
    <row r="7377" spans="1:8" s="421" customFormat="1" ht="11.25" customHeight="1">
      <c r="A7377" s="423" t="s">
        <v>392</v>
      </c>
      <c r="D7377" s="421" t="s">
        <v>161</v>
      </c>
    </row>
    <row r="7378" spans="1:8" s="421" customFormat="1" ht="7.5" customHeight="1">
      <c r="A7378" s="423"/>
    </row>
    <row r="7379" spans="1:8" s="421" customFormat="1" ht="11.25">
      <c r="A7379" s="424" t="s">
        <v>393</v>
      </c>
      <c r="D7379" s="583" t="s">
        <v>525</v>
      </c>
      <c r="E7379" s="583"/>
      <c r="F7379" s="583"/>
      <c r="G7379" s="583"/>
      <c r="H7379" s="583"/>
    </row>
    <row r="7380" spans="1:8" s="421" customFormat="1" ht="7.5" customHeight="1"/>
    <row r="7381" spans="1:8" s="422" customFormat="1" ht="11.25">
      <c r="A7381" s="421" t="s">
        <v>170</v>
      </c>
      <c r="B7381" s="421"/>
      <c r="C7381" s="421"/>
      <c r="D7381" s="422" t="s">
        <v>520</v>
      </c>
      <c r="E7381" s="422" t="s">
        <v>173</v>
      </c>
    </row>
    <row r="7382" spans="1:8" s="422" customFormat="1" ht="7.5" customHeight="1"/>
    <row r="7383" spans="1:8" s="427" customFormat="1" ht="11.25">
      <c r="A7383" s="425" t="s">
        <v>587</v>
      </c>
      <c r="B7383" s="425"/>
      <c r="C7383" s="425"/>
      <c r="D7383" s="426" t="s">
        <v>1407</v>
      </c>
      <c r="E7383" s="584" t="s">
        <v>1408</v>
      </c>
      <c r="F7383" s="584"/>
      <c r="G7383" s="584"/>
      <c r="H7383" s="584"/>
    </row>
    <row r="7384" spans="1:8" s="427" customFormat="1" ht="11.25">
      <c r="A7384" s="425"/>
      <c r="B7384" s="425"/>
      <c r="C7384" s="425"/>
      <c r="D7384" s="426" t="s">
        <v>1409</v>
      </c>
      <c r="E7384" s="584" t="s">
        <v>652</v>
      </c>
      <c r="F7384" s="584"/>
      <c r="G7384" s="584"/>
      <c r="H7384" s="584"/>
    </row>
    <row r="7385" spans="1:8" s="427" customFormat="1" ht="11.25">
      <c r="A7385" s="425"/>
      <c r="B7385" s="425"/>
      <c r="C7385" s="425"/>
      <c r="D7385" s="426"/>
      <c r="E7385" s="584"/>
      <c r="F7385" s="584"/>
      <c r="G7385" s="584"/>
      <c r="H7385" s="584"/>
    </row>
    <row r="7386" spans="1:8" s="427" customFormat="1" ht="11.25"/>
    <row r="7387" spans="1:8" s="422" customFormat="1" ht="11.25"/>
    <row r="7388" spans="1:8" s="422" customFormat="1" ht="11.25">
      <c r="A7388" s="421" t="s">
        <v>589</v>
      </c>
      <c r="B7388" s="421"/>
      <c r="C7388" s="421"/>
    </row>
    <row r="7389" spans="1:8" s="429" customFormat="1" ht="11.25">
      <c r="A7389" s="428"/>
      <c r="B7389" s="428"/>
      <c r="C7389" s="428"/>
    </row>
    <row r="7390" spans="1:8" s="429" customFormat="1" ht="11.25">
      <c r="A7390" s="428"/>
      <c r="B7390" s="428"/>
      <c r="C7390" s="428"/>
    </row>
    <row r="7391" spans="1:8" s="429" customFormat="1" ht="11.25">
      <c r="A7391" s="428"/>
      <c r="B7391" s="428"/>
      <c r="C7391" s="428"/>
    </row>
    <row r="7392" spans="1:8" s="429" customFormat="1" ht="11.25">
      <c r="A7392" s="428"/>
      <c r="B7392" s="428"/>
      <c r="C7392" s="428"/>
    </row>
    <row r="7393" spans="1:8" s="429" customFormat="1" ht="11.25">
      <c r="A7393" s="428"/>
      <c r="B7393" s="428"/>
      <c r="C7393" s="428"/>
    </row>
    <row r="7394" spans="1:8" s="429" customFormat="1" ht="11.25">
      <c r="A7394" s="428"/>
      <c r="B7394" s="428"/>
      <c r="C7394" s="428"/>
    </row>
    <row r="7395" spans="1:8" s="422" customFormat="1" ht="9" customHeight="1">
      <c r="A7395" s="430"/>
      <c r="B7395" s="430"/>
      <c r="C7395" s="430"/>
      <c r="D7395" s="430"/>
      <c r="E7395" s="430"/>
      <c r="F7395" s="430"/>
      <c r="G7395" s="430"/>
      <c r="H7395" s="430"/>
    </row>
    <row r="7396" spans="1:8" s="422" customFormat="1" ht="22.5" customHeight="1">
      <c r="A7396" s="585" t="s">
        <v>590</v>
      </c>
      <c r="B7396" s="585"/>
      <c r="C7396" s="585"/>
      <c r="D7396" s="586"/>
      <c r="E7396" s="586"/>
      <c r="F7396" s="586"/>
      <c r="G7396" s="586"/>
      <c r="H7396" s="586"/>
    </row>
    <row r="7397" spans="1:8" s="429" customFormat="1" ht="11.25">
      <c r="A7397" s="431"/>
      <c r="B7397" s="431"/>
      <c r="C7397" s="431"/>
      <c r="D7397" s="432"/>
      <c r="E7397" s="432"/>
      <c r="F7397" s="432"/>
      <c r="G7397" s="432"/>
      <c r="H7397" s="432"/>
    </row>
    <row r="7398" spans="1:8" s="429" customFormat="1" ht="11.25">
      <c r="A7398" s="431"/>
      <c r="B7398" s="431"/>
      <c r="C7398" s="431"/>
      <c r="D7398" s="432"/>
      <c r="E7398" s="432"/>
      <c r="F7398" s="432"/>
      <c r="G7398" s="432"/>
      <c r="H7398" s="432"/>
    </row>
    <row r="7399" spans="1:8" s="429" customFormat="1" ht="11.25">
      <c r="A7399" s="431"/>
      <c r="B7399" s="431"/>
      <c r="C7399" s="431"/>
      <c r="D7399" s="432"/>
      <c r="E7399" s="432"/>
      <c r="F7399" s="432"/>
      <c r="G7399" s="432"/>
      <c r="H7399" s="432"/>
    </row>
    <row r="7400" spans="1:8" s="429" customFormat="1" ht="11.25">
      <c r="A7400" s="431"/>
      <c r="B7400" s="431"/>
      <c r="C7400" s="431"/>
      <c r="D7400" s="432"/>
      <c r="E7400" s="432"/>
      <c r="F7400" s="432"/>
      <c r="G7400" s="432"/>
      <c r="H7400" s="432"/>
    </row>
    <row r="7401" spans="1:8" s="422" customFormat="1" ht="9" customHeight="1"/>
    <row r="7402" spans="1:8" s="422" customFormat="1" ht="11.25">
      <c r="A7402" s="421" t="s">
        <v>591</v>
      </c>
      <c r="B7402" s="421"/>
      <c r="C7402" s="421"/>
    </row>
    <row r="7403" spans="1:8" s="429" customFormat="1" ht="11.25">
      <c r="A7403" s="428"/>
      <c r="B7403" s="428"/>
      <c r="C7403" s="428"/>
    </row>
    <row r="7404" spans="1:8" s="429" customFormat="1" ht="11.25">
      <c r="A7404" s="428"/>
      <c r="B7404" s="428"/>
      <c r="C7404" s="428"/>
    </row>
    <row r="7405" spans="1:8" s="429" customFormat="1" ht="11.25">
      <c r="A7405" s="428"/>
      <c r="B7405" s="428"/>
      <c r="C7405" s="428"/>
    </row>
    <row r="7406" spans="1:8" s="429" customFormat="1" ht="11.25">
      <c r="A7406" s="428"/>
      <c r="B7406" s="428"/>
      <c r="C7406" s="428"/>
    </row>
    <row r="7407" spans="1:8" s="429" customFormat="1" ht="36" customHeight="1">
      <c r="A7407" s="428"/>
      <c r="B7407" s="428"/>
      <c r="C7407" s="428"/>
    </row>
    <row r="7408" spans="1:8" s="422" customFormat="1" ht="9" customHeight="1"/>
    <row r="7409" spans="1:8" s="422" customFormat="1" ht="11.25">
      <c r="A7409" s="433" t="s">
        <v>592</v>
      </c>
      <c r="B7409" s="434"/>
      <c r="C7409" s="434"/>
      <c r="D7409" s="434"/>
      <c r="E7409" s="434"/>
      <c r="F7409" s="434"/>
      <c r="G7409" s="434"/>
      <c r="H7409" s="434"/>
    </row>
    <row r="7410" spans="1:8" s="429" customFormat="1" ht="11.25">
      <c r="A7410" s="435"/>
      <c r="B7410" s="436"/>
      <c r="C7410" s="436"/>
      <c r="D7410" s="436"/>
      <c r="E7410" s="436"/>
      <c r="F7410" s="436"/>
      <c r="G7410" s="436"/>
      <c r="H7410" s="436"/>
    </row>
    <row r="7411" spans="1:8" s="429" customFormat="1" ht="11.25">
      <c r="A7411" s="435"/>
      <c r="B7411" s="436"/>
      <c r="C7411" s="436"/>
      <c r="D7411" s="436"/>
      <c r="E7411" s="436"/>
      <c r="F7411" s="436"/>
      <c r="G7411" s="436"/>
      <c r="H7411" s="436"/>
    </row>
    <row r="7412" spans="1:8" s="422" customFormat="1" ht="11.25">
      <c r="A7412" s="437"/>
      <c r="B7412" s="437"/>
      <c r="C7412" s="437"/>
      <c r="D7412" s="437"/>
      <c r="E7412" s="437"/>
      <c r="F7412" s="437"/>
      <c r="G7412" s="437"/>
      <c r="H7412" s="437"/>
    </row>
    <row r="7413" spans="1:8" s="422" customFormat="1" ht="11.25">
      <c r="A7413" s="421" t="s">
        <v>593</v>
      </c>
      <c r="B7413" s="421"/>
      <c r="C7413" s="421"/>
    </row>
    <row r="7414" spans="1:8" s="422" customFormat="1" ht="11.25">
      <c r="A7414" s="438"/>
      <c r="B7414" s="439" t="s">
        <v>132</v>
      </c>
      <c r="C7414" s="439" t="s">
        <v>473</v>
      </c>
      <c r="D7414" s="439" t="s">
        <v>474</v>
      </c>
      <c r="E7414" s="439" t="s">
        <v>375</v>
      </c>
      <c r="F7414" s="439" t="s">
        <v>9</v>
      </c>
      <c r="G7414" s="439" t="s">
        <v>131</v>
      </c>
      <c r="H7414" s="439" t="s">
        <v>424</v>
      </c>
    </row>
    <row r="7415" spans="1:8" s="422" customFormat="1" ht="11.25">
      <c r="A7415" s="439" t="s">
        <v>394</v>
      </c>
      <c r="B7415" s="438">
        <v>0</v>
      </c>
      <c r="C7415" s="438">
        <v>0</v>
      </c>
      <c r="D7415" s="438">
        <v>1550904.6</v>
      </c>
      <c r="E7415" s="438">
        <v>1729323.7180000001</v>
      </c>
      <c r="F7415" s="438">
        <v>1441524.2180000001</v>
      </c>
      <c r="G7415" s="438">
        <v>1514503.8832</v>
      </c>
      <c r="H7415" s="438">
        <v>1493003.6921999999</v>
      </c>
    </row>
    <row r="7416" spans="1:8" s="422" customFormat="1" ht="11.25">
      <c r="A7416" s="439" t="s">
        <v>395</v>
      </c>
      <c r="B7416" s="438">
        <v>0</v>
      </c>
      <c r="C7416" s="438">
        <v>0</v>
      </c>
      <c r="D7416" s="438">
        <v>-392618.82</v>
      </c>
      <c r="E7416" s="438">
        <v>-393249</v>
      </c>
      <c r="F7416" s="438">
        <v>-393249</v>
      </c>
      <c r="G7416" s="438">
        <v>-393249</v>
      </c>
      <c r="H7416" s="438">
        <v>-393249</v>
      </c>
    </row>
    <row r="7417" spans="1:8" s="422" customFormat="1" ht="11.25">
      <c r="A7417" s="439" t="s">
        <v>396</v>
      </c>
      <c r="B7417" s="438">
        <v>0</v>
      </c>
      <c r="C7417" s="438">
        <v>0</v>
      </c>
      <c r="D7417" s="438">
        <v>1158285.78</v>
      </c>
      <c r="E7417" s="438">
        <v>1336074.7180000001</v>
      </c>
      <c r="F7417" s="438">
        <v>1048275.2180000001</v>
      </c>
      <c r="G7417" s="438">
        <v>1121254.8832</v>
      </c>
      <c r="H7417" s="438">
        <v>1099754.6921999999</v>
      </c>
    </row>
    <row r="7418" spans="1:8" s="442" customFormat="1" ht="11.25">
      <c r="A7418" s="440" t="s">
        <v>397</v>
      </c>
      <c r="B7418" s="441" t="s">
        <v>1413</v>
      </c>
      <c r="C7418" s="441" t="s">
        <v>1413</v>
      </c>
      <c r="D7418" s="441">
        <v>0.25315472015493407</v>
      </c>
      <c r="E7418" s="441">
        <v>0.22740045481756352</v>
      </c>
      <c r="F7418" s="441">
        <v>0.27280082782487108</v>
      </c>
      <c r="G7418" s="441">
        <v>0.25965532631656446</v>
      </c>
      <c r="H7418" s="441">
        <v>0.26339452611837288</v>
      </c>
    </row>
    <row r="7419" spans="1:8" s="422" customFormat="1" ht="11.25"/>
    <row r="7420" spans="1:8" s="422" customFormat="1" ht="11.25">
      <c r="A7420" s="443" t="s">
        <v>594</v>
      </c>
      <c r="B7420" s="443"/>
      <c r="C7420" s="444"/>
    </row>
    <row r="7421" spans="1:8" s="422" customFormat="1" ht="11.25">
      <c r="A7421" s="445" t="s">
        <v>595</v>
      </c>
      <c r="B7421" s="446"/>
      <c r="C7421" s="447"/>
      <c r="D7421" s="439" t="s">
        <v>474</v>
      </c>
      <c r="E7421" s="439" t="s">
        <v>375</v>
      </c>
      <c r="F7421" s="439" t="s">
        <v>9</v>
      </c>
      <c r="G7421" s="439" t="s">
        <v>131</v>
      </c>
      <c r="H7421" s="439" t="s">
        <v>424</v>
      </c>
    </row>
    <row r="7422" spans="1:8" s="422" customFormat="1" ht="11.25">
      <c r="A7422" s="448" t="s">
        <v>596</v>
      </c>
      <c r="B7422" s="449"/>
      <c r="C7422" s="449"/>
      <c r="D7422" s="438"/>
      <c r="E7422" s="438"/>
      <c r="F7422" s="438"/>
      <c r="G7422" s="438"/>
      <c r="H7422" s="438"/>
    </row>
    <row r="7423" spans="1:8" s="422" customFormat="1" ht="11.25">
      <c r="A7423" s="448"/>
      <c r="B7423" s="449"/>
      <c r="C7423" s="449"/>
      <c r="D7423" s="438"/>
      <c r="E7423" s="438"/>
      <c r="F7423" s="438"/>
      <c r="G7423" s="438"/>
      <c r="H7423" s="438"/>
    </row>
    <row r="7424" spans="1:8" s="422" customFormat="1" ht="11.25">
      <c r="A7424" s="448"/>
      <c r="B7424" s="449"/>
      <c r="C7424" s="449"/>
      <c r="D7424" s="438"/>
      <c r="E7424" s="438"/>
      <c r="F7424" s="438"/>
      <c r="G7424" s="438"/>
      <c r="H7424" s="438"/>
    </row>
    <row r="7425" spans="1:8" s="422" customFormat="1" ht="11.25"/>
    <row r="7426" spans="1:8" s="422" customFormat="1" ht="11.25">
      <c r="A7426" s="421" t="s">
        <v>423</v>
      </c>
      <c r="B7426" s="421"/>
      <c r="C7426" s="421"/>
    </row>
    <row r="7427" spans="1:8" s="422" customFormat="1" ht="11.25">
      <c r="A7427" s="450"/>
      <c r="B7427" s="439" t="s">
        <v>132</v>
      </c>
      <c r="C7427" s="439" t="s">
        <v>473</v>
      </c>
      <c r="D7427" s="439" t="s">
        <v>474</v>
      </c>
      <c r="E7427" s="439" t="s">
        <v>375</v>
      </c>
      <c r="F7427" s="439" t="s">
        <v>9</v>
      </c>
      <c r="G7427" s="439" t="s">
        <v>131</v>
      </c>
      <c r="H7427" s="439" t="s">
        <v>424</v>
      </c>
    </row>
    <row r="7428" spans="1:8" s="422" customFormat="1" ht="11.25">
      <c r="A7428" s="451" t="s">
        <v>398</v>
      </c>
      <c r="B7428" s="438">
        <v>0</v>
      </c>
      <c r="C7428" s="438">
        <v>0</v>
      </c>
      <c r="D7428" s="438">
        <v>0</v>
      </c>
      <c r="E7428" s="438">
        <v>0</v>
      </c>
      <c r="F7428" s="438">
        <v>0</v>
      </c>
      <c r="G7428" s="438">
        <v>0</v>
      </c>
      <c r="H7428" s="438">
        <v>0</v>
      </c>
    </row>
    <row r="7429" spans="1:8" s="422" customFormat="1" ht="11.25">
      <c r="A7429" s="451" t="s">
        <v>399</v>
      </c>
      <c r="B7429" s="438">
        <v>0</v>
      </c>
      <c r="C7429" s="438">
        <v>0</v>
      </c>
      <c r="D7429" s="438">
        <v>0</v>
      </c>
      <c r="E7429" s="438">
        <v>0</v>
      </c>
      <c r="F7429" s="438">
        <v>0</v>
      </c>
      <c r="G7429" s="438">
        <v>0</v>
      </c>
      <c r="H7429" s="438">
        <v>0</v>
      </c>
    </row>
    <row r="7430" spans="1:8" s="422" customFormat="1" ht="11.25">
      <c r="A7430" s="451" t="s">
        <v>400</v>
      </c>
      <c r="B7430" s="438">
        <v>0</v>
      </c>
      <c r="C7430" s="438">
        <v>0</v>
      </c>
      <c r="D7430" s="438">
        <v>0</v>
      </c>
      <c r="E7430" s="438">
        <v>0</v>
      </c>
      <c r="F7430" s="438">
        <v>0</v>
      </c>
      <c r="G7430" s="438">
        <v>0</v>
      </c>
      <c r="H7430" s="438">
        <v>0</v>
      </c>
    </row>
    <row r="7431" spans="1:8" s="422" customFormat="1" ht="11.25">
      <c r="A7431" s="451" t="s">
        <v>401</v>
      </c>
      <c r="B7431" s="438">
        <v>0</v>
      </c>
      <c r="C7431" s="438">
        <v>0</v>
      </c>
      <c r="D7431" s="438">
        <v>0</v>
      </c>
      <c r="E7431" s="438">
        <v>0</v>
      </c>
      <c r="F7431" s="438">
        <v>0</v>
      </c>
      <c r="G7431" s="438">
        <v>0</v>
      </c>
      <c r="H7431" s="438">
        <v>0</v>
      </c>
    </row>
    <row r="7432" spans="1:8" s="422" customFormat="1" ht="11.25"/>
    <row r="7433" spans="1:8" s="422" customFormat="1" ht="11.25">
      <c r="A7433" s="421" t="s">
        <v>597</v>
      </c>
      <c r="B7433" s="421"/>
      <c r="C7433" s="421"/>
    </row>
    <row r="7434" spans="1:8" s="429" customFormat="1" ht="11.25">
      <c r="A7434" s="428"/>
      <c r="B7434" s="428"/>
      <c r="C7434" s="428"/>
    </row>
    <row r="7435" spans="1:8" s="429" customFormat="1" ht="11.25">
      <c r="A7435" s="428"/>
      <c r="B7435" s="428"/>
      <c r="C7435" s="428"/>
    </row>
    <row r="7436" spans="1:8" s="429" customFormat="1" ht="11.25">
      <c r="A7436" s="428"/>
      <c r="B7436" s="428"/>
      <c r="C7436" s="428"/>
    </row>
    <row r="7437" spans="1:8" s="422" customFormat="1" ht="11.25"/>
    <row r="7438" spans="1:8" s="422" customFormat="1" ht="11.25">
      <c r="A7438" s="421" t="s">
        <v>598</v>
      </c>
      <c r="B7438" s="421"/>
      <c r="C7438" s="421"/>
    </row>
    <row r="7439" spans="1:8" s="422" customFormat="1" ht="11.25">
      <c r="A7439" s="452" t="s">
        <v>599</v>
      </c>
      <c r="B7439" s="447"/>
      <c r="C7439" s="447"/>
      <c r="D7439" s="447"/>
      <c r="E7439" s="439" t="s">
        <v>375</v>
      </c>
      <c r="F7439" s="439" t="s">
        <v>9</v>
      </c>
      <c r="G7439" s="439" t="s">
        <v>131</v>
      </c>
      <c r="H7439" s="439" t="s">
        <v>424</v>
      </c>
    </row>
    <row r="7440" spans="1:8" s="422" customFormat="1" ht="11.25">
      <c r="A7440" s="448" t="s">
        <v>526</v>
      </c>
      <c r="B7440" s="449"/>
      <c r="C7440" s="449"/>
      <c r="D7440" s="449"/>
      <c r="E7440" s="438">
        <v>0</v>
      </c>
      <c r="F7440" s="438">
        <v>0</v>
      </c>
      <c r="G7440" s="438">
        <v>55900</v>
      </c>
      <c r="H7440" s="438">
        <v>28300</v>
      </c>
    </row>
    <row r="7441" spans="1:8" s="422" customFormat="1" ht="11.25">
      <c r="A7441" s="448"/>
      <c r="B7441" s="449"/>
      <c r="C7441" s="449"/>
      <c r="D7441" s="449"/>
      <c r="E7441" s="438">
        <v>0</v>
      </c>
      <c r="F7441" s="438">
        <v>0</v>
      </c>
      <c r="G7441" s="438">
        <v>0</v>
      </c>
      <c r="H7441" s="438">
        <v>0</v>
      </c>
    </row>
    <row r="7442" spans="1:8" s="422" customFormat="1" ht="11.25">
      <c r="A7442" s="448"/>
      <c r="B7442" s="449"/>
      <c r="C7442" s="449"/>
      <c r="D7442" s="449"/>
      <c r="E7442" s="438">
        <v>0</v>
      </c>
      <c r="F7442" s="438">
        <v>0</v>
      </c>
      <c r="G7442" s="438">
        <v>0</v>
      </c>
      <c r="H7442" s="438">
        <v>0</v>
      </c>
    </row>
    <row r="7443" spans="1:8" s="421" customFormat="1" ht="11.25">
      <c r="A7443" s="421" t="s">
        <v>391</v>
      </c>
      <c r="D7443" s="421" t="s">
        <v>472</v>
      </c>
    </row>
    <row r="7444" spans="1:8" s="422" customFormat="1" ht="11.25"/>
    <row r="7445" spans="1:8" s="421" customFormat="1" ht="11.25" customHeight="1">
      <c r="A7445" s="423" t="s">
        <v>392</v>
      </c>
      <c r="D7445" s="421" t="s">
        <v>161</v>
      </c>
    </row>
    <row r="7446" spans="1:8" s="421" customFormat="1" ht="7.5" customHeight="1">
      <c r="A7446" s="423"/>
    </row>
    <row r="7447" spans="1:8" s="421" customFormat="1" ht="11.25">
      <c r="A7447" s="424" t="s">
        <v>393</v>
      </c>
      <c r="D7447" s="583" t="s">
        <v>357</v>
      </c>
      <c r="E7447" s="583"/>
      <c r="F7447" s="583"/>
      <c r="G7447" s="583"/>
      <c r="H7447" s="583"/>
    </row>
    <row r="7448" spans="1:8" s="421" customFormat="1" ht="7.5" customHeight="1"/>
    <row r="7449" spans="1:8" s="422" customFormat="1" ht="11.25">
      <c r="A7449" s="421" t="s">
        <v>170</v>
      </c>
      <c r="B7449" s="421"/>
      <c r="C7449" s="421"/>
      <c r="D7449" s="422" t="s">
        <v>356</v>
      </c>
      <c r="E7449" s="422" t="s">
        <v>357</v>
      </c>
    </row>
    <row r="7450" spans="1:8" s="422" customFormat="1" ht="7.5" customHeight="1"/>
    <row r="7451" spans="1:8" s="427" customFormat="1" ht="11.25">
      <c r="A7451" s="425" t="s">
        <v>587</v>
      </c>
      <c r="B7451" s="425"/>
      <c r="C7451" s="425"/>
      <c r="D7451" s="426" t="s">
        <v>1410</v>
      </c>
      <c r="E7451" s="584" t="s">
        <v>910</v>
      </c>
      <c r="F7451" s="584"/>
      <c r="G7451" s="584"/>
      <c r="H7451" s="584"/>
    </row>
    <row r="7452" spans="1:8" s="427" customFormat="1" ht="11.25">
      <c r="A7452" s="425"/>
      <c r="B7452" s="425"/>
      <c r="C7452" s="425"/>
      <c r="D7452" s="426" t="s">
        <v>1411</v>
      </c>
      <c r="E7452" s="584" t="s">
        <v>1412</v>
      </c>
      <c r="F7452" s="584"/>
      <c r="G7452" s="584"/>
      <c r="H7452" s="584"/>
    </row>
    <row r="7453" spans="1:8" s="427" customFormat="1" ht="11.25">
      <c r="A7453" s="425"/>
      <c r="B7453" s="425"/>
      <c r="C7453" s="425"/>
      <c r="D7453" s="426"/>
      <c r="E7453" s="584"/>
      <c r="F7453" s="584"/>
      <c r="G7453" s="584"/>
      <c r="H7453" s="584"/>
    </row>
    <row r="7454" spans="1:8" s="427" customFormat="1" ht="11.25"/>
    <row r="7455" spans="1:8" s="422" customFormat="1" ht="11.25"/>
    <row r="7456" spans="1:8" s="422" customFormat="1" ht="11.25">
      <c r="A7456" s="421" t="s">
        <v>589</v>
      </c>
      <c r="B7456" s="421"/>
      <c r="C7456" s="421"/>
    </row>
    <row r="7457" spans="1:8" s="429" customFormat="1" ht="11.25">
      <c r="A7457" s="428"/>
      <c r="B7457" s="428"/>
      <c r="C7457" s="428"/>
    </row>
    <row r="7458" spans="1:8" s="429" customFormat="1" ht="11.25">
      <c r="A7458" s="428"/>
      <c r="B7458" s="428"/>
      <c r="C7458" s="428"/>
    </row>
    <row r="7459" spans="1:8" s="429" customFormat="1" ht="11.25">
      <c r="A7459" s="428"/>
      <c r="B7459" s="428"/>
      <c r="C7459" s="428"/>
    </row>
    <row r="7460" spans="1:8" s="429" customFormat="1" ht="11.25">
      <c r="A7460" s="428"/>
      <c r="B7460" s="428"/>
      <c r="C7460" s="428"/>
    </row>
    <row r="7461" spans="1:8" s="429" customFormat="1" ht="11.25">
      <c r="A7461" s="428"/>
      <c r="B7461" s="428"/>
      <c r="C7461" s="428"/>
    </row>
    <row r="7462" spans="1:8" s="429" customFormat="1" ht="11.25">
      <c r="A7462" s="428"/>
      <c r="B7462" s="428"/>
      <c r="C7462" s="428"/>
    </row>
    <row r="7463" spans="1:8" s="422" customFormat="1" ht="9" customHeight="1">
      <c r="A7463" s="430"/>
      <c r="B7463" s="430"/>
      <c r="C7463" s="430"/>
      <c r="D7463" s="430"/>
      <c r="E7463" s="430"/>
      <c r="F7463" s="430"/>
      <c r="G7463" s="430"/>
      <c r="H7463" s="430"/>
    </row>
    <row r="7464" spans="1:8" s="422" customFormat="1" ht="22.5" customHeight="1">
      <c r="A7464" s="585" t="s">
        <v>590</v>
      </c>
      <c r="B7464" s="585"/>
      <c r="C7464" s="585"/>
      <c r="D7464" s="586"/>
      <c r="E7464" s="586"/>
      <c r="F7464" s="586"/>
      <c r="G7464" s="586"/>
      <c r="H7464" s="586"/>
    </row>
    <row r="7465" spans="1:8" s="429" customFormat="1" ht="11.25">
      <c r="A7465" s="431"/>
      <c r="B7465" s="431"/>
      <c r="C7465" s="431"/>
      <c r="D7465" s="432"/>
      <c r="E7465" s="432"/>
      <c r="F7465" s="432"/>
      <c r="G7465" s="432"/>
      <c r="H7465" s="432"/>
    </row>
    <row r="7466" spans="1:8" s="429" customFormat="1" ht="11.25">
      <c r="A7466" s="431"/>
      <c r="B7466" s="431"/>
      <c r="C7466" s="431"/>
      <c r="D7466" s="432"/>
      <c r="E7466" s="432"/>
      <c r="F7466" s="432"/>
      <c r="G7466" s="432"/>
      <c r="H7466" s="432"/>
    </row>
    <row r="7467" spans="1:8" s="429" customFormat="1" ht="11.25">
      <c r="A7467" s="431"/>
      <c r="B7467" s="431"/>
      <c r="C7467" s="431"/>
      <c r="D7467" s="432"/>
      <c r="E7467" s="432"/>
      <c r="F7467" s="432"/>
      <c r="G7467" s="432"/>
      <c r="H7467" s="432"/>
    </row>
    <row r="7468" spans="1:8" s="429" customFormat="1" ht="11.25">
      <c r="A7468" s="431"/>
      <c r="B7468" s="431"/>
      <c r="C7468" s="431"/>
      <c r="D7468" s="432"/>
      <c r="E7468" s="432"/>
      <c r="F7468" s="432"/>
      <c r="G7468" s="432"/>
      <c r="H7468" s="432"/>
    </row>
    <row r="7469" spans="1:8" s="422" customFormat="1" ht="20.25" customHeight="1"/>
    <row r="7470" spans="1:8" s="422" customFormat="1" ht="11.25">
      <c r="A7470" s="421" t="s">
        <v>591</v>
      </c>
      <c r="B7470" s="421"/>
      <c r="C7470" s="421"/>
    </row>
    <row r="7471" spans="1:8" s="429" customFormat="1" ht="11.25">
      <c r="A7471" s="428"/>
      <c r="B7471" s="428"/>
      <c r="C7471" s="428"/>
    </row>
    <row r="7472" spans="1:8" s="429" customFormat="1" ht="11.25">
      <c r="A7472" s="428"/>
      <c r="B7472" s="428"/>
      <c r="C7472" s="428"/>
    </row>
    <row r="7473" spans="1:8" s="429" customFormat="1" ht="11.25">
      <c r="A7473" s="428"/>
      <c r="B7473" s="428"/>
      <c r="C7473" s="428"/>
    </row>
    <row r="7474" spans="1:8" s="429" customFormat="1" ht="11.25">
      <c r="A7474" s="428"/>
      <c r="B7474" s="428"/>
      <c r="C7474" s="428"/>
    </row>
    <row r="7475" spans="1:8" s="429" customFormat="1" ht="11.25">
      <c r="A7475" s="428"/>
      <c r="B7475" s="428"/>
      <c r="C7475" s="428"/>
    </row>
    <row r="7476" spans="1:8" s="429" customFormat="1" ht="11.25">
      <c r="A7476" s="428"/>
      <c r="B7476" s="428"/>
      <c r="C7476" s="428"/>
    </row>
    <row r="7477" spans="1:8" s="422" customFormat="1" ht="9" customHeight="1"/>
    <row r="7478" spans="1:8" s="422" customFormat="1" ht="11.25">
      <c r="A7478" s="433" t="s">
        <v>592</v>
      </c>
      <c r="B7478" s="434"/>
      <c r="C7478" s="434"/>
      <c r="D7478" s="434"/>
      <c r="E7478" s="434"/>
      <c r="F7478" s="434"/>
      <c r="G7478" s="434"/>
      <c r="H7478" s="434"/>
    </row>
    <row r="7479" spans="1:8" s="429" customFormat="1" ht="11.25">
      <c r="A7479" s="435"/>
      <c r="B7479" s="436"/>
      <c r="C7479" s="436"/>
      <c r="D7479" s="436"/>
      <c r="E7479" s="436"/>
      <c r="F7479" s="436"/>
      <c r="G7479" s="436"/>
      <c r="H7479" s="436"/>
    </row>
    <row r="7480" spans="1:8" s="429" customFormat="1" ht="11.25">
      <c r="A7480" s="435"/>
      <c r="B7480" s="436"/>
      <c r="C7480" s="436"/>
      <c r="D7480" s="436"/>
      <c r="E7480" s="436"/>
      <c r="F7480" s="436"/>
      <c r="G7480" s="436"/>
      <c r="H7480" s="436"/>
    </row>
    <row r="7481" spans="1:8" s="422" customFormat="1" ht="11.25">
      <c r="A7481" s="437"/>
      <c r="B7481" s="437"/>
      <c r="C7481" s="437"/>
      <c r="D7481" s="437"/>
      <c r="E7481" s="437"/>
      <c r="F7481" s="437"/>
      <c r="G7481" s="437"/>
      <c r="H7481" s="437"/>
    </row>
    <row r="7482" spans="1:8" s="422" customFormat="1" ht="11.25">
      <c r="A7482" s="421" t="s">
        <v>593</v>
      </c>
      <c r="B7482" s="421"/>
      <c r="C7482" s="421"/>
    </row>
    <row r="7483" spans="1:8" s="422" customFormat="1" ht="11.25">
      <c r="A7483" s="438"/>
      <c r="B7483" s="439" t="s">
        <v>132</v>
      </c>
      <c r="C7483" s="439" t="s">
        <v>473</v>
      </c>
      <c r="D7483" s="439" t="s">
        <v>474</v>
      </c>
      <c r="E7483" s="439" t="s">
        <v>375</v>
      </c>
      <c r="F7483" s="439" t="s">
        <v>9</v>
      </c>
      <c r="G7483" s="439" t="s">
        <v>131</v>
      </c>
      <c r="H7483" s="439" t="s">
        <v>424</v>
      </c>
    </row>
    <row r="7484" spans="1:8" s="422" customFormat="1" ht="11.25">
      <c r="A7484" s="439" t="s">
        <v>394</v>
      </c>
      <c r="B7484" s="438">
        <v>2991251.15</v>
      </c>
      <c r="C7484" s="438">
        <v>3018864.6</v>
      </c>
      <c r="D7484" s="438">
        <v>3044400</v>
      </c>
      <c r="E7484" s="438">
        <v>3044287</v>
      </c>
      <c r="F7484" s="438">
        <v>3044651.8149999999</v>
      </c>
      <c r="G7484" s="438">
        <v>3045018.5449999999</v>
      </c>
      <c r="H7484" s="438">
        <v>3045389.3050000002</v>
      </c>
    </row>
    <row r="7485" spans="1:8" s="422" customFormat="1" ht="11.25">
      <c r="A7485" s="439" t="s">
        <v>395</v>
      </c>
      <c r="B7485" s="438">
        <v>-19455533.789999999</v>
      </c>
      <c r="C7485" s="438">
        <v>-20445809.039999999</v>
      </c>
      <c r="D7485" s="438">
        <v>-22500000</v>
      </c>
      <c r="E7485" s="438">
        <v>-34400000</v>
      </c>
      <c r="F7485" s="438">
        <v>-15000000</v>
      </c>
      <c r="G7485" s="438">
        <v>-11000000</v>
      </c>
      <c r="H7485" s="438">
        <v>-11000000</v>
      </c>
    </row>
    <row r="7486" spans="1:8" s="422" customFormat="1" ht="11.25">
      <c r="A7486" s="439" t="s">
        <v>396</v>
      </c>
      <c r="B7486" s="438">
        <v>-16464282.639999999</v>
      </c>
      <c r="C7486" s="438">
        <v>-17426944.439999998</v>
      </c>
      <c r="D7486" s="438">
        <v>-19455600</v>
      </c>
      <c r="E7486" s="438">
        <v>-31355713</v>
      </c>
      <c r="F7486" s="438">
        <v>-11955348.185000001</v>
      </c>
      <c r="G7486" s="438">
        <v>-7954981.4550000001</v>
      </c>
      <c r="H7486" s="438">
        <v>-7954610.6950000003</v>
      </c>
    </row>
    <row r="7487" spans="1:8" s="442" customFormat="1" ht="11.25">
      <c r="A7487" s="440" t="s">
        <v>397</v>
      </c>
      <c r="B7487" s="441">
        <v>6.5041458621754309</v>
      </c>
      <c r="C7487" s="441">
        <v>6.7726817029157251</v>
      </c>
      <c r="D7487" s="441">
        <v>7.3906188411509657</v>
      </c>
      <c r="E7487" s="441">
        <v>11.299854448677145</v>
      </c>
      <c r="F7487" s="441">
        <v>4.9266717219026246</v>
      </c>
      <c r="G7487" s="441">
        <v>3.6124574735553869</v>
      </c>
      <c r="H7487" s="441">
        <v>3.6120176760126896</v>
      </c>
    </row>
    <row r="7488" spans="1:8" s="422" customFormat="1" ht="11.25"/>
    <row r="7489" spans="1:8" s="422" customFormat="1" ht="11.25">
      <c r="A7489" s="443" t="s">
        <v>594</v>
      </c>
      <c r="B7489" s="443"/>
      <c r="C7489" s="444"/>
    </row>
    <row r="7490" spans="1:8" s="422" customFormat="1" ht="11.25">
      <c r="A7490" s="445" t="s">
        <v>595</v>
      </c>
      <c r="B7490" s="446"/>
      <c r="C7490" s="447"/>
      <c r="D7490" s="439" t="s">
        <v>474</v>
      </c>
      <c r="E7490" s="439" t="s">
        <v>375</v>
      </c>
      <c r="F7490" s="439" t="s">
        <v>9</v>
      </c>
      <c r="G7490" s="439" t="s">
        <v>131</v>
      </c>
      <c r="H7490" s="439" t="s">
        <v>424</v>
      </c>
    </row>
    <row r="7491" spans="1:8" s="422" customFormat="1" ht="11.25">
      <c r="A7491" s="448" t="s">
        <v>910</v>
      </c>
      <c r="B7491" s="449"/>
      <c r="C7491" s="449"/>
      <c r="D7491" s="438">
        <v>20334000</v>
      </c>
      <c r="E7491" s="438">
        <v>34400000</v>
      </c>
      <c r="F7491" s="438"/>
      <c r="G7491" s="438"/>
      <c r="H7491" s="438"/>
    </row>
    <row r="7492" spans="1:8" s="422" customFormat="1" ht="11.25">
      <c r="A7492" s="448"/>
      <c r="B7492" s="449"/>
      <c r="C7492" s="449"/>
      <c r="D7492" s="438"/>
      <c r="E7492" s="438"/>
      <c r="F7492" s="438"/>
      <c r="G7492" s="438"/>
      <c r="H7492" s="438"/>
    </row>
    <row r="7493" spans="1:8" s="422" customFormat="1" ht="11.25">
      <c r="A7493" s="448"/>
      <c r="B7493" s="449"/>
      <c r="C7493" s="449"/>
      <c r="D7493" s="438"/>
      <c r="E7493" s="438"/>
      <c r="F7493" s="438"/>
      <c r="G7493" s="438"/>
      <c r="H7493" s="438"/>
    </row>
    <row r="7494" spans="1:8" s="422" customFormat="1" ht="11.25"/>
    <row r="7495" spans="1:8" s="422" customFormat="1" ht="11.25">
      <c r="A7495" s="421" t="s">
        <v>423</v>
      </c>
      <c r="B7495" s="421"/>
      <c r="C7495" s="421"/>
    </row>
    <row r="7496" spans="1:8" s="422" customFormat="1" ht="11.25">
      <c r="A7496" s="450"/>
      <c r="B7496" s="439" t="s">
        <v>132</v>
      </c>
      <c r="C7496" s="439" t="s">
        <v>473</v>
      </c>
      <c r="D7496" s="439" t="s">
        <v>474</v>
      </c>
      <c r="E7496" s="439" t="s">
        <v>375</v>
      </c>
      <c r="F7496" s="439" t="s">
        <v>9</v>
      </c>
      <c r="G7496" s="439" t="s">
        <v>131</v>
      </c>
      <c r="H7496" s="439" t="s">
        <v>424</v>
      </c>
    </row>
    <row r="7497" spans="1:8" s="422" customFormat="1" ht="11.25">
      <c r="A7497" s="451" t="s">
        <v>398</v>
      </c>
      <c r="B7497" s="438">
        <v>0</v>
      </c>
      <c r="C7497" s="438">
        <v>0</v>
      </c>
      <c r="D7497" s="438">
        <v>0</v>
      </c>
      <c r="E7497" s="438">
        <v>0</v>
      </c>
      <c r="F7497" s="438">
        <v>0</v>
      </c>
      <c r="G7497" s="438">
        <v>0</v>
      </c>
      <c r="H7497" s="438">
        <v>0</v>
      </c>
    </row>
    <row r="7498" spans="1:8" s="422" customFormat="1" ht="11.25">
      <c r="A7498" s="451" t="s">
        <v>399</v>
      </c>
      <c r="B7498" s="438">
        <v>0</v>
      </c>
      <c r="C7498" s="438">
        <v>0</v>
      </c>
      <c r="D7498" s="438">
        <v>0</v>
      </c>
      <c r="E7498" s="438">
        <v>0</v>
      </c>
      <c r="F7498" s="438">
        <v>0</v>
      </c>
      <c r="G7498" s="438">
        <v>0</v>
      </c>
      <c r="H7498" s="438">
        <v>0</v>
      </c>
    </row>
    <row r="7499" spans="1:8" s="422" customFormat="1" ht="11.25">
      <c r="A7499" s="451" t="s">
        <v>400</v>
      </c>
      <c r="B7499" s="438">
        <v>0</v>
      </c>
      <c r="C7499" s="438">
        <v>0</v>
      </c>
      <c r="D7499" s="438">
        <v>0</v>
      </c>
      <c r="E7499" s="438">
        <v>0</v>
      </c>
      <c r="F7499" s="438">
        <v>0</v>
      </c>
      <c r="G7499" s="438">
        <v>0</v>
      </c>
      <c r="H7499" s="438">
        <v>0</v>
      </c>
    </row>
    <row r="7500" spans="1:8" s="422" customFormat="1" ht="11.25">
      <c r="A7500" s="451" t="s">
        <v>401</v>
      </c>
      <c r="B7500" s="438">
        <v>0</v>
      </c>
      <c r="C7500" s="438">
        <v>0</v>
      </c>
      <c r="D7500" s="438">
        <v>0</v>
      </c>
      <c r="E7500" s="438">
        <v>0</v>
      </c>
      <c r="F7500" s="438">
        <v>0</v>
      </c>
      <c r="G7500" s="438">
        <v>0</v>
      </c>
      <c r="H7500" s="438">
        <v>0</v>
      </c>
    </row>
    <row r="7501" spans="1:8" s="422" customFormat="1" ht="11.25"/>
    <row r="7502" spans="1:8" s="422" customFormat="1" ht="11.25">
      <c r="A7502" s="421" t="s">
        <v>597</v>
      </c>
      <c r="B7502" s="421"/>
      <c r="C7502" s="421"/>
    </row>
    <row r="7503" spans="1:8" s="429" customFormat="1" ht="11.25">
      <c r="A7503" s="428"/>
      <c r="B7503" s="428"/>
      <c r="C7503" s="428"/>
    </row>
    <row r="7504" spans="1:8" s="429" customFormat="1" ht="11.25">
      <c r="A7504" s="428"/>
      <c r="B7504" s="428"/>
      <c r="C7504" s="428"/>
    </row>
    <row r="7505" spans="1:8" s="429" customFormat="1" ht="11.25">
      <c r="A7505" s="428"/>
      <c r="B7505" s="428"/>
      <c r="C7505" s="428"/>
    </row>
    <row r="7506" spans="1:8" s="422" customFormat="1" ht="11.25"/>
    <row r="7507" spans="1:8" s="422" customFormat="1" ht="11.25">
      <c r="A7507" s="421" t="s">
        <v>598</v>
      </c>
      <c r="B7507" s="421"/>
      <c r="C7507" s="421"/>
    </row>
    <row r="7508" spans="1:8" s="422" customFormat="1" ht="11.25">
      <c r="A7508" s="452" t="s">
        <v>599</v>
      </c>
      <c r="B7508" s="447"/>
      <c r="C7508" s="447"/>
      <c r="D7508" s="447"/>
      <c r="E7508" s="439" t="s">
        <v>375</v>
      </c>
      <c r="F7508" s="439" t="s">
        <v>9</v>
      </c>
      <c r="G7508" s="439" t="s">
        <v>131</v>
      </c>
      <c r="H7508" s="439" t="s">
        <v>424</v>
      </c>
    </row>
    <row r="7509" spans="1:8" s="422" customFormat="1" ht="11.25">
      <c r="A7509" s="448"/>
      <c r="B7509" s="449"/>
      <c r="C7509" s="449"/>
      <c r="D7509" s="449"/>
      <c r="E7509" s="438">
        <v>0</v>
      </c>
      <c r="F7509" s="438">
        <v>0</v>
      </c>
      <c r="G7509" s="438">
        <v>0</v>
      </c>
      <c r="H7509" s="438">
        <v>0</v>
      </c>
    </row>
    <row r="7510" spans="1:8" s="422" customFormat="1" ht="11.25">
      <c r="A7510" s="448"/>
      <c r="B7510" s="449"/>
      <c r="C7510" s="449"/>
      <c r="D7510" s="449"/>
      <c r="E7510" s="438">
        <v>0</v>
      </c>
      <c r="F7510" s="438">
        <v>0</v>
      </c>
      <c r="G7510" s="438">
        <v>0</v>
      </c>
      <c r="H7510" s="438">
        <v>0</v>
      </c>
    </row>
    <row r="7511" spans="1:8" s="422" customFormat="1" ht="11.25">
      <c r="A7511" s="448"/>
      <c r="B7511" s="449"/>
      <c r="C7511" s="449"/>
      <c r="D7511" s="449"/>
      <c r="E7511" s="438">
        <v>0</v>
      </c>
      <c r="F7511" s="438">
        <v>0</v>
      </c>
      <c r="G7511" s="438">
        <v>0</v>
      </c>
      <c r="H7511" s="438">
        <v>0</v>
      </c>
    </row>
  </sheetData>
  <mergeCells count="643">
    <mergeCell ref="A7464:H7464"/>
    <mergeCell ref="E7385:H7385"/>
    <mergeCell ref="A7396:H7396"/>
    <mergeCell ref="D7447:H7447"/>
    <mergeCell ref="E7451:H7451"/>
    <mergeCell ref="E7452:H7452"/>
    <mergeCell ref="E7453:H7453"/>
    <mergeCell ref="E7316:H7316"/>
    <mergeCell ref="E7317:H7317"/>
    <mergeCell ref="A7328:H7328"/>
    <mergeCell ref="D7379:H7379"/>
    <mergeCell ref="E7383:H7383"/>
    <mergeCell ref="E7384:H7384"/>
    <mergeCell ref="D7244:H7244"/>
    <mergeCell ref="E7248:H7248"/>
    <mergeCell ref="E7249:H7249"/>
    <mergeCell ref="A7260:H7260"/>
    <mergeCell ref="D7311:H7311"/>
    <mergeCell ref="E7315:H7315"/>
    <mergeCell ref="E7183:H7183"/>
    <mergeCell ref="E7184:H7184"/>
    <mergeCell ref="E7185:H7185"/>
    <mergeCell ref="E7186:H7186"/>
    <mergeCell ref="E7187:H7187"/>
    <mergeCell ref="A7196:H7196"/>
    <mergeCell ref="E7113:H7113"/>
    <mergeCell ref="E7114:H7114"/>
    <mergeCell ref="A7122:H7122"/>
    <mergeCell ref="D7177:H7177"/>
    <mergeCell ref="E7181:H7181"/>
    <mergeCell ref="E7182:H7182"/>
    <mergeCell ref="E7044:H7044"/>
    <mergeCell ref="E7045:H7045"/>
    <mergeCell ref="E7046:H7046"/>
    <mergeCell ref="A7057:H7057"/>
    <mergeCell ref="D7108:H7108"/>
    <mergeCell ref="E7112:H7112"/>
    <mergeCell ref="E6974:H6974"/>
    <mergeCell ref="E6975:H6975"/>
    <mergeCell ref="E6976:H6976"/>
    <mergeCell ref="A6987:H6987"/>
    <mergeCell ref="D7039:H7039"/>
    <mergeCell ref="E7043:H7043"/>
    <mergeCell ref="E6900:H6900"/>
    <mergeCell ref="A6911:H6911"/>
    <mergeCell ref="D6967:H6967"/>
    <mergeCell ref="E6971:H6971"/>
    <mergeCell ref="E6972:H6972"/>
    <mergeCell ref="E6973:H6973"/>
    <mergeCell ref="E6831:H6831"/>
    <mergeCell ref="E6832:H6832"/>
    <mergeCell ref="E6833:H6833"/>
    <mergeCell ref="A6844:H6844"/>
    <mergeCell ref="D6895:H6895"/>
    <mergeCell ref="E6899:H6899"/>
    <mergeCell ref="E6762:H6762"/>
    <mergeCell ref="E6763:H6763"/>
    <mergeCell ref="A6774:H6774"/>
    <mergeCell ref="D6825:H6825"/>
    <mergeCell ref="E6829:H6829"/>
    <mergeCell ref="E6830:H6830"/>
    <mergeCell ref="E6693:H6693"/>
    <mergeCell ref="E6694:H6694"/>
    <mergeCell ref="A6705:H6705"/>
    <mergeCell ref="D6756:H6756"/>
    <mergeCell ref="E6760:H6760"/>
    <mergeCell ref="E6761:H6761"/>
    <mergeCell ref="A6571:H6571"/>
    <mergeCell ref="D6622:H6622"/>
    <mergeCell ref="E6626:H6626"/>
    <mergeCell ref="E6627:H6627"/>
    <mergeCell ref="A6638:H6638"/>
    <mergeCell ref="D6689:H6689"/>
    <mergeCell ref="E6491:H6491"/>
    <mergeCell ref="E6492:H6492"/>
    <mergeCell ref="A6500:H6500"/>
    <mergeCell ref="D6555:H6555"/>
    <mergeCell ref="E6559:H6559"/>
    <mergeCell ref="E6560:H6560"/>
    <mergeCell ref="E6415:H6415"/>
    <mergeCell ref="A6424:H6424"/>
    <mergeCell ref="D6484:H6484"/>
    <mergeCell ref="E6488:H6488"/>
    <mergeCell ref="E6489:H6489"/>
    <mergeCell ref="E6490:H6490"/>
    <mergeCell ref="E6346:H6346"/>
    <mergeCell ref="E6347:H6347"/>
    <mergeCell ref="A6358:H6358"/>
    <mergeCell ref="D6409:H6409"/>
    <mergeCell ref="E6413:H6413"/>
    <mergeCell ref="E6414:H6414"/>
    <mergeCell ref="A6286:H6286"/>
    <mergeCell ref="D6338:H6338"/>
    <mergeCell ref="E6342:H6342"/>
    <mergeCell ref="E6343:H6343"/>
    <mergeCell ref="E6344:H6344"/>
    <mergeCell ref="E6345:H6345"/>
    <mergeCell ref="E6207:H6207"/>
    <mergeCell ref="A6218:H6218"/>
    <mergeCell ref="D6269:H6269"/>
    <mergeCell ref="E6273:H6273"/>
    <mergeCell ref="E6274:H6274"/>
    <mergeCell ref="E6275:H6275"/>
    <mergeCell ref="E6129:H6129"/>
    <mergeCell ref="E6130:H6130"/>
    <mergeCell ref="E6131:H6131"/>
    <mergeCell ref="A6141:H6141"/>
    <mergeCell ref="D6202:H6202"/>
    <mergeCell ref="E6206:H6206"/>
    <mergeCell ref="E6056:H6056"/>
    <mergeCell ref="E6057:H6057"/>
    <mergeCell ref="A6068:H6068"/>
    <mergeCell ref="D6123:H6123"/>
    <mergeCell ref="E6127:H6127"/>
    <mergeCell ref="E6128:H6128"/>
    <mergeCell ref="E5988:H5988"/>
    <mergeCell ref="E5989:H5989"/>
    <mergeCell ref="A5998:H5998"/>
    <mergeCell ref="D6050:H6050"/>
    <mergeCell ref="E6054:H6054"/>
    <mergeCell ref="E6055:H6055"/>
    <mergeCell ref="E5921:H5921"/>
    <mergeCell ref="E5922:H5922"/>
    <mergeCell ref="A5931:H5931"/>
    <mergeCell ref="D5982:H5982"/>
    <mergeCell ref="E5986:H5986"/>
    <mergeCell ref="E5987:H5987"/>
    <mergeCell ref="E5852:H5852"/>
    <mergeCell ref="E5853:H5853"/>
    <mergeCell ref="A5860:H5860"/>
    <mergeCell ref="D5915:H5915"/>
    <mergeCell ref="E5919:H5919"/>
    <mergeCell ref="E5920:H5920"/>
    <mergeCell ref="D5843:H5843"/>
    <mergeCell ref="E5847:H5847"/>
    <mergeCell ref="E5848:H5848"/>
    <mergeCell ref="E5849:H5849"/>
    <mergeCell ref="E5850:H5850"/>
    <mergeCell ref="E5851:H5851"/>
    <mergeCell ref="D5774:H5774"/>
    <mergeCell ref="E5778:H5778"/>
    <mergeCell ref="E5779:H5779"/>
    <mergeCell ref="E5780:H5780"/>
    <mergeCell ref="E5781:H5781"/>
    <mergeCell ref="A5792:H5792"/>
    <mergeCell ref="E5645:H5645"/>
    <mergeCell ref="A5656:H5656"/>
    <mergeCell ref="D5707:H5707"/>
    <mergeCell ref="E5711:H5711"/>
    <mergeCell ref="E5712:H5712"/>
    <mergeCell ref="A5723:H5723"/>
    <mergeCell ref="E5575:H5575"/>
    <mergeCell ref="E5576:H5576"/>
    <mergeCell ref="A5587:H5587"/>
    <mergeCell ref="D5639:H5639"/>
    <mergeCell ref="E5643:H5643"/>
    <mergeCell ref="E5644:H5644"/>
    <mergeCell ref="E5504:H5504"/>
    <mergeCell ref="A5515:H5515"/>
    <mergeCell ref="D5568:H5568"/>
    <mergeCell ref="E5572:H5572"/>
    <mergeCell ref="E5573:H5573"/>
    <mergeCell ref="E5574:H5574"/>
    <mergeCell ref="A5450:H5450"/>
    <mergeCell ref="D5496:H5496"/>
    <mergeCell ref="E5500:H5500"/>
    <mergeCell ref="E5501:H5501"/>
    <mergeCell ref="E5502:H5502"/>
    <mergeCell ref="E5503:H5503"/>
    <mergeCell ref="E5372:H5372"/>
    <mergeCell ref="A5380:H5380"/>
    <mergeCell ref="D5433:H5433"/>
    <mergeCell ref="E5437:H5437"/>
    <mergeCell ref="E5438:H5438"/>
    <mergeCell ref="E5439:H5439"/>
    <mergeCell ref="E5303:H5303"/>
    <mergeCell ref="E5304:H5304"/>
    <mergeCell ref="A5315:H5315"/>
    <mergeCell ref="D5366:H5366"/>
    <mergeCell ref="E5370:H5370"/>
    <mergeCell ref="E5371:H5371"/>
    <mergeCell ref="E5234:H5234"/>
    <mergeCell ref="A5245:H5245"/>
    <mergeCell ref="D5296:H5296"/>
    <mergeCell ref="E5300:H5300"/>
    <mergeCell ref="E5301:H5301"/>
    <mergeCell ref="E5302:H5302"/>
    <mergeCell ref="E5149:H5149"/>
    <mergeCell ref="E5150:H5150"/>
    <mergeCell ref="A5161:H5161"/>
    <mergeCell ref="D5228:H5228"/>
    <mergeCell ref="E5232:H5232"/>
    <mergeCell ref="E5233:H5233"/>
    <mergeCell ref="E5057:H5057"/>
    <mergeCell ref="E5058:H5058"/>
    <mergeCell ref="E5059:H5059"/>
    <mergeCell ref="E5060:H5060"/>
    <mergeCell ref="A5070:H5070"/>
    <mergeCell ref="D5145:H5145"/>
    <mergeCell ref="D4960:H4960"/>
    <mergeCell ref="E4964:H4964"/>
    <mergeCell ref="E4965:H4965"/>
    <mergeCell ref="E4966:H4966"/>
    <mergeCell ref="A4977:H4977"/>
    <mergeCell ref="D5053:H5053"/>
    <mergeCell ref="E4892:H4892"/>
    <mergeCell ref="E4893:H4893"/>
    <mergeCell ref="E4894:H4894"/>
    <mergeCell ref="E4895:H4895"/>
    <mergeCell ref="E4896:H4896"/>
    <mergeCell ref="A4906:H4906"/>
    <mergeCell ref="E4814:H4814"/>
    <mergeCell ref="E4815:H4815"/>
    <mergeCell ref="E4816:H4816"/>
    <mergeCell ref="E4817:H4817"/>
    <mergeCell ref="A4828:H4828"/>
    <mergeCell ref="D4888:H4888"/>
    <mergeCell ref="E4748:H4748"/>
    <mergeCell ref="E4749:H4749"/>
    <mergeCell ref="A4759:H4759"/>
    <mergeCell ref="D4808:H4808"/>
    <mergeCell ref="E4812:H4812"/>
    <mergeCell ref="E4813:H4813"/>
    <mergeCell ref="E4676:H4676"/>
    <mergeCell ref="A4685:H4685"/>
    <mergeCell ref="D4741:H4741"/>
    <mergeCell ref="E4745:H4745"/>
    <mergeCell ref="E4746:H4746"/>
    <mergeCell ref="E4747:H4747"/>
    <mergeCell ref="E4601:H4601"/>
    <mergeCell ref="A4610:H4610"/>
    <mergeCell ref="D4669:H4669"/>
    <mergeCell ref="E4673:H4673"/>
    <mergeCell ref="E4674:H4674"/>
    <mergeCell ref="E4675:H4675"/>
    <mergeCell ref="E4536:H4536"/>
    <mergeCell ref="E4537:H4537"/>
    <mergeCell ref="A4546:H4546"/>
    <mergeCell ref="D4595:H4595"/>
    <mergeCell ref="E4599:H4599"/>
    <mergeCell ref="E4600:H4600"/>
    <mergeCell ref="E4528:H4528"/>
    <mergeCell ref="E4529:H4529"/>
    <mergeCell ref="E4530:H4530"/>
    <mergeCell ref="E4533:H4533"/>
    <mergeCell ref="E4534:H4534"/>
    <mergeCell ref="E4535:H4535"/>
    <mergeCell ref="E4456:H4456"/>
    <mergeCell ref="E4457:H4457"/>
    <mergeCell ref="E4458:H4458"/>
    <mergeCell ref="A4467:H4467"/>
    <mergeCell ref="D4523:H4523"/>
    <mergeCell ref="E4527:H4527"/>
    <mergeCell ref="E4368:H4368"/>
    <mergeCell ref="E4369:H4369"/>
    <mergeCell ref="E4370:H4370"/>
    <mergeCell ref="A4378:H4378"/>
    <mergeCell ref="D4451:H4451"/>
    <mergeCell ref="E4455:H4455"/>
    <mergeCell ref="E4283:H4283"/>
    <mergeCell ref="A4293:H4293"/>
    <mergeCell ref="D4361:H4361"/>
    <mergeCell ref="E4365:H4365"/>
    <mergeCell ref="E4366:H4366"/>
    <mergeCell ref="E4367:H4367"/>
    <mergeCell ref="D4274:H4274"/>
    <mergeCell ref="E4278:H4278"/>
    <mergeCell ref="E4279:H4279"/>
    <mergeCell ref="E4280:H4280"/>
    <mergeCell ref="E4281:H4281"/>
    <mergeCell ref="E4282:H4282"/>
    <mergeCell ref="A4136:H4136"/>
    <mergeCell ref="D4189:H4189"/>
    <mergeCell ref="E4193:H4193"/>
    <mergeCell ref="E4194:H4194"/>
    <mergeCell ref="E4195:H4195"/>
    <mergeCell ref="A4205:H4205"/>
    <mergeCell ref="E4122:H4122"/>
    <mergeCell ref="E4123:H4123"/>
    <mergeCell ref="E4124:H4124"/>
    <mergeCell ref="E4125:H4125"/>
    <mergeCell ref="E4126:H4126"/>
    <mergeCell ref="E4127:H4127"/>
    <mergeCell ref="E4051:H4051"/>
    <mergeCell ref="E4054:H4054"/>
    <mergeCell ref="E4055:H4055"/>
    <mergeCell ref="E4056:H4056"/>
    <mergeCell ref="A4066:H4066"/>
    <mergeCell ref="D4118:H4118"/>
    <mergeCell ref="A3980:H3980"/>
    <mergeCell ref="D4043:H4043"/>
    <mergeCell ref="E4047:H4047"/>
    <mergeCell ref="E4048:H4048"/>
    <mergeCell ref="E4049:H4049"/>
    <mergeCell ref="E4050:H4050"/>
    <mergeCell ref="E3964:H3964"/>
    <mergeCell ref="E3965:H3965"/>
    <mergeCell ref="E3966:H3966"/>
    <mergeCell ref="E3967:H3967"/>
    <mergeCell ref="E3968:H3968"/>
    <mergeCell ref="E3969:H3969"/>
    <mergeCell ref="E3892:H3892"/>
    <mergeCell ref="E3893:H3893"/>
    <mergeCell ref="E3894:H3894"/>
    <mergeCell ref="A3905:H3905"/>
    <mergeCell ref="D3959:H3959"/>
    <mergeCell ref="E3963:H3963"/>
    <mergeCell ref="E3810:H3810"/>
    <mergeCell ref="A3818:H3818"/>
    <mergeCell ref="D3885:H3885"/>
    <mergeCell ref="E3889:H3889"/>
    <mergeCell ref="E3890:H3890"/>
    <mergeCell ref="E3891:H3891"/>
    <mergeCell ref="A3694:H3694"/>
    <mergeCell ref="D3802:H3802"/>
    <mergeCell ref="E3806:H3806"/>
    <mergeCell ref="E3807:H3807"/>
    <mergeCell ref="E3808:H3808"/>
    <mergeCell ref="E3809:H3809"/>
    <mergeCell ref="E3681:H3681"/>
    <mergeCell ref="E3682:H3682"/>
    <mergeCell ref="E3683:H3683"/>
    <mergeCell ref="E3684:H3684"/>
    <mergeCell ref="E3685:H3685"/>
    <mergeCell ref="E3686:H3686"/>
    <mergeCell ref="A3572:H3572"/>
    <mergeCell ref="A3575:H3575"/>
    <mergeCell ref="A3653:C3653"/>
    <mergeCell ref="A3654:C3654"/>
    <mergeCell ref="A3655:C3655"/>
    <mergeCell ref="D3677:H3677"/>
    <mergeCell ref="E3453:H3453"/>
    <mergeCell ref="A3461:H3461"/>
    <mergeCell ref="D3558:H3558"/>
    <mergeCell ref="E3562:H3562"/>
    <mergeCell ref="E3563:H3563"/>
    <mergeCell ref="E3564:H3564"/>
    <mergeCell ref="E3373:H3373"/>
    <mergeCell ref="E3374:H3374"/>
    <mergeCell ref="E3375:H3375"/>
    <mergeCell ref="A3382:H3382"/>
    <mergeCell ref="D3448:H3448"/>
    <mergeCell ref="E3452:H3452"/>
    <mergeCell ref="E3298:H3298"/>
    <mergeCell ref="A3306:H3306"/>
    <mergeCell ref="D3367:H3367"/>
    <mergeCell ref="E3369:H3369"/>
    <mergeCell ref="E3371:H3371"/>
    <mergeCell ref="E3372:H3372"/>
    <mergeCell ref="E3199:H3199"/>
    <mergeCell ref="E3200:H3200"/>
    <mergeCell ref="E3201:H3201"/>
    <mergeCell ref="A3211:H3211"/>
    <mergeCell ref="D3293:H3293"/>
    <mergeCell ref="E3297:H3297"/>
    <mergeCell ref="E3118:H3118"/>
    <mergeCell ref="E3119:H3119"/>
    <mergeCell ref="E3120:H3120"/>
    <mergeCell ref="A3128:H3128"/>
    <mergeCell ref="D3194:H3194"/>
    <mergeCell ref="E3198:H3198"/>
    <mergeCell ref="A3046:H3046"/>
    <mergeCell ref="D3110:H3110"/>
    <mergeCell ref="E3114:H3114"/>
    <mergeCell ref="E3115:H3115"/>
    <mergeCell ref="E3116:H3116"/>
    <mergeCell ref="E3117:H3117"/>
    <mergeCell ref="D3027:H3027"/>
    <mergeCell ref="E3031:H3031"/>
    <mergeCell ref="E3032:H3032"/>
    <mergeCell ref="E3033:H3033"/>
    <mergeCell ref="E3034:H3034"/>
    <mergeCell ref="E3035:H3035"/>
    <mergeCell ref="D2957:H2957"/>
    <mergeCell ref="E2961:H2961"/>
    <mergeCell ref="E2962:H2962"/>
    <mergeCell ref="E2963:H2963"/>
    <mergeCell ref="E2964:H2964"/>
    <mergeCell ref="A2973:H2973"/>
    <mergeCell ref="E2833:H2833"/>
    <mergeCell ref="A2840:H2840"/>
    <mergeCell ref="D2890:H2890"/>
    <mergeCell ref="E2894:H2894"/>
    <mergeCell ref="E2895:H2895"/>
    <mergeCell ref="A2906:H2906"/>
    <mergeCell ref="E2764:H2764"/>
    <mergeCell ref="A2772:H2772"/>
    <mergeCell ref="D2826:H2826"/>
    <mergeCell ref="E2830:H2830"/>
    <mergeCell ref="E2831:H2831"/>
    <mergeCell ref="E2832:H2832"/>
    <mergeCell ref="E2697:H2697"/>
    <mergeCell ref="E2698:H2698"/>
    <mergeCell ref="A2704:H2704"/>
    <mergeCell ref="D2758:H2758"/>
    <mergeCell ref="E2762:H2762"/>
    <mergeCell ref="E2763:H2763"/>
    <mergeCell ref="E2619:H2619"/>
    <mergeCell ref="A2625:H2625"/>
    <mergeCell ref="D2690:H2690"/>
    <mergeCell ref="E2694:H2694"/>
    <mergeCell ref="E2695:H2695"/>
    <mergeCell ref="E2696:H2696"/>
    <mergeCell ref="D2610:H2610"/>
    <mergeCell ref="E2614:H2614"/>
    <mergeCell ref="E2615:H2615"/>
    <mergeCell ref="E2616:H2616"/>
    <mergeCell ref="E2617:H2617"/>
    <mergeCell ref="E2618:H2618"/>
    <mergeCell ref="E2545:H2545"/>
    <mergeCell ref="E2546:H2546"/>
    <mergeCell ref="E2547:H2547"/>
    <mergeCell ref="E2548:H2548"/>
    <mergeCell ref="E2549:H2549"/>
    <mergeCell ref="A2560:H2560"/>
    <mergeCell ref="D2473:H2473"/>
    <mergeCell ref="E2477:H2477"/>
    <mergeCell ref="E2478:H2478"/>
    <mergeCell ref="E2479:H2479"/>
    <mergeCell ref="A2488:H2488"/>
    <mergeCell ref="D2541:H2541"/>
    <mergeCell ref="E2412:H2412"/>
    <mergeCell ref="E2413:H2413"/>
    <mergeCell ref="E2414:H2414"/>
    <mergeCell ref="E2415:H2415"/>
    <mergeCell ref="E2416:H2416"/>
    <mergeCell ref="A2424:H2424"/>
    <mergeCell ref="D2341:H2341"/>
    <mergeCell ref="E2345:H2345"/>
    <mergeCell ref="E2346:H2346"/>
    <mergeCell ref="E2347:H2347"/>
    <mergeCell ref="A2355:H2355"/>
    <mergeCell ref="D2408:H2408"/>
    <mergeCell ref="E2264:H2264"/>
    <mergeCell ref="E2265:H2265"/>
    <mergeCell ref="E2266:H2266"/>
    <mergeCell ref="E2267:H2267"/>
    <mergeCell ref="E2268:H2268"/>
    <mergeCell ref="A2277:H2277"/>
    <mergeCell ref="D2192:H2192"/>
    <mergeCell ref="E2196:H2196"/>
    <mergeCell ref="E2197:H2197"/>
    <mergeCell ref="A2208:H2208"/>
    <mergeCell ref="D2259:H2259"/>
    <mergeCell ref="E2263:H2263"/>
    <mergeCell ref="A2072:H2072"/>
    <mergeCell ref="D2123:H2123"/>
    <mergeCell ref="E2127:H2127"/>
    <mergeCell ref="E2128:H2128"/>
    <mergeCell ref="E2129:H2129"/>
    <mergeCell ref="A2138:H2138"/>
    <mergeCell ref="D2057:H2057"/>
    <mergeCell ref="E2061:H2061"/>
    <mergeCell ref="E2062:H2062"/>
    <mergeCell ref="E2063:H2063"/>
    <mergeCell ref="E2064:H2064"/>
    <mergeCell ref="E2065:H2065"/>
    <mergeCell ref="E1996:H1996"/>
    <mergeCell ref="E1997:H1997"/>
    <mergeCell ref="E1998:H1998"/>
    <mergeCell ref="E1999:H1999"/>
    <mergeCell ref="E2000:H2000"/>
    <mergeCell ref="A2009:H2009"/>
    <mergeCell ref="E1919:H1919"/>
    <mergeCell ref="E1920:H1920"/>
    <mergeCell ref="E1921:H1921"/>
    <mergeCell ref="E1922:H1922"/>
    <mergeCell ref="A1930:H1930"/>
    <mergeCell ref="D1992:H1992"/>
    <mergeCell ref="E1913:H1913"/>
    <mergeCell ref="E1914:H1914"/>
    <mergeCell ref="E1915:H1915"/>
    <mergeCell ref="E1916:H1916"/>
    <mergeCell ref="E1917:H1917"/>
    <mergeCell ref="E1918:H1918"/>
    <mergeCell ref="E1853:H1853"/>
    <mergeCell ref="E1854:H1854"/>
    <mergeCell ref="E1855:H1855"/>
    <mergeCell ref="E1856:H1856"/>
    <mergeCell ref="A1863:H1863"/>
    <mergeCell ref="D1909:H1909"/>
    <mergeCell ref="A1823:D1823"/>
    <mergeCell ref="A1824:D1824"/>
    <mergeCell ref="A1825:D1825"/>
    <mergeCell ref="A1826:D1826"/>
    <mergeCell ref="A1841:D1841"/>
    <mergeCell ref="D1849:H1849"/>
    <mergeCell ref="D1779:H1779"/>
    <mergeCell ref="E1783:H1783"/>
    <mergeCell ref="E1784:H1784"/>
    <mergeCell ref="E1785:H1785"/>
    <mergeCell ref="E1786:H1786"/>
    <mergeCell ref="A1799:H1799"/>
    <mergeCell ref="E1715:H1715"/>
    <mergeCell ref="E1716:H1716"/>
    <mergeCell ref="E1717:H1717"/>
    <mergeCell ref="E1718:H1718"/>
    <mergeCell ref="E1719:H1719"/>
    <mergeCell ref="A1727:H1727"/>
    <mergeCell ref="E1652:H1652"/>
    <mergeCell ref="E1653:H1653"/>
    <mergeCell ref="E1654:H1654"/>
    <mergeCell ref="E1655:H1655"/>
    <mergeCell ref="A1663:H1663"/>
    <mergeCell ref="D1711:H1711"/>
    <mergeCell ref="A1595:H1595"/>
    <mergeCell ref="D1644:H1644"/>
    <mergeCell ref="E1648:H1648"/>
    <mergeCell ref="E1649:H1649"/>
    <mergeCell ref="E1650:H1650"/>
    <mergeCell ref="E1651:H1651"/>
    <mergeCell ref="D1578:H1578"/>
    <mergeCell ref="E1582:H1582"/>
    <mergeCell ref="E1583:H1583"/>
    <mergeCell ref="E1584:H1584"/>
    <mergeCell ref="E1585:H1585"/>
    <mergeCell ref="E1586:H1586"/>
    <mergeCell ref="E1485:H1485"/>
    <mergeCell ref="E1486:H1486"/>
    <mergeCell ref="E1487:H1487"/>
    <mergeCell ref="E1488:H1488"/>
    <mergeCell ref="E1489:H1489"/>
    <mergeCell ref="A1505:H1505"/>
    <mergeCell ref="E1416:H1416"/>
    <mergeCell ref="E1417:H1417"/>
    <mergeCell ref="E1418:H1418"/>
    <mergeCell ref="E1419:H1419"/>
    <mergeCell ref="A1430:H1430"/>
    <mergeCell ref="D1481:H1481"/>
    <mergeCell ref="D1344:H1344"/>
    <mergeCell ref="E1348:H1348"/>
    <mergeCell ref="E1349:H1349"/>
    <mergeCell ref="E1350:H1350"/>
    <mergeCell ref="A1361:H1361"/>
    <mergeCell ref="D1412:H1412"/>
    <mergeCell ref="E1276:H1276"/>
    <mergeCell ref="E1277:H1277"/>
    <mergeCell ref="E1278:H1278"/>
    <mergeCell ref="E1279:H1279"/>
    <mergeCell ref="E1280:H1280"/>
    <mergeCell ref="A1289:H1289"/>
    <mergeCell ref="E1200:H1200"/>
    <mergeCell ref="E1201:H1201"/>
    <mergeCell ref="E1202:H1202"/>
    <mergeCell ref="A1212:H1212"/>
    <mergeCell ref="D1271:H1271"/>
    <mergeCell ref="E1275:H1275"/>
    <mergeCell ref="E1128:H1128"/>
    <mergeCell ref="E1129:H1129"/>
    <mergeCell ref="A1138:H1138"/>
    <mergeCell ref="D1194:H1194"/>
    <mergeCell ref="E1198:H1198"/>
    <mergeCell ref="E1199:H1199"/>
    <mergeCell ref="E1039:H1039"/>
    <mergeCell ref="E1040:H1040"/>
    <mergeCell ref="E1041:H1041"/>
    <mergeCell ref="A1050:H1050"/>
    <mergeCell ref="D1123:H1123"/>
    <mergeCell ref="E1127:H1127"/>
    <mergeCell ref="A917:H917"/>
    <mergeCell ref="D968:H968"/>
    <mergeCell ref="E972:H972"/>
    <mergeCell ref="E973:H973"/>
    <mergeCell ref="A984:H984"/>
    <mergeCell ref="D1035:H1035"/>
    <mergeCell ref="A848:H848"/>
    <mergeCell ref="D899:H899"/>
    <mergeCell ref="E903:H903"/>
    <mergeCell ref="E904:H904"/>
    <mergeCell ref="E905:H905"/>
    <mergeCell ref="E906:H906"/>
    <mergeCell ref="D829:H829"/>
    <mergeCell ref="E833:H833"/>
    <mergeCell ref="E834:H834"/>
    <mergeCell ref="E835:H835"/>
    <mergeCell ref="E836:H836"/>
    <mergeCell ref="E837:H837"/>
    <mergeCell ref="E762:H762"/>
    <mergeCell ref="E763:H763"/>
    <mergeCell ref="E764:H764"/>
    <mergeCell ref="E765:H765"/>
    <mergeCell ref="E766:H766"/>
    <mergeCell ref="A777:H777"/>
    <mergeCell ref="D692:H692"/>
    <mergeCell ref="E696:H696"/>
    <mergeCell ref="E697:H697"/>
    <mergeCell ref="E698:H698"/>
    <mergeCell ref="A709:H709"/>
    <mergeCell ref="D758:H758"/>
    <mergeCell ref="A641:H641"/>
    <mergeCell ref="A668:D668"/>
    <mergeCell ref="A669:D669"/>
    <mergeCell ref="A670:D670"/>
    <mergeCell ref="A671:D671"/>
    <mergeCell ref="A686:D686"/>
    <mergeCell ref="E562:H562"/>
    <mergeCell ref="E563:H563"/>
    <mergeCell ref="A574:H574"/>
    <mergeCell ref="D627:H627"/>
    <mergeCell ref="E631:H631"/>
    <mergeCell ref="E632:H632"/>
    <mergeCell ref="E491:H491"/>
    <mergeCell ref="E492:H492"/>
    <mergeCell ref="E493:H493"/>
    <mergeCell ref="A504:H504"/>
    <mergeCell ref="D557:H557"/>
    <mergeCell ref="E561:H561"/>
    <mergeCell ref="D422:H422"/>
    <mergeCell ref="E426:H426"/>
    <mergeCell ref="E427:H427"/>
    <mergeCell ref="E428:H428"/>
    <mergeCell ref="A439:H439"/>
    <mergeCell ref="D487:H487"/>
    <mergeCell ref="E291:H291"/>
    <mergeCell ref="A302:H302"/>
    <mergeCell ref="D354:H354"/>
    <mergeCell ref="E358:H358"/>
    <mergeCell ref="E359:H359"/>
    <mergeCell ref="A370:H370"/>
    <mergeCell ref="A230:H230"/>
    <mergeCell ref="D283:H283"/>
    <mergeCell ref="E287:H287"/>
    <mergeCell ref="E288:H288"/>
    <mergeCell ref="E289:H289"/>
    <mergeCell ref="E290:H290"/>
    <mergeCell ref="E217:H217"/>
    <mergeCell ref="E218:H218"/>
    <mergeCell ref="E219:H219"/>
    <mergeCell ref="E82:H82"/>
    <mergeCell ref="E83:H83"/>
    <mergeCell ref="A94:H94"/>
    <mergeCell ref="D145:H145"/>
    <mergeCell ref="E149:H149"/>
    <mergeCell ref="E150:H150"/>
    <mergeCell ref="D5:H5"/>
    <mergeCell ref="E9:H9"/>
    <mergeCell ref="E10:H10"/>
    <mergeCell ref="A21:H21"/>
    <mergeCell ref="D77:H77"/>
    <mergeCell ref="E81:H81"/>
    <mergeCell ref="E151:H151"/>
    <mergeCell ref="A162:H162"/>
    <mergeCell ref="D213:H213"/>
  </mergeCells>
  <pageMargins left="0.65" right="0.59" top="0.47244094488189003" bottom="0.39370078740157499" header="0.31496062992126" footer="0.31496062992126"/>
  <pageSetup paperSize="9" scale="90" orientation="portrait" r:id="rId1"/>
  <rowBreaks count="115" manualBreakCount="115">
    <brk id="72" max="7" man="1"/>
    <brk id="140" max="7" man="1"/>
    <brk id="208" max="7" man="1"/>
    <brk id="278" max="7" man="1"/>
    <brk id="349" max="7" man="1"/>
    <brk id="417" max="7" man="1"/>
    <brk id="482" max="7" man="1"/>
    <brk id="552" max="7" man="1"/>
    <brk id="622" max="7" man="1"/>
    <brk id="687" max="7" man="1"/>
    <brk id="753" max="7" man="1"/>
    <brk id="824" max="7" man="1"/>
    <brk id="894" max="7" man="1"/>
    <brk id="963" max="7" man="1"/>
    <brk id="1030" max="7" man="1"/>
    <brk id="1100" max="7" man="1"/>
    <brk id="1118" max="7" man="1"/>
    <brk id="1189" max="7" man="1"/>
    <brk id="1256" max="16383" man="1"/>
    <brk id="1266" max="7" man="1"/>
    <brk id="1339" max="7" man="1"/>
    <brk id="1407" max="7" man="1"/>
    <brk id="1476" max="7" man="1"/>
    <brk id="1546" max="16383" man="1"/>
    <brk id="1573" max="7" man="1"/>
    <brk id="1639" max="7" man="1"/>
    <brk id="1706" max="7" man="1"/>
    <brk id="1774" max="7" man="1"/>
    <brk id="1844" max="7" man="1"/>
    <brk id="1904" max="7" man="1"/>
    <brk id="1982" max="7" man="1"/>
    <brk id="1987" max="7" man="1"/>
    <brk id="2052" max="7" man="1"/>
    <brk id="2118" max="7" man="1"/>
    <brk id="2187" max="7" man="1"/>
    <brk id="2254" max="7" man="1"/>
    <brk id="2318" max="16383" man="1"/>
    <brk id="2336" max="7" man="1"/>
    <brk id="2403" max="7" man="1"/>
    <brk id="2468" max="7" man="1"/>
    <brk id="2536" max="7" man="1"/>
    <brk id="2605" max="7" man="1"/>
    <brk id="2685" max="7" man="1"/>
    <brk id="2753" max="7" man="1"/>
    <brk id="2821" max="7" man="1"/>
    <brk id="2885" max="7" man="1"/>
    <brk id="2952" max="7" man="1"/>
    <brk id="3022" max="7" man="1"/>
    <brk id="3105" max="7" man="1"/>
    <brk id="3189" max="7" man="1"/>
    <brk id="3279" max="16383" man="1"/>
    <brk id="3288" max="7" man="1"/>
    <brk id="3362" max="7" man="1"/>
    <brk id="3434" max="7" man="1"/>
    <brk id="3443" max="7" man="1"/>
    <brk id="3525" max="7" man="1"/>
    <brk id="3553" max="7" man="1"/>
    <brk id="3643" max="7" man="1"/>
    <brk id="3672" max="7" man="1"/>
    <brk id="3737" max="16383" man="1"/>
    <brk id="3797" max="7" man="1"/>
    <brk id="3880" max="7" man="1"/>
    <brk id="3954" max="7" man="1"/>
    <brk id="4038" max="7" man="1"/>
    <brk id="4113" max="7" man="1"/>
    <brk id="4184" max="7" man="1"/>
    <brk id="4269" max="7" man="1"/>
    <brk id="4356" max="7" man="1"/>
    <brk id="4446" max="7" man="1"/>
    <brk id="4518" max="7" man="1"/>
    <brk id="4590" max="7" man="1"/>
    <brk id="4664" max="7" man="1"/>
    <brk id="4736" max="7" man="1"/>
    <brk id="4803" max="7" man="1"/>
    <brk id="4883" max="7" man="1"/>
    <brk id="4955" max="7" man="1"/>
    <brk id="5039" max="16383" man="1"/>
    <brk id="5048" max="7" man="1"/>
    <brk id="5123" max="7" man="1"/>
    <brk id="5140" max="7" man="1"/>
    <brk id="5223" max="7" man="1"/>
    <brk id="5291" max="7" man="1"/>
    <brk id="5361" max="7" man="1"/>
    <brk id="5428" max="7" man="1"/>
    <brk id="5491" max="7" man="1"/>
    <brk id="5563" max="7" man="1"/>
    <brk id="5623" max="16383" man="1"/>
    <brk id="5634" max="7" man="1"/>
    <brk id="5702" max="7" man="1"/>
    <brk id="5769" max="7" man="1"/>
    <brk id="5838" max="7" man="1"/>
    <brk id="5910" max="7" man="1"/>
    <brk id="5977" max="7" man="1"/>
    <brk id="6045" max="7" man="1"/>
    <brk id="6118" max="7" man="1"/>
    <brk id="6197" max="7" man="1"/>
    <brk id="6264" max="7" man="1"/>
    <brk id="6333" max="7" man="1"/>
    <brk id="6404" max="7" man="1"/>
    <brk id="6479" max="7" man="1"/>
    <brk id="6550" max="7" man="1"/>
    <brk id="6617" max="7" man="1"/>
    <brk id="6684" max="7" man="1"/>
    <brk id="6751" max="7" man="1"/>
    <brk id="6820" max="7" man="1"/>
    <brk id="6890" max="7" man="1"/>
    <brk id="6962" max="7" man="1"/>
    <brk id="7034" max="7" man="1"/>
    <brk id="7103" max="7" man="1"/>
    <brk id="7172" max="7" man="1"/>
    <brk id="7239" max="7" man="1"/>
    <brk id="7306" max="7" man="1"/>
    <brk id="7374" max="7" man="1"/>
    <brk id="7442" max="7" man="1"/>
    <brk id="7511" max="7" man="1"/>
  </rowBreaks>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55"/>
  <sheetViews>
    <sheetView zoomScaleNormal="100" workbookViewId="0"/>
  </sheetViews>
  <sheetFormatPr baseColWidth="10" defaultRowHeight="11.25"/>
  <cols>
    <col min="1" max="1" width="4.42578125" style="396" customWidth="1"/>
    <col min="2" max="2" width="5" style="396" bestFit="1" customWidth="1"/>
    <col min="3" max="3" width="38.85546875" style="396" customWidth="1"/>
    <col min="4" max="7" width="11.7109375" style="525" customWidth="1"/>
    <col min="8" max="8" width="15.7109375" style="525" bestFit="1" customWidth="1"/>
    <col min="9" max="9" width="16.28515625" style="525" bestFit="1" customWidth="1"/>
    <col min="10" max="10" width="15.7109375" style="525" bestFit="1" customWidth="1"/>
    <col min="11" max="12" width="11.42578125" style="525"/>
    <col min="13" max="16384" width="11.42578125" style="396"/>
  </cols>
  <sheetData>
    <row r="1" spans="1:12" ht="24" customHeight="1">
      <c r="B1" s="518"/>
      <c r="C1" s="519"/>
      <c r="D1" s="520" t="s">
        <v>1414</v>
      </c>
      <c r="E1" s="521" t="s">
        <v>1415</v>
      </c>
      <c r="F1" s="522" t="s">
        <v>1416</v>
      </c>
      <c r="G1" s="523" t="s">
        <v>1417</v>
      </c>
      <c r="H1" s="524" t="s">
        <v>1418</v>
      </c>
      <c r="I1" s="524" t="s">
        <v>1419</v>
      </c>
      <c r="J1" s="524" t="s">
        <v>1420</v>
      </c>
    </row>
    <row r="2" spans="1:12" ht="12.75">
      <c r="A2" s="526" t="s">
        <v>1421</v>
      </c>
      <c r="B2" s="518"/>
      <c r="C2" s="518"/>
      <c r="D2" s="527"/>
    </row>
    <row r="3" spans="1:12" ht="12.75">
      <c r="A3" s="526"/>
      <c r="B3" s="518"/>
      <c r="C3" s="528"/>
      <c r="D3" s="527"/>
    </row>
    <row r="4" spans="1:12" s="535" customFormat="1" ht="19.5" customHeight="1">
      <c r="A4" s="529" t="s">
        <v>1422</v>
      </c>
      <c r="B4" s="529" t="s">
        <v>1423</v>
      </c>
      <c r="C4" s="529" t="s">
        <v>1424</v>
      </c>
      <c r="D4" s="530">
        <v>29500000</v>
      </c>
      <c r="E4" s="531">
        <v>277650666</v>
      </c>
      <c r="F4" s="532">
        <v>27980192</v>
      </c>
      <c r="G4" s="533">
        <v>35400000</v>
      </c>
      <c r="H4" s="534">
        <v>63556972</v>
      </c>
      <c r="I4" s="534">
        <v>65795001</v>
      </c>
      <c r="J4" s="534">
        <v>51034501</v>
      </c>
    </row>
    <row r="5" spans="1:12" s="535" customFormat="1" ht="19.5" customHeight="1">
      <c r="A5" s="529" t="s">
        <v>1425</v>
      </c>
      <c r="B5" s="529" t="s">
        <v>1423</v>
      </c>
      <c r="C5" s="529" t="s">
        <v>1426</v>
      </c>
      <c r="D5" s="530">
        <v>3000000</v>
      </c>
      <c r="E5" s="531">
        <v>28800000</v>
      </c>
      <c r="F5" s="532">
        <v>3000000</v>
      </c>
      <c r="G5" s="533">
        <v>3600000</v>
      </c>
      <c r="H5" s="534">
        <v>3600000</v>
      </c>
      <c r="I5" s="534">
        <v>3600000</v>
      </c>
      <c r="J5" s="534">
        <v>3600000</v>
      </c>
    </row>
    <row r="6" spans="1:12" s="535" customFormat="1" ht="19.5" customHeight="1">
      <c r="A6" s="529" t="s">
        <v>1427</v>
      </c>
      <c r="B6" s="529" t="s">
        <v>1423</v>
      </c>
      <c r="C6" s="529" t="s">
        <v>1428</v>
      </c>
      <c r="D6" s="530">
        <v>2500000</v>
      </c>
      <c r="E6" s="531">
        <v>22345000</v>
      </c>
      <c r="F6" s="532">
        <v>3989000</v>
      </c>
      <c r="G6" s="533">
        <v>3000000</v>
      </c>
      <c r="H6" s="534">
        <v>4520000</v>
      </c>
      <c r="I6" s="534">
        <v>3311000</v>
      </c>
      <c r="J6" s="534">
        <v>2165000</v>
      </c>
    </row>
    <row r="7" spans="1:12" s="535" customFormat="1" ht="19.5" customHeight="1">
      <c r="A7" s="529" t="s">
        <v>1429</v>
      </c>
      <c r="B7" s="529" t="s">
        <v>1423</v>
      </c>
      <c r="C7" s="529" t="s">
        <v>1430</v>
      </c>
      <c r="D7" s="530">
        <v>5000000</v>
      </c>
      <c r="E7" s="531">
        <v>15375000</v>
      </c>
      <c r="F7" s="532">
        <v>5010000</v>
      </c>
      <c r="G7" s="533">
        <v>6000000</v>
      </c>
      <c r="H7" s="534">
        <v>5132000</v>
      </c>
      <c r="I7" s="534">
        <v>1995000</v>
      </c>
      <c r="J7" s="534">
        <v>3088000</v>
      </c>
    </row>
    <row r="8" spans="1:12" s="535" customFormat="1" ht="19.5" customHeight="1">
      <c r="A8" s="529" t="s">
        <v>1431</v>
      </c>
      <c r="B8" s="529" t="s">
        <v>1423</v>
      </c>
      <c r="C8" s="529" t="s">
        <v>1432</v>
      </c>
      <c r="D8" s="530">
        <v>1000000</v>
      </c>
      <c r="E8" s="531">
        <v>21350000</v>
      </c>
      <c r="F8" s="532">
        <v>2350000</v>
      </c>
      <c r="G8" s="533">
        <v>1200000</v>
      </c>
      <c r="H8" s="534">
        <v>7750000</v>
      </c>
      <c r="I8" s="534">
        <v>7750000</v>
      </c>
      <c r="J8" s="534">
        <v>2250000</v>
      </c>
    </row>
    <row r="9" spans="1:12" s="535" customFormat="1" ht="6" customHeight="1">
      <c r="A9" s="536"/>
      <c r="B9" s="536"/>
      <c r="C9" s="536"/>
      <c r="D9" s="537"/>
      <c r="E9" s="538"/>
      <c r="F9" s="537"/>
      <c r="G9" s="537"/>
      <c r="H9" s="539"/>
      <c r="I9" s="539"/>
      <c r="J9" s="539"/>
    </row>
    <row r="10" spans="1:12" s="546" customFormat="1" ht="19.5" customHeight="1">
      <c r="A10" s="529"/>
      <c r="B10" s="540"/>
      <c r="C10" s="540" t="s">
        <v>1433</v>
      </c>
      <c r="D10" s="541">
        <v>4000000</v>
      </c>
      <c r="E10" s="542"/>
      <c r="F10" s="543">
        <v>4000000</v>
      </c>
      <c r="G10" s="544"/>
      <c r="H10" s="545">
        <v>4000000</v>
      </c>
      <c r="I10" s="545">
        <v>4000000</v>
      </c>
      <c r="J10" s="545">
        <v>4000000</v>
      </c>
    </row>
    <row r="11" spans="1:12" s="546" customFormat="1" ht="5.25" customHeight="1">
      <c r="A11" s="536"/>
      <c r="B11" s="536"/>
      <c r="C11" s="536"/>
      <c r="D11" s="537"/>
      <c r="E11" s="538"/>
      <c r="F11" s="537"/>
      <c r="G11" s="537"/>
      <c r="H11" s="539"/>
      <c r="I11" s="539"/>
      <c r="J11" s="539"/>
    </row>
    <row r="12" spans="1:12" s="546" customFormat="1" ht="19.5" customHeight="1">
      <c r="A12" s="547" t="s">
        <v>1434</v>
      </c>
      <c r="B12" s="548"/>
      <c r="C12" s="548"/>
      <c r="D12" s="549">
        <v>45000000</v>
      </c>
      <c r="E12" s="550">
        <v>365520666</v>
      </c>
      <c r="F12" s="551">
        <v>46329192</v>
      </c>
      <c r="G12" s="552">
        <v>49200000</v>
      </c>
      <c r="H12" s="552">
        <v>88558972</v>
      </c>
      <c r="I12" s="552">
        <v>86451001</v>
      </c>
      <c r="J12" s="552">
        <v>66137501</v>
      </c>
    </row>
    <row r="13" spans="1:12" s="553" customFormat="1" ht="15.75" customHeight="1">
      <c r="D13" s="554"/>
      <c r="E13" s="554"/>
      <c r="F13" s="554"/>
      <c r="G13" s="554"/>
      <c r="H13" s="554"/>
      <c r="I13" s="554"/>
      <c r="J13" s="554"/>
      <c r="K13" s="554"/>
      <c r="L13" s="554"/>
    </row>
    <row r="14" spans="1:12" s="553" customFormat="1" ht="12.75">
      <c r="D14" s="554"/>
      <c r="E14" s="554"/>
      <c r="F14" s="554"/>
      <c r="G14" s="554"/>
      <c r="H14" s="554"/>
      <c r="I14" s="554"/>
      <c r="J14" s="554"/>
      <c r="K14" s="554"/>
      <c r="L14" s="554"/>
    </row>
    <row r="15" spans="1:12" s="230" customFormat="1" ht="12.75">
      <c r="A15" s="230" t="s">
        <v>1435</v>
      </c>
      <c r="D15" s="555"/>
      <c r="E15" s="555"/>
      <c r="F15" s="555"/>
      <c r="G15" s="555"/>
      <c r="H15" s="555"/>
      <c r="I15" s="555"/>
      <c r="J15" s="555"/>
      <c r="K15" s="555"/>
      <c r="L15" s="555"/>
    </row>
    <row r="16" spans="1:12" s="553" customFormat="1" ht="12.75">
      <c r="D16" s="554"/>
      <c r="E16" s="554"/>
      <c r="F16" s="554"/>
      <c r="G16" s="554"/>
      <c r="H16" s="554"/>
      <c r="I16" s="554"/>
      <c r="J16" s="554"/>
      <c r="K16" s="554"/>
      <c r="L16" s="554"/>
    </row>
    <row r="17" spans="1:12" s="535" customFormat="1" ht="19.5" customHeight="1">
      <c r="A17" s="529" t="s">
        <v>1436</v>
      </c>
      <c r="B17" s="529" t="s">
        <v>1423</v>
      </c>
      <c r="C17" s="529" t="s">
        <v>364</v>
      </c>
      <c r="D17" s="556"/>
      <c r="E17" s="531">
        <v>878000</v>
      </c>
      <c r="F17" s="532">
        <v>310000</v>
      </c>
      <c r="G17" s="533"/>
      <c r="H17" s="534">
        <v>290000</v>
      </c>
      <c r="I17" s="534">
        <v>80000</v>
      </c>
      <c r="J17" s="534">
        <v>198000</v>
      </c>
    </row>
    <row r="18" spans="1:12" s="535" customFormat="1" ht="19.5" customHeight="1">
      <c r="A18" s="529" t="s">
        <v>1437</v>
      </c>
      <c r="B18" s="529" t="s">
        <v>1423</v>
      </c>
      <c r="C18" s="529" t="s">
        <v>194</v>
      </c>
      <c r="D18" s="556"/>
      <c r="E18" s="531">
        <v>24330000</v>
      </c>
      <c r="F18" s="532">
        <v>4020000</v>
      </c>
      <c r="G18" s="533"/>
      <c r="H18" s="557">
        <v>9545000</v>
      </c>
      <c r="I18" s="557">
        <v>8790000</v>
      </c>
      <c r="J18" s="557">
        <v>1035000</v>
      </c>
    </row>
    <row r="19" spans="1:12" s="535" customFormat="1" ht="19.5" customHeight="1">
      <c r="A19" s="529" t="s">
        <v>1438</v>
      </c>
      <c r="B19" s="529" t="s">
        <v>1423</v>
      </c>
      <c r="C19" s="529" t="s">
        <v>1439</v>
      </c>
      <c r="D19" s="556"/>
      <c r="E19" s="531">
        <v>12827663</v>
      </c>
      <c r="F19" s="532">
        <v>3609191</v>
      </c>
      <c r="G19" s="533"/>
      <c r="H19" s="557">
        <v>3303472</v>
      </c>
      <c r="I19" s="557">
        <v>1480000</v>
      </c>
      <c r="J19" s="557">
        <v>975000</v>
      </c>
    </row>
    <row r="20" spans="1:12" s="535" customFormat="1" ht="19.5" customHeight="1">
      <c r="A20" s="529" t="s">
        <v>1440</v>
      </c>
      <c r="B20" s="529" t="s">
        <v>1423</v>
      </c>
      <c r="C20" s="529" t="s">
        <v>1441</v>
      </c>
      <c r="D20" s="556"/>
      <c r="E20" s="531">
        <v>8587000</v>
      </c>
      <c r="F20" s="532">
        <v>1575000</v>
      </c>
      <c r="G20" s="533"/>
      <c r="H20" s="557">
        <v>1971000</v>
      </c>
      <c r="I20" s="557">
        <v>1801000</v>
      </c>
      <c r="J20" s="557">
        <v>2850000</v>
      </c>
    </row>
    <row r="21" spans="1:12" s="535" customFormat="1" ht="19.5" customHeight="1">
      <c r="A21" s="529" t="s">
        <v>1442</v>
      </c>
      <c r="B21" s="529" t="s">
        <v>1423</v>
      </c>
      <c r="C21" s="529" t="s">
        <v>1443</v>
      </c>
      <c r="D21" s="556"/>
      <c r="E21" s="531">
        <v>309523003</v>
      </c>
      <c r="F21" s="532">
        <v>29590001</v>
      </c>
      <c r="G21" s="533"/>
      <c r="H21" s="557">
        <v>66799500</v>
      </c>
      <c r="I21" s="557">
        <v>70050001</v>
      </c>
      <c r="J21" s="557">
        <v>55079501</v>
      </c>
    </row>
    <row r="22" spans="1:12" s="535" customFormat="1" ht="19.5" customHeight="1">
      <c r="A22" s="529" t="s">
        <v>1444</v>
      </c>
      <c r="B22" s="529" t="s">
        <v>1423</v>
      </c>
      <c r="C22" s="529" t="s">
        <v>1445</v>
      </c>
      <c r="D22" s="556"/>
      <c r="E22" s="531">
        <v>9375000</v>
      </c>
      <c r="F22" s="532">
        <v>3225000</v>
      </c>
      <c r="G22" s="533"/>
      <c r="H22" s="557">
        <v>2650000</v>
      </c>
      <c r="I22" s="557">
        <v>250000</v>
      </c>
      <c r="J22" s="557">
        <v>2000000</v>
      </c>
    </row>
    <row r="23" spans="1:12" s="535" customFormat="1" ht="6" customHeight="1">
      <c r="A23" s="536"/>
      <c r="B23" s="536"/>
      <c r="C23" s="536"/>
      <c r="D23" s="537"/>
      <c r="E23" s="538"/>
      <c r="F23" s="537"/>
      <c r="G23" s="537"/>
      <c r="H23" s="539"/>
      <c r="I23" s="539"/>
      <c r="J23" s="539"/>
    </row>
    <row r="24" spans="1:12" s="546" customFormat="1" ht="19.5" customHeight="1">
      <c r="A24" s="529"/>
      <c r="B24" s="540"/>
      <c r="C24" s="540" t="s">
        <v>1433</v>
      </c>
      <c r="D24" s="558"/>
      <c r="E24" s="542"/>
      <c r="F24" s="543">
        <v>4000000</v>
      </c>
      <c r="G24" s="544"/>
      <c r="H24" s="545">
        <v>4000000</v>
      </c>
      <c r="I24" s="545">
        <v>4000000</v>
      </c>
      <c r="J24" s="545">
        <v>4000000</v>
      </c>
    </row>
    <row r="25" spans="1:12" s="535" customFormat="1" ht="6" customHeight="1">
      <c r="A25" s="536"/>
      <c r="B25" s="536"/>
      <c r="C25" s="536"/>
      <c r="D25" s="537"/>
      <c r="E25" s="538"/>
      <c r="F25" s="537"/>
      <c r="G25" s="537"/>
      <c r="H25" s="539"/>
      <c r="I25" s="539"/>
      <c r="J25" s="539"/>
    </row>
    <row r="26" spans="1:12" s="546" customFormat="1" ht="19.5" customHeight="1">
      <c r="A26" s="547" t="s">
        <v>1446</v>
      </c>
      <c r="B26" s="548"/>
      <c r="C26" s="548"/>
      <c r="D26" s="559"/>
      <c r="E26" s="550">
        <v>365520666</v>
      </c>
      <c r="F26" s="551">
        <v>46329192</v>
      </c>
      <c r="G26" s="560"/>
      <c r="H26" s="552">
        <v>88558972</v>
      </c>
      <c r="I26" s="552">
        <v>86451001</v>
      </c>
      <c r="J26" s="552">
        <v>66137501</v>
      </c>
    </row>
    <row r="31" spans="1:12" s="230" customFormat="1" ht="12.75">
      <c r="A31" s="230" t="s">
        <v>1447</v>
      </c>
      <c r="D31" s="555"/>
      <c r="E31" s="555"/>
      <c r="F31" s="555"/>
      <c r="G31" s="555"/>
      <c r="H31" s="555"/>
      <c r="I31" s="555"/>
      <c r="J31" s="555"/>
      <c r="K31" s="555"/>
      <c r="L31" s="555"/>
    </row>
    <row r="32" spans="1:12" s="553" customFormat="1" ht="12.75">
      <c r="D32" s="554"/>
      <c r="E32" s="554"/>
      <c r="F32" s="554"/>
      <c r="G32" s="554"/>
      <c r="H32" s="554"/>
      <c r="I32" s="554"/>
      <c r="J32" s="554"/>
      <c r="K32" s="554"/>
      <c r="L32" s="554"/>
    </row>
    <row r="33" spans="1:12" s="535" customFormat="1" ht="19.5" customHeight="1">
      <c r="A33" s="529" t="s">
        <v>1448</v>
      </c>
      <c r="B33" s="529" t="s">
        <v>1423</v>
      </c>
      <c r="C33" s="529" t="s">
        <v>1449</v>
      </c>
      <c r="D33" s="556">
        <v>7500000</v>
      </c>
      <c r="E33" s="531">
        <v>68710000</v>
      </c>
      <c r="F33" s="532">
        <v>8165000</v>
      </c>
      <c r="G33" s="533"/>
      <c r="H33" s="534">
        <v>8405000</v>
      </c>
      <c r="I33" s="534">
        <v>15025000</v>
      </c>
      <c r="J33" s="534">
        <v>14665000</v>
      </c>
    </row>
    <row r="34" spans="1:12" s="535" customFormat="1" ht="19.5" customHeight="1">
      <c r="A34" s="529" t="s">
        <v>1450</v>
      </c>
      <c r="B34" s="529" t="s">
        <v>1423</v>
      </c>
      <c r="C34" s="529" t="s">
        <v>1451</v>
      </c>
      <c r="D34" s="556"/>
      <c r="E34" s="531">
        <v>15425000</v>
      </c>
      <c r="F34" s="532">
        <v>4290000</v>
      </c>
      <c r="G34" s="533"/>
      <c r="H34" s="534">
        <v>1985000</v>
      </c>
      <c r="I34" s="534">
        <v>2555000</v>
      </c>
      <c r="J34" s="534">
        <v>1200000</v>
      </c>
    </row>
    <row r="35" spans="1:12" s="535" customFormat="1" ht="6" customHeight="1">
      <c r="A35" s="536"/>
      <c r="B35" s="536"/>
      <c r="C35" s="536"/>
      <c r="D35" s="537"/>
      <c r="E35" s="538"/>
      <c r="F35" s="537"/>
      <c r="G35" s="537"/>
      <c r="H35" s="539"/>
      <c r="I35" s="539"/>
      <c r="J35" s="539"/>
    </row>
    <row r="36" spans="1:12" s="546" customFormat="1" ht="19.5" customHeight="1">
      <c r="A36" s="547" t="s">
        <v>1452</v>
      </c>
      <c r="B36" s="548"/>
      <c r="C36" s="548"/>
      <c r="D36" s="559"/>
      <c r="E36" s="550">
        <v>84135000</v>
      </c>
      <c r="F36" s="551">
        <v>12455000</v>
      </c>
      <c r="G36" s="560"/>
      <c r="H36" s="552">
        <v>10390000</v>
      </c>
      <c r="I36" s="552">
        <v>17580000</v>
      </c>
      <c r="J36" s="552">
        <v>15865000</v>
      </c>
    </row>
    <row r="40" spans="1:12" s="230" customFormat="1" ht="12.75">
      <c r="A40" s="230" t="s">
        <v>1453</v>
      </c>
      <c r="D40" s="555"/>
      <c r="E40" s="555"/>
      <c r="F40" s="555"/>
      <c r="G40" s="555"/>
      <c r="H40" s="555"/>
      <c r="I40" s="555"/>
      <c r="J40" s="555"/>
      <c r="K40" s="555"/>
      <c r="L40" s="555"/>
    </row>
    <row r="41" spans="1:12" s="553" customFormat="1" ht="12.75">
      <c r="D41" s="554"/>
      <c r="E41" s="554"/>
      <c r="F41" s="554"/>
      <c r="G41" s="554"/>
      <c r="H41" s="554"/>
      <c r="I41" s="554"/>
      <c r="J41" s="554"/>
      <c r="K41" s="554"/>
      <c r="L41" s="554"/>
    </row>
    <row r="42" spans="1:12" s="535" customFormat="1" ht="19.5" customHeight="1">
      <c r="A42" s="529" t="s">
        <v>1454</v>
      </c>
      <c r="B42" s="529" t="s">
        <v>1423</v>
      </c>
      <c r="C42" s="529" t="s">
        <v>1455</v>
      </c>
      <c r="D42" s="556"/>
      <c r="E42" s="531"/>
      <c r="F42" s="532">
        <v>21500000</v>
      </c>
      <c r="G42" s="533"/>
      <c r="H42" s="557">
        <v>8000000</v>
      </c>
      <c r="I42" s="557">
        <v>74300000</v>
      </c>
      <c r="J42" s="557">
        <v>47200000</v>
      </c>
    </row>
    <row r="43" spans="1:12" s="535" customFormat="1" ht="19.5" customHeight="1">
      <c r="A43" s="529" t="s">
        <v>1456</v>
      </c>
      <c r="B43" s="529" t="s">
        <v>1423</v>
      </c>
      <c r="C43" s="529" t="s">
        <v>1457</v>
      </c>
      <c r="D43" s="556"/>
      <c r="E43" s="531"/>
      <c r="F43" s="532">
        <v>125000000</v>
      </c>
      <c r="G43" s="533"/>
      <c r="H43" s="534">
        <v>104400000</v>
      </c>
      <c r="I43" s="534">
        <v>89200000</v>
      </c>
      <c r="J43" s="534">
        <v>89200000</v>
      </c>
    </row>
    <row r="44" spans="1:12" s="535" customFormat="1" ht="19.5" customHeight="1">
      <c r="A44" s="529" t="s">
        <v>1458</v>
      </c>
      <c r="B44" s="529" t="s">
        <v>1423</v>
      </c>
      <c r="C44" s="529" t="s">
        <v>1459</v>
      </c>
      <c r="D44" s="556"/>
      <c r="E44" s="531"/>
      <c r="F44" s="532">
        <v>75034000</v>
      </c>
      <c r="G44" s="533"/>
      <c r="H44" s="533">
        <v>58053000</v>
      </c>
      <c r="I44" s="533">
        <v>44963000</v>
      </c>
      <c r="J44" s="533">
        <v>45000000</v>
      </c>
    </row>
    <row r="45" spans="1:12" s="535" customFormat="1" ht="6" customHeight="1">
      <c r="A45" s="536"/>
      <c r="B45" s="536"/>
      <c r="C45" s="536"/>
      <c r="D45" s="537"/>
      <c r="E45" s="538"/>
      <c r="F45" s="537"/>
      <c r="G45" s="537"/>
      <c r="H45" s="539"/>
      <c r="I45" s="539"/>
      <c r="J45" s="539"/>
    </row>
    <row r="46" spans="1:12" s="546" customFormat="1" ht="19.5" customHeight="1">
      <c r="A46" s="547" t="s">
        <v>1460</v>
      </c>
      <c r="B46" s="548"/>
      <c r="C46" s="548"/>
      <c r="D46" s="559"/>
      <c r="E46" s="550"/>
      <c r="F46" s="551">
        <v>221534000</v>
      </c>
      <c r="G46" s="560"/>
      <c r="H46" s="552">
        <v>170453000</v>
      </c>
      <c r="I46" s="552">
        <v>208463000</v>
      </c>
      <c r="J46" s="552">
        <v>181400000</v>
      </c>
    </row>
    <row r="47" spans="1:12" s="535" customFormat="1" ht="6" customHeight="1">
      <c r="A47" s="536"/>
      <c r="B47" s="536"/>
      <c r="C47" s="536"/>
      <c r="D47" s="537"/>
      <c r="E47" s="538"/>
      <c r="F47" s="537"/>
      <c r="G47" s="537"/>
      <c r="H47" s="539"/>
      <c r="I47" s="539"/>
      <c r="J47" s="539"/>
    </row>
    <row r="48" spans="1:12" s="546" customFormat="1" ht="19.5" customHeight="1">
      <c r="A48" s="547" t="s">
        <v>1461</v>
      </c>
      <c r="B48" s="548"/>
      <c r="C48" s="548"/>
      <c r="D48" s="559"/>
      <c r="E48" s="550"/>
      <c r="F48" s="551">
        <v>280318192</v>
      </c>
      <c r="G48" s="560"/>
      <c r="H48" s="552">
        <v>269401972</v>
      </c>
      <c r="I48" s="552">
        <v>312494001</v>
      </c>
      <c r="J48" s="552">
        <v>263402501</v>
      </c>
    </row>
    <row r="49" spans="1:10" s="535" customFormat="1" ht="6" customHeight="1">
      <c r="A49" s="536"/>
      <c r="B49" s="536"/>
      <c r="C49" s="536"/>
      <c r="D49" s="537"/>
      <c r="E49" s="538"/>
      <c r="F49" s="537"/>
      <c r="G49" s="537"/>
      <c r="H49" s="539"/>
      <c r="I49" s="539"/>
      <c r="J49" s="539"/>
    </row>
    <row r="50" spans="1:10" s="535" customFormat="1" ht="19.5" customHeight="1">
      <c r="A50" s="529" t="s">
        <v>1462</v>
      </c>
      <c r="B50" s="529" t="s">
        <v>1423</v>
      </c>
      <c r="C50" s="529" t="s">
        <v>50</v>
      </c>
      <c r="D50" s="556"/>
      <c r="E50" s="531"/>
      <c r="F50" s="532">
        <v>72278000</v>
      </c>
      <c r="G50" s="533"/>
      <c r="H50" s="534">
        <v>65110000</v>
      </c>
      <c r="I50" s="534">
        <v>34466000</v>
      </c>
      <c r="J50" s="534">
        <v>32470000</v>
      </c>
    </row>
    <row r="51" spans="1:10" s="535" customFormat="1" ht="19.5" customHeight="1">
      <c r="A51" s="529" t="s">
        <v>1444</v>
      </c>
      <c r="B51" s="529" t="s">
        <v>1423</v>
      </c>
      <c r="C51" s="529" t="s">
        <v>374</v>
      </c>
      <c r="D51" s="556"/>
      <c r="E51" s="531"/>
      <c r="F51" s="532">
        <v>0</v>
      </c>
      <c r="G51" s="533"/>
      <c r="H51" s="533">
        <v>0</v>
      </c>
      <c r="I51" s="533">
        <v>0</v>
      </c>
      <c r="J51" s="533">
        <v>0</v>
      </c>
    </row>
    <row r="52" spans="1:10" s="535" customFormat="1" ht="6" customHeight="1">
      <c r="A52" s="536"/>
      <c r="B52" s="561"/>
      <c r="C52" s="561"/>
      <c r="D52" s="562"/>
      <c r="E52" s="563"/>
      <c r="F52" s="562"/>
      <c r="G52" s="562"/>
      <c r="H52" s="564"/>
      <c r="I52" s="564"/>
      <c r="J52" s="564"/>
    </row>
    <row r="53" spans="1:10" s="546" customFormat="1" ht="19.5" customHeight="1">
      <c r="A53" s="547" t="s">
        <v>1463</v>
      </c>
      <c r="B53" s="548"/>
      <c r="C53" s="548"/>
      <c r="D53" s="559"/>
      <c r="E53" s="550"/>
      <c r="F53" s="551">
        <v>72278000</v>
      </c>
      <c r="G53" s="560"/>
      <c r="H53" s="552">
        <v>65110000</v>
      </c>
      <c r="I53" s="552">
        <v>34466000</v>
      </c>
      <c r="J53" s="552">
        <v>32470000</v>
      </c>
    </row>
    <row r="54" spans="1:10" s="535" customFormat="1" ht="6" customHeight="1">
      <c r="A54" s="536"/>
      <c r="B54" s="536"/>
      <c r="C54" s="536"/>
      <c r="D54" s="537"/>
      <c r="E54" s="538"/>
      <c r="F54" s="537"/>
      <c r="G54" s="537"/>
      <c r="H54" s="539"/>
      <c r="I54" s="539"/>
      <c r="J54" s="539"/>
    </row>
    <row r="55" spans="1:10" s="546" customFormat="1" ht="19.5" customHeight="1">
      <c r="A55" s="547" t="s">
        <v>1464</v>
      </c>
      <c r="B55" s="548"/>
      <c r="C55" s="548"/>
      <c r="D55" s="559"/>
      <c r="E55" s="550"/>
      <c r="F55" s="551">
        <v>352596192</v>
      </c>
      <c r="G55" s="560"/>
      <c r="H55" s="552">
        <v>334511972</v>
      </c>
      <c r="I55" s="552">
        <v>346960001</v>
      </c>
      <c r="J55" s="552">
        <v>295872501</v>
      </c>
    </row>
  </sheetData>
  <pageMargins left="0.39370078740157483" right="0.39370078740157483" top="0.98425196850393704" bottom="0.98425196850393704" header="0.51181102362204722" footer="0.51181102362204722"/>
  <pageSetup paperSize="9" scale="99" firstPageNumber="2" fitToHeight="0" orientation="landscape" r:id="rId1"/>
  <headerFooter alignWithMargins="0">
    <oddHeader>&amp;L&amp;"Arial,Fett"MIP 2013 - 2016&amp;C&amp;"Arial,Fett"Investitionsplanung&amp;R&amp;"Arial,Fett"Nettoaufwand&amp;"Arial,Standard"
&amp;8Beträge in Franken</oddHeader>
  </headerFooter>
  <rowBreaks count="1" manualBreakCount="1">
    <brk id="29" max="16383" man="1"/>
  </rowBreak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16</vt:i4>
      </vt:variant>
      <vt:variant>
        <vt:lpstr>Benannte Bereiche</vt:lpstr>
      </vt:variant>
      <vt:variant>
        <vt:i4>149</vt:i4>
      </vt:variant>
    </vt:vector>
  </HeadingPairs>
  <TitlesOfParts>
    <vt:vector size="165" baseType="lpstr">
      <vt:lpstr>Entwicklung Steuern</vt:lpstr>
      <vt:lpstr>Sacharten</vt:lpstr>
      <vt:lpstr>Personalplanung 2013-2016</vt:lpstr>
      <vt:lpstr>Kennzahlen 1</vt:lpstr>
      <vt:lpstr>Kennzahlen 2</vt:lpstr>
      <vt:lpstr>Aufgabenliste</vt:lpstr>
      <vt:lpstr>Zusammenstellung nach PG</vt:lpstr>
      <vt:lpstr>Bericht nach PG</vt:lpstr>
      <vt:lpstr>Nettoaufwand</vt:lpstr>
      <vt:lpstr>Tiefbau</vt:lpstr>
      <vt:lpstr>Grünanlagen - Grünplanung</vt:lpstr>
      <vt:lpstr>Fahrzeuge-Maschinen-Mobilien</vt:lpstr>
      <vt:lpstr>Informatik</vt:lpstr>
      <vt:lpstr>Übrige Investitionen</vt:lpstr>
      <vt:lpstr>Sonderrechnungen</vt:lpstr>
      <vt:lpstr>LiöI</vt:lpstr>
      <vt:lpstr>'Fahrzeuge-Maschinen-Mobilien'!_DAT1</vt:lpstr>
      <vt:lpstr>'Grünanlagen - Grünplanung'!_DAT1</vt:lpstr>
      <vt:lpstr>Informatik!_DAT1</vt:lpstr>
      <vt:lpstr>LiöI!_DAT1</vt:lpstr>
      <vt:lpstr>Nettoaufwand!_DAT1</vt:lpstr>
      <vt:lpstr>Sonderrechnungen!_DAT1</vt:lpstr>
      <vt:lpstr>'Übrige Investitionen'!_DAT1</vt:lpstr>
      <vt:lpstr>_DAT1</vt:lpstr>
      <vt:lpstr>'Fahrzeuge-Maschinen-Mobilien'!_DAT10</vt:lpstr>
      <vt:lpstr>'Grünanlagen - Grünplanung'!_DAT10</vt:lpstr>
      <vt:lpstr>Informatik!_DAT10</vt:lpstr>
      <vt:lpstr>LiöI!_DAT10</vt:lpstr>
      <vt:lpstr>Nettoaufwand!_DAT10</vt:lpstr>
      <vt:lpstr>Sonderrechnungen!_DAT10</vt:lpstr>
      <vt:lpstr>'Übrige Investitionen'!_DAT10</vt:lpstr>
      <vt:lpstr>_DAT10</vt:lpstr>
      <vt:lpstr>'Fahrzeuge-Maschinen-Mobilien'!_DAT11</vt:lpstr>
      <vt:lpstr>'Grünanlagen - Grünplanung'!_DAT11</vt:lpstr>
      <vt:lpstr>Informatik!_DAT11</vt:lpstr>
      <vt:lpstr>LiöI!_DAT11</vt:lpstr>
      <vt:lpstr>Nettoaufwand!_DAT11</vt:lpstr>
      <vt:lpstr>Sonderrechnungen!_DAT11</vt:lpstr>
      <vt:lpstr>'Übrige Investitionen'!_DAT11</vt:lpstr>
      <vt:lpstr>_DAT11</vt:lpstr>
      <vt:lpstr>'Fahrzeuge-Maschinen-Mobilien'!_DAT12</vt:lpstr>
      <vt:lpstr>'Grünanlagen - Grünplanung'!_DAT12</vt:lpstr>
      <vt:lpstr>Informatik!_DAT12</vt:lpstr>
      <vt:lpstr>LiöI!_DAT12</vt:lpstr>
      <vt:lpstr>Nettoaufwand!_DAT12</vt:lpstr>
      <vt:lpstr>Sonderrechnungen!_DAT12</vt:lpstr>
      <vt:lpstr>'Übrige Investitionen'!_DAT12</vt:lpstr>
      <vt:lpstr>_DAT12</vt:lpstr>
      <vt:lpstr>'Fahrzeuge-Maschinen-Mobilien'!_DAT13</vt:lpstr>
      <vt:lpstr>'Grünanlagen - Grünplanung'!_DAT13</vt:lpstr>
      <vt:lpstr>Informatik!_DAT13</vt:lpstr>
      <vt:lpstr>LiöI!_DAT13</vt:lpstr>
      <vt:lpstr>Nettoaufwand!_DAT13</vt:lpstr>
      <vt:lpstr>Sonderrechnungen!_DAT13</vt:lpstr>
      <vt:lpstr>'Übrige Investitionen'!_DAT13</vt:lpstr>
      <vt:lpstr>_DAT13</vt:lpstr>
      <vt:lpstr>'Fahrzeuge-Maschinen-Mobilien'!_DAT14</vt:lpstr>
      <vt:lpstr>'Grünanlagen - Grünplanung'!_DAT14</vt:lpstr>
      <vt:lpstr>Informatik!_DAT14</vt:lpstr>
      <vt:lpstr>LiöI!_DAT14</vt:lpstr>
      <vt:lpstr>Nettoaufwand!_DAT14</vt:lpstr>
      <vt:lpstr>Sonderrechnungen!_DAT14</vt:lpstr>
      <vt:lpstr>'Übrige Investitionen'!_DAT14</vt:lpstr>
      <vt:lpstr>_DAT14</vt:lpstr>
      <vt:lpstr>'Fahrzeuge-Maschinen-Mobilien'!_DAT2</vt:lpstr>
      <vt:lpstr>'Grünanlagen - Grünplanung'!_DAT2</vt:lpstr>
      <vt:lpstr>Informatik!_DAT2</vt:lpstr>
      <vt:lpstr>LiöI!_DAT2</vt:lpstr>
      <vt:lpstr>Nettoaufwand!_DAT2</vt:lpstr>
      <vt:lpstr>Sonderrechnungen!_DAT2</vt:lpstr>
      <vt:lpstr>'Übrige Investitionen'!_DAT2</vt:lpstr>
      <vt:lpstr>_DAT2</vt:lpstr>
      <vt:lpstr>'Fahrzeuge-Maschinen-Mobilien'!_DAT4</vt:lpstr>
      <vt:lpstr>'Grünanlagen - Grünplanung'!_DAT4</vt:lpstr>
      <vt:lpstr>Informatik!_DAT4</vt:lpstr>
      <vt:lpstr>LiöI!_DAT4</vt:lpstr>
      <vt:lpstr>Nettoaufwand!_DAT4</vt:lpstr>
      <vt:lpstr>Sonderrechnungen!_DAT4</vt:lpstr>
      <vt:lpstr>'Übrige Investitionen'!_DAT4</vt:lpstr>
      <vt:lpstr>_DAT4</vt:lpstr>
      <vt:lpstr>'Fahrzeuge-Maschinen-Mobilien'!_DAT5</vt:lpstr>
      <vt:lpstr>'Grünanlagen - Grünplanung'!_DAT5</vt:lpstr>
      <vt:lpstr>Informatik!_DAT5</vt:lpstr>
      <vt:lpstr>LiöI!_DAT5</vt:lpstr>
      <vt:lpstr>Sonderrechnungen!_DAT5</vt:lpstr>
      <vt:lpstr>'Übrige Investitionen'!_DAT5</vt:lpstr>
      <vt:lpstr>_DAT5</vt:lpstr>
      <vt:lpstr>'Fahrzeuge-Maschinen-Mobilien'!_DAT6</vt:lpstr>
      <vt:lpstr>'Grünanlagen - Grünplanung'!_DAT6</vt:lpstr>
      <vt:lpstr>Informatik!_DAT6</vt:lpstr>
      <vt:lpstr>LiöI!_DAT6</vt:lpstr>
      <vt:lpstr>Sonderrechnungen!_DAT6</vt:lpstr>
      <vt:lpstr>'Übrige Investitionen'!_DAT6</vt:lpstr>
      <vt:lpstr>_DAT6</vt:lpstr>
      <vt:lpstr>'Fahrzeuge-Maschinen-Mobilien'!_DAT7</vt:lpstr>
      <vt:lpstr>'Grünanlagen - Grünplanung'!_DAT7</vt:lpstr>
      <vt:lpstr>Informatik!_DAT7</vt:lpstr>
      <vt:lpstr>LiöI!_DAT7</vt:lpstr>
      <vt:lpstr>Sonderrechnungen!_DAT7</vt:lpstr>
      <vt:lpstr>'Übrige Investitionen'!_DAT7</vt:lpstr>
      <vt:lpstr>_DAT7</vt:lpstr>
      <vt:lpstr>'Fahrzeuge-Maschinen-Mobilien'!_DAT8</vt:lpstr>
      <vt:lpstr>'Grünanlagen - Grünplanung'!_DAT8</vt:lpstr>
      <vt:lpstr>Informatik!_DAT8</vt:lpstr>
      <vt:lpstr>LiöI!_DAT8</vt:lpstr>
      <vt:lpstr>Sonderrechnungen!_DAT8</vt:lpstr>
      <vt:lpstr>'Übrige Investitionen'!_DAT8</vt:lpstr>
      <vt:lpstr>_DAT8</vt:lpstr>
      <vt:lpstr>'Fahrzeuge-Maschinen-Mobilien'!_DAT9</vt:lpstr>
      <vt:lpstr>'Grünanlagen - Grünplanung'!_DAT9</vt:lpstr>
      <vt:lpstr>Informatik!_DAT9</vt:lpstr>
      <vt:lpstr>LiöI!_DAT9</vt:lpstr>
      <vt:lpstr>Sonderrechnungen!_DAT9</vt:lpstr>
      <vt:lpstr>'Übrige Investitionen'!_DAT9</vt:lpstr>
      <vt:lpstr>_DAT9</vt:lpstr>
      <vt:lpstr>Aufgabenliste!Druckbereich</vt:lpstr>
      <vt:lpstr>'Bericht nach PG'!Druckbereich</vt:lpstr>
      <vt:lpstr>'Entwicklung Steuern'!Druckbereich</vt:lpstr>
      <vt:lpstr>'Kennzahlen 1'!Druckbereich</vt:lpstr>
      <vt:lpstr>'Kennzahlen 2'!Druckbereich</vt:lpstr>
      <vt:lpstr>'Personalplanung 2013-2016'!Druckbereich</vt:lpstr>
      <vt:lpstr>Sacharten!Druckbereich</vt:lpstr>
      <vt:lpstr>'Zusammenstellung nach PG'!Druckbereich</vt:lpstr>
      <vt:lpstr>Aufgabenliste!Drucktitel</vt:lpstr>
      <vt:lpstr>'Fahrzeuge-Maschinen-Mobilien'!Drucktitel</vt:lpstr>
      <vt:lpstr>'Grünanlagen - Grünplanung'!Drucktitel</vt:lpstr>
      <vt:lpstr>Informatik!Drucktitel</vt:lpstr>
      <vt:lpstr>LiöI!Drucktitel</vt:lpstr>
      <vt:lpstr>Nettoaufwand!Drucktitel</vt:lpstr>
      <vt:lpstr>Sonderrechnungen!Drucktitel</vt:lpstr>
      <vt:lpstr>Tiefbau!Drucktitel</vt:lpstr>
      <vt:lpstr>'Übrige Investitionen'!Drucktitel</vt:lpstr>
      <vt:lpstr>'Zusammenstellung nach PG'!Drucktitel</vt:lpstr>
      <vt:lpstr>'Fahrzeuge-Maschinen-Mobilien'!TEST0</vt:lpstr>
      <vt:lpstr>'Grünanlagen - Grünplanung'!TEST0</vt:lpstr>
      <vt:lpstr>Informatik!TEST0</vt:lpstr>
      <vt:lpstr>LiöI!TEST0</vt:lpstr>
      <vt:lpstr>Nettoaufwand!TEST0</vt:lpstr>
      <vt:lpstr>Sonderrechnungen!TEST0</vt:lpstr>
      <vt:lpstr>'Übrige Investitionen'!TEST0</vt:lpstr>
      <vt:lpstr>TEST0</vt:lpstr>
      <vt:lpstr>'Fahrzeuge-Maschinen-Mobilien'!TESTHKEY</vt:lpstr>
      <vt:lpstr>'Grünanlagen - Grünplanung'!TESTHKEY</vt:lpstr>
      <vt:lpstr>Informatik!TESTHKEY</vt:lpstr>
      <vt:lpstr>LiöI!TESTHKEY</vt:lpstr>
      <vt:lpstr>Nettoaufwand!TESTHKEY</vt:lpstr>
      <vt:lpstr>Sonderrechnungen!TESTHKEY</vt:lpstr>
      <vt:lpstr>'Übrige Investitionen'!TESTHKEY</vt:lpstr>
      <vt:lpstr>TESTHKEY</vt:lpstr>
      <vt:lpstr>'Fahrzeuge-Maschinen-Mobilien'!TESTKEYS</vt:lpstr>
      <vt:lpstr>'Grünanlagen - Grünplanung'!TESTKEYS</vt:lpstr>
      <vt:lpstr>Informatik!TESTKEYS</vt:lpstr>
      <vt:lpstr>LiöI!TESTKEYS</vt:lpstr>
      <vt:lpstr>Nettoaufwand!TESTKEYS</vt:lpstr>
      <vt:lpstr>Sonderrechnungen!TESTKEYS</vt:lpstr>
      <vt:lpstr>'Übrige Investitionen'!TESTKEYS</vt:lpstr>
      <vt:lpstr>TESTKEYS</vt:lpstr>
      <vt:lpstr>'Fahrzeuge-Maschinen-Mobilien'!TESTVKEY</vt:lpstr>
      <vt:lpstr>'Grünanlagen - Grünplanung'!TESTVKEY</vt:lpstr>
      <vt:lpstr>Informatik!TESTVKEY</vt:lpstr>
      <vt:lpstr>LiöI!TESTVKEY</vt:lpstr>
      <vt:lpstr>Nettoaufwand!TESTVKEY</vt:lpstr>
      <vt:lpstr>Sonderrechnungen!TESTVKEY</vt:lpstr>
      <vt:lpstr>'Übrige Investitionen'!TESTVKEY</vt:lpstr>
      <vt:lpstr>TESTVKEY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Willy.Carrel@BERN.CH</dc:creator>
  <cp:lastModifiedBy>Carrel Willy, FPI FV</cp:lastModifiedBy>
  <cp:lastPrinted>2012-03-08T12:06:44Z</cp:lastPrinted>
  <dcterms:created xsi:type="dcterms:W3CDTF">2005-05-16T12:20:01Z</dcterms:created>
  <dcterms:modified xsi:type="dcterms:W3CDTF">2012-04-13T13:10:19Z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-1172731669</vt:i4>
  </property>
  <property fmtid="{D5CDD505-2E9C-101B-9397-08002B2CF9AE}" pid="3" name="_EmailSubject">
    <vt:lpwstr>Finanzdaten der Stadt Bern für Open Data Hackday Bern am 27. April 2012</vt:lpwstr>
  </property>
  <property fmtid="{D5CDD505-2E9C-101B-9397-08002B2CF9AE}" pid="4" name="_AuthorEmail">
    <vt:lpwstr>Willy.Carrel@BERN.CH</vt:lpwstr>
  </property>
  <property fmtid="{D5CDD505-2E9C-101B-9397-08002B2CF9AE}" pid="5" name="_AuthorEmailDisplayName">
    <vt:lpwstr>Carrel Willy, FPI FV</vt:lpwstr>
  </property>
  <property fmtid="{D5CDD505-2E9C-101B-9397-08002B2CF9AE}" pid="6" name="_NewReviewCycle">
    <vt:lpwstr/>
  </property>
  <property fmtid="{D5CDD505-2E9C-101B-9397-08002B2CF9AE}" pid="7" name="_PreviousAdHocReviewCycleID">
    <vt:i4>1981178877</vt:i4>
  </property>
</Properties>
</file>