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2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34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3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36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8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9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40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4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42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43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44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45.xml" ContentType="application/vnd.openxmlformats-officedocument.drawing+xml"/>
  <Override PartName="/xl/charts/chart89.xml" ContentType="application/vnd.openxmlformats-officedocument.drawingml.chart+xml"/>
  <Override PartName="/xl/drawings/drawing46.xml" ContentType="application/vnd.openxmlformats-officedocument.drawingml.chartshapes+xml"/>
  <Override PartName="/xl/charts/chart90.xml" ContentType="application/vnd.openxmlformats-officedocument.drawingml.chart+xml"/>
  <Override PartName="/xl/drawings/drawing47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4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9.xml" ContentType="application/vnd.openxmlformats-officedocument.drawing+xml"/>
  <Override PartName="/xl/charts/chart95.xml" ContentType="application/vnd.openxmlformats-officedocument.drawingml.chart+xml"/>
  <Override PartName="/xl/drawings/drawing50.xml" ContentType="application/vnd.openxmlformats-officedocument.drawingml.chartshapes+xml"/>
  <Override PartName="/xl/charts/chart96.xml" ContentType="application/vnd.openxmlformats-officedocument.drawingml.chart+xml"/>
  <Override PartName="/xl/drawings/drawing51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52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53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54.xml" ContentType="application/vnd.openxmlformats-officedocument.drawing+xml"/>
  <Override PartName="/xl/charts/chart103.xml" ContentType="application/vnd.openxmlformats-officedocument.drawingml.chart+xml"/>
  <Override PartName="/xl/drawings/drawing55.xml" ContentType="application/vnd.openxmlformats-officedocument.drawingml.chartshapes+xml"/>
  <Override PartName="/xl/charts/chart104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58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59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60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61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62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63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drawings/drawing64.xml" ContentType="application/vnd.openxmlformats-officedocument.drawing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65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66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67.xml" ContentType="application/vnd.openxmlformats-officedocument.drawing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I:\z_E-Gov-alt\02-eGovernment\25-OpenGovernment_SmartCities\Open_Data\3-Daten-Dateien\Beteiligungmanagement\"/>
    </mc:Choice>
  </mc:AlternateContent>
  <bookViews>
    <workbookView xWindow="120" yWindow="105" windowWidth="4140" windowHeight="4380" tabRatio="824" firstSheet="22" activeTab="9"/>
  </bookViews>
  <sheets>
    <sheet name="WSW Konzern" sheetId="58" r:id="rId1"/>
    <sheet name="WSW GmbH" sheetId="16" r:id="rId2"/>
    <sheet name="GWH" sheetId="31" r:id="rId3"/>
    <sheet name="Neue Effizienz" sheetId="4" r:id="rId4"/>
    <sheet name="BEG Ents." sheetId="32" r:id="rId5"/>
    <sheet name="GKR" sheetId="35" r:id="rId6"/>
    <sheet name="DBV" sheetId="33" r:id="rId7"/>
    <sheet name="DGV Verw. mbH" sheetId="53" r:id="rId8"/>
    <sheet name="DGV mbh &amp; Co. KG" sheetId="34" r:id="rId9"/>
    <sheet name="WSW AG" sheetId="17" r:id="rId10"/>
    <sheet name="WSW Netz " sheetId="19" r:id="rId11"/>
    <sheet name="NBG" sheetId="20" r:id="rId12"/>
    <sheet name="EDW" sheetId="21" r:id="rId13"/>
    <sheet name="BTV" sheetId="22" r:id="rId14"/>
    <sheet name="WSW345" sheetId="60" r:id="rId15"/>
    <sheet name="WSW Energielösungen" sheetId="30" r:id="rId16"/>
    <sheet name="GDF SUEZ Kraftwerk. " sheetId="68" r:id="rId17"/>
    <sheet name="ENGIE Windpark GmbH" sheetId="78" r:id="rId18"/>
    <sheet name="ENGIE Windpark GmbH &amp; Co. KG" sheetId="70" r:id="rId19"/>
    <sheet name="Binnenwind" sheetId="88" r:id="rId20"/>
    <sheet name="Binnenwind Verw GmbH" sheetId="91" r:id="rId21"/>
    <sheet name="Kahlenberg II" sheetId="90" r:id="rId22"/>
    <sheet name="Kahlenberg III" sheetId="92" r:id="rId23"/>
    <sheet name="WSW mobil" sheetId="18" r:id="rId24"/>
    <sheet name="Regiobahn" sheetId="27" r:id="rId25"/>
    <sheet name="VSG" sheetId="23" r:id="rId26"/>
    <sheet name="GKE" sheetId="25" r:id="rId27"/>
    <sheet name="AWG" sheetId="15" r:id="rId28"/>
    <sheet name="WVW" sheetId="28" r:id="rId29"/>
    <sheet name="WLG" sheetId="29" r:id="rId30"/>
    <sheet name="ESW" sheetId="12" r:id="rId31"/>
    <sheet name="WAW" sheetId="77" r:id="rId32"/>
    <sheet name="GWG Konzern" sheetId="39" r:id="rId33"/>
    <sheet name="GWG GmbH" sheetId="84" r:id="rId34"/>
    <sheet name="GWG SPE" sheetId="40" r:id="rId35"/>
    <sheet name="GMW" sheetId="50" r:id="rId36"/>
    <sheet name="Stadthalle" sheetId="42" r:id="rId37"/>
    <sheet name="Stadth.Service GmbH" sheetId="54" r:id="rId38"/>
    <sheet name="BSWG" sheetId="52" r:id="rId39"/>
    <sheet name="Delphin GmbH &amp; Co. KG" sheetId="41" r:id="rId40"/>
    <sheet name="Delphin GmbH" sheetId="76" r:id="rId41"/>
    <sheet name="WF AöR" sheetId="45" r:id="rId42"/>
    <sheet name="Wtec" sheetId="47" r:id="rId43"/>
    <sheet name="Marketing " sheetId="38" r:id="rId44"/>
    <sheet name="WQG" sheetId="36" r:id="rId45"/>
    <sheet name="NRW Urban" sheetId="94" r:id="rId46"/>
    <sheet name="PD" sheetId="95" r:id="rId47"/>
    <sheet name="d_NRW" sheetId="93" r:id="rId48"/>
    <sheet name="APH" sheetId="48" r:id="rId49"/>
    <sheet name="APH Service" sheetId="49" r:id="rId50"/>
    <sheet name="KiJu" sheetId="5" r:id="rId51"/>
    <sheet name="VHS" sheetId="14" r:id="rId52"/>
    <sheet name="Jobcenter Wuppertal AöR" sheetId="63" r:id="rId53"/>
    <sheet name="CVUA RRW" sheetId="59" r:id="rId54"/>
    <sheet name="HELIOS" sheetId="8" r:id="rId55"/>
    <sheet name="MVZ" sheetId="85" r:id="rId56"/>
    <sheet name="DGU" sheetId="83" r:id="rId57"/>
    <sheet name="Bildungsakademie" sheetId="86" r:id="rId58"/>
    <sheet name="MVZ Gastro" sheetId="96" r:id="rId59"/>
    <sheet name="Wendepunkt" sheetId="44" r:id="rId60"/>
    <sheet name="Pina Bausch" sheetId="43" r:id="rId61"/>
    <sheet name="Bühnen" sheetId="46" r:id="rId62"/>
    <sheet name="Lokalfunk" sheetId="11" r:id="rId63"/>
    <sheet name="Tabelle1" sheetId="87" r:id="rId64"/>
  </sheets>
  <calcPr calcId="162913"/>
</workbook>
</file>

<file path=xl/calcChain.xml><?xml version="1.0" encoding="utf-8"?>
<calcChain xmlns="http://schemas.openxmlformats.org/spreadsheetml/2006/main">
  <c r="E50" i="96" l="1"/>
  <c r="D50" i="96"/>
  <c r="E43" i="96"/>
  <c r="D43" i="96"/>
  <c r="D3" i="96"/>
  <c r="E3" i="96"/>
  <c r="E38" i="96"/>
  <c r="B6" i="96" s="1"/>
  <c r="D38" i="96"/>
  <c r="E31" i="96"/>
  <c r="D31" i="96"/>
  <c r="E6" i="96"/>
  <c r="D6" i="96"/>
  <c r="C6" i="96"/>
  <c r="E5" i="96"/>
  <c r="D5" i="96"/>
  <c r="C5" i="96"/>
  <c r="B5" i="96"/>
  <c r="E2" i="96"/>
  <c r="D2" i="96"/>
  <c r="C2" i="96"/>
  <c r="B2" i="96"/>
  <c r="D5" i="86"/>
  <c r="D2" i="86"/>
  <c r="D52" i="96" l="1"/>
  <c r="C3" i="96" s="1"/>
  <c r="E52" i="96"/>
  <c r="B3" i="96" s="1"/>
  <c r="B30" i="63"/>
  <c r="B52" i="49" l="1"/>
  <c r="B32" i="49"/>
  <c r="D51" i="95"/>
  <c r="D54" i="95" s="1"/>
  <c r="E51" i="95"/>
  <c r="E54" i="95" s="1"/>
  <c r="E47" i="95"/>
  <c r="D47" i="95"/>
  <c r="E41" i="95"/>
  <c r="B6" i="95" s="1"/>
  <c r="D41" i="95"/>
  <c r="C6" i="95" s="1"/>
  <c r="E34" i="95"/>
  <c r="D34" i="95"/>
  <c r="C5" i="95"/>
  <c r="B5" i="95"/>
  <c r="C2" i="95"/>
  <c r="B2" i="95"/>
  <c r="E56" i="95" l="1"/>
  <c r="B3" i="95" s="1"/>
  <c r="D56" i="95"/>
  <c r="C3" i="95" s="1"/>
  <c r="B52" i="34"/>
  <c r="C5" i="94" l="1"/>
  <c r="C2" i="94"/>
  <c r="D54" i="94"/>
  <c r="D47" i="94"/>
  <c r="D56" i="94" s="1"/>
  <c r="C3" i="94" s="1"/>
  <c r="D41" i="94"/>
  <c r="C6" i="94" s="1"/>
  <c r="D34" i="94"/>
  <c r="E54" i="94"/>
  <c r="E47" i="94"/>
  <c r="E41" i="94"/>
  <c r="B6" i="94" s="1"/>
  <c r="E34" i="94"/>
  <c r="B5" i="94"/>
  <c r="B2" i="94"/>
  <c r="B53" i="47"/>
  <c r="B37" i="47"/>
  <c r="B32" i="47"/>
  <c r="C53" i="76"/>
  <c r="C51" i="76"/>
  <c r="C48" i="76"/>
  <c r="C42" i="76"/>
  <c r="C35" i="76"/>
  <c r="C53" i="41"/>
  <c r="C45" i="41"/>
  <c r="E56" i="94" l="1"/>
  <c r="B3" i="94" s="1"/>
  <c r="E44" i="93"/>
  <c r="D44" i="93"/>
  <c r="E53" i="93"/>
  <c r="D53" i="93"/>
  <c r="E46" i="93"/>
  <c r="D46" i="93"/>
  <c r="D55" i="93" s="1"/>
  <c r="C3" i="93" s="1"/>
  <c r="E41" i="93"/>
  <c r="B6" i="93" s="1"/>
  <c r="D41" i="93"/>
  <c r="C6" i="93" s="1"/>
  <c r="E34" i="93"/>
  <c r="D34" i="93"/>
  <c r="C5" i="93"/>
  <c r="B5" i="93"/>
  <c r="C2" i="93"/>
  <c r="B2" i="93"/>
  <c r="E55" i="93" l="1"/>
  <c r="B3" i="93" s="1"/>
  <c r="B49" i="52"/>
  <c r="B37" i="52"/>
  <c r="B30" i="77" l="1"/>
  <c r="B37" i="77"/>
  <c r="E51" i="92" l="1"/>
  <c r="E44" i="92"/>
  <c r="E53" i="92" s="1"/>
  <c r="E38" i="92"/>
  <c r="E34" i="92"/>
  <c r="E31" i="92"/>
  <c r="E29" i="92"/>
  <c r="C73" i="11" l="1"/>
  <c r="D73" i="11"/>
  <c r="E73" i="11"/>
  <c r="C80" i="11"/>
  <c r="D80" i="11"/>
  <c r="E80" i="11"/>
  <c r="C86" i="11"/>
  <c r="D86" i="11"/>
  <c r="E86" i="11"/>
  <c r="C94" i="11"/>
  <c r="C96" i="11" s="1"/>
  <c r="D94" i="11"/>
  <c r="E94" i="11"/>
  <c r="E96" i="11" s="1"/>
  <c r="B58" i="11"/>
  <c r="B54" i="11"/>
  <c r="C54" i="11"/>
  <c r="B42" i="46"/>
  <c r="B31" i="46"/>
  <c r="B49" i="43"/>
  <c r="D96" i="11" l="1"/>
  <c r="B50" i="8"/>
  <c r="B44" i="8"/>
  <c r="B43" i="8"/>
  <c r="C51" i="48" l="1"/>
  <c r="C45" i="48"/>
  <c r="B51" i="48"/>
  <c r="B45" i="48"/>
  <c r="C44" i="48"/>
  <c r="B44" i="48"/>
  <c r="B50" i="42" l="1"/>
  <c r="B44" i="42"/>
  <c r="C50" i="50" l="1"/>
  <c r="C42" i="50"/>
  <c r="C36" i="50"/>
  <c r="B38" i="28" l="1"/>
  <c r="B33" i="28"/>
  <c r="B51" i="15" l="1"/>
  <c r="B43" i="15"/>
  <c r="B30" i="15"/>
  <c r="B29" i="15"/>
  <c r="E32" i="90"/>
  <c r="D32" i="90"/>
  <c r="B3" i="92"/>
  <c r="B6" i="92"/>
  <c r="C5" i="92"/>
  <c r="B5" i="92"/>
  <c r="C2" i="92"/>
  <c r="B2" i="92"/>
  <c r="E51" i="91"/>
  <c r="D51" i="91"/>
  <c r="C51" i="91"/>
  <c r="B51" i="91"/>
  <c r="C44" i="91"/>
  <c r="C53" i="91" s="1"/>
  <c r="D3" i="91" s="1"/>
  <c r="B44" i="91"/>
  <c r="E42" i="91"/>
  <c r="E44" i="91" s="1"/>
  <c r="D42" i="91"/>
  <c r="D44" i="91" s="1"/>
  <c r="D53" i="91" s="1"/>
  <c r="C3" i="91" s="1"/>
  <c r="E38" i="91"/>
  <c r="B6" i="91" s="1"/>
  <c r="D38" i="91"/>
  <c r="C38" i="91"/>
  <c r="B38" i="91"/>
  <c r="E31" i="91"/>
  <c r="D31" i="91"/>
  <c r="C31" i="91"/>
  <c r="B31" i="91"/>
  <c r="C6" i="91"/>
  <c r="E5" i="91"/>
  <c r="D5" i="91"/>
  <c r="C5" i="91"/>
  <c r="B5" i="91"/>
  <c r="E2" i="91"/>
  <c r="D2" i="91"/>
  <c r="C2" i="91"/>
  <c r="B2" i="91"/>
  <c r="C46" i="33"/>
  <c r="B54" i="33"/>
  <c r="C54" i="33"/>
  <c r="B46" i="33"/>
  <c r="B54" i="35"/>
  <c r="C54" i="35"/>
  <c r="E53" i="91" l="1"/>
  <c r="B3" i="91" s="1"/>
  <c r="B53" i="91"/>
  <c r="E3" i="91" s="1"/>
  <c r="B45" i="40"/>
  <c r="B45" i="84"/>
  <c r="B55" i="84"/>
  <c r="B53" i="39"/>
  <c r="B45" i="39"/>
  <c r="B50" i="45" l="1"/>
  <c r="B39" i="45"/>
  <c r="D42" i="88" l="1"/>
  <c r="E42" i="88"/>
  <c r="E52" i="90"/>
  <c r="D52" i="90"/>
  <c r="E45" i="90"/>
  <c r="D45" i="90"/>
  <c r="E39" i="90"/>
  <c r="B6" i="90" s="1"/>
  <c r="D39" i="90"/>
  <c r="C6" i="90" s="1"/>
  <c r="C5" i="90"/>
  <c r="B5" i="90"/>
  <c r="C2" i="90"/>
  <c r="B2" i="90"/>
  <c r="E51" i="88"/>
  <c r="D51" i="88"/>
  <c r="C51" i="88"/>
  <c r="B51" i="88"/>
  <c r="E44" i="88"/>
  <c r="E53" i="88" s="1"/>
  <c r="B3" i="88" s="1"/>
  <c r="D44" i="88"/>
  <c r="C44" i="88"/>
  <c r="C53" i="88" s="1"/>
  <c r="B44" i="88"/>
  <c r="B53" i="88" s="1"/>
  <c r="E38" i="88"/>
  <c r="B6" i="88" s="1"/>
  <c r="D38" i="88"/>
  <c r="C6" i="88" s="1"/>
  <c r="C38" i="88"/>
  <c r="B38" i="88"/>
  <c r="E31" i="88"/>
  <c r="D31" i="88"/>
  <c r="C31" i="88"/>
  <c r="B31" i="88"/>
  <c r="C5" i="88"/>
  <c r="B5" i="88"/>
  <c r="C2" i="88"/>
  <c r="B2" i="88"/>
  <c r="D54" i="90" l="1"/>
  <c r="C3" i="90" s="1"/>
  <c r="E54" i="90"/>
  <c r="B3" i="90" s="1"/>
  <c r="D53" i="88"/>
  <c r="C3" i="88" s="1"/>
  <c r="B45" i="23"/>
  <c r="B53" i="17"/>
  <c r="B49" i="17"/>
  <c r="B47" i="17"/>
  <c r="B44" i="17"/>
  <c r="B48" i="17"/>
  <c r="B37" i="17"/>
  <c r="B35" i="4" l="1"/>
  <c r="C35" i="4"/>
  <c r="D35" i="4"/>
  <c r="E35" i="4"/>
  <c r="C33" i="27" l="1"/>
  <c r="D33" i="27"/>
  <c r="E33" i="27"/>
  <c r="C36" i="27"/>
  <c r="C40" i="27" s="1"/>
  <c r="D36" i="27"/>
  <c r="E36" i="27"/>
  <c r="E40" i="27" s="1"/>
  <c r="D40" i="27"/>
  <c r="D42" i="27"/>
  <c r="D45" i="27" s="1"/>
  <c r="D54" i="27" s="1"/>
  <c r="E42" i="27"/>
  <c r="C43" i="27"/>
  <c r="C45" i="27" s="1"/>
  <c r="E45" i="27"/>
  <c r="C47" i="27"/>
  <c r="C52" i="27" s="1"/>
  <c r="D52" i="27"/>
  <c r="E52" i="27"/>
  <c r="E54" i="27"/>
  <c r="C35" i="23"/>
  <c r="D35" i="23"/>
  <c r="E35" i="23"/>
  <c r="C42" i="23"/>
  <c r="D42" i="23"/>
  <c r="E42" i="23"/>
  <c r="D45" i="23"/>
  <c r="D47" i="23" s="1"/>
  <c r="E45" i="23"/>
  <c r="E47" i="23" s="1"/>
  <c r="C47" i="23"/>
  <c r="E48" i="23"/>
  <c r="E54" i="23" s="1"/>
  <c r="E49" i="23"/>
  <c r="D50" i="23"/>
  <c r="D54" i="23" s="1"/>
  <c r="E50" i="23"/>
  <c r="C54" i="23"/>
  <c r="C56" i="23" s="1"/>
  <c r="C33" i="25"/>
  <c r="D33" i="25"/>
  <c r="E33" i="25"/>
  <c r="E36" i="25"/>
  <c r="E40" i="25" s="1"/>
  <c r="C40" i="25"/>
  <c r="D40" i="25"/>
  <c r="C45" i="25"/>
  <c r="D45" i="25"/>
  <c r="E45" i="25"/>
  <c r="E54" i="25" s="1"/>
  <c r="E49" i="25"/>
  <c r="C52" i="25"/>
  <c r="D52" i="25"/>
  <c r="E52" i="25"/>
  <c r="C54" i="25"/>
  <c r="D54" i="25"/>
  <c r="C29" i="15"/>
  <c r="C30" i="15"/>
  <c r="D32" i="15"/>
  <c r="E32" i="15"/>
  <c r="C40" i="15"/>
  <c r="D40" i="15"/>
  <c r="E40" i="15"/>
  <c r="C43" i="15"/>
  <c r="E43" i="15"/>
  <c r="E45" i="15" s="1"/>
  <c r="E55" i="15" s="1"/>
  <c r="B3" i="15" s="1"/>
  <c r="C45" i="15"/>
  <c r="D45" i="15"/>
  <c r="E46" i="15"/>
  <c r="C51" i="15"/>
  <c r="C53" i="15" s="1"/>
  <c r="D53" i="15"/>
  <c r="E53" i="15"/>
  <c r="C33" i="28"/>
  <c r="C35" i="28" s="1"/>
  <c r="D35" i="28"/>
  <c r="E35" i="28"/>
  <c r="C38" i="28"/>
  <c r="C42" i="28" s="1"/>
  <c r="D42" i="28"/>
  <c r="E42" i="28"/>
  <c r="C47" i="28"/>
  <c r="C56" i="28" s="1"/>
  <c r="D47" i="28"/>
  <c r="D56" i="28" s="1"/>
  <c r="E47" i="28"/>
  <c r="C54" i="28"/>
  <c r="D54" i="28"/>
  <c r="E54" i="28"/>
  <c r="E56" i="28"/>
  <c r="C35" i="29"/>
  <c r="D35" i="29"/>
  <c r="E35" i="29"/>
  <c r="C42" i="29"/>
  <c r="D42" i="29"/>
  <c r="E42" i="29"/>
  <c r="C47" i="29"/>
  <c r="D47" i="29"/>
  <c r="D56" i="29" s="1"/>
  <c r="E47" i="29"/>
  <c r="C54" i="29"/>
  <c r="C56" i="29" s="1"/>
  <c r="D54" i="29"/>
  <c r="E54" i="29"/>
  <c r="E56" i="29" s="1"/>
  <c r="D30" i="12"/>
  <c r="D31" i="12"/>
  <c r="E31" i="12"/>
  <c r="E33" i="12" s="1"/>
  <c r="C33" i="12"/>
  <c r="D33" i="12"/>
  <c r="D36" i="12"/>
  <c r="D40" i="12" s="1"/>
  <c r="E36" i="12"/>
  <c r="E40" i="12" s="1"/>
  <c r="C40" i="12"/>
  <c r="E43" i="12"/>
  <c r="C45" i="12"/>
  <c r="D45" i="12"/>
  <c r="E45" i="12"/>
  <c r="D51" i="12"/>
  <c r="C52" i="12"/>
  <c r="D52" i="12"/>
  <c r="D54" i="12" s="1"/>
  <c r="E52" i="12"/>
  <c r="C33" i="77"/>
  <c r="D33" i="77"/>
  <c r="E33" i="77"/>
  <c r="C37" i="77"/>
  <c r="D37" i="77"/>
  <c r="D40" i="77" s="1"/>
  <c r="C40" i="77"/>
  <c r="E40" i="77"/>
  <c r="C45" i="77"/>
  <c r="C54" i="77" s="1"/>
  <c r="D45" i="77"/>
  <c r="E45" i="77"/>
  <c r="C52" i="77"/>
  <c r="D52" i="77"/>
  <c r="D54" i="77" s="1"/>
  <c r="E52" i="77"/>
  <c r="E54" i="77"/>
  <c r="C34" i="39"/>
  <c r="D34" i="39"/>
  <c r="E34" i="39"/>
  <c r="C41" i="39"/>
  <c r="D41" i="39"/>
  <c r="E41" i="39"/>
  <c r="C45" i="39"/>
  <c r="C47" i="39" s="1"/>
  <c r="D47" i="39"/>
  <c r="D56" i="39" s="1"/>
  <c r="E47" i="39"/>
  <c r="C48" i="39"/>
  <c r="D48" i="39"/>
  <c r="C53" i="39"/>
  <c r="C54" i="39" s="1"/>
  <c r="D53" i="39"/>
  <c r="D54" i="39"/>
  <c r="E54" i="39"/>
  <c r="E56" i="39" s="1"/>
  <c r="C34" i="84"/>
  <c r="D34" i="84"/>
  <c r="E34" i="84"/>
  <c r="C41" i="84"/>
  <c r="D41" i="84"/>
  <c r="E41" i="84"/>
  <c r="C45" i="84"/>
  <c r="C47" i="84" s="1"/>
  <c r="D45" i="84"/>
  <c r="D46" i="84"/>
  <c r="D47" i="84"/>
  <c r="D58" i="84" s="1"/>
  <c r="E47" i="84"/>
  <c r="C55" i="84"/>
  <c r="C56" i="84" s="1"/>
  <c r="D56" i="84"/>
  <c r="E56" i="84"/>
  <c r="E58" i="84" s="1"/>
  <c r="C35" i="40"/>
  <c r="D35" i="40"/>
  <c r="E35" i="40"/>
  <c r="C42" i="40"/>
  <c r="D42" i="40"/>
  <c r="E42" i="40"/>
  <c r="C45" i="40"/>
  <c r="C47" i="40" s="1"/>
  <c r="C57" i="40" s="1"/>
  <c r="D45" i="40"/>
  <c r="D47" i="40"/>
  <c r="E47" i="40"/>
  <c r="E57" i="40" s="1"/>
  <c r="C55" i="40"/>
  <c r="D55" i="40"/>
  <c r="E55" i="40"/>
  <c r="D57" i="40"/>
  <c r="C32" i="50"/>
  <c r="D32" i="50"/>
  <c r="E32" i="50"/>
  <c r="D36" i="50"/>
  <c r="E36" i="50"/>
  <c r="E39" i="50" s="1"/>
  <c r="C39" i="50"/>
  <c r="D39" i="50"/>
  <c r="D42" i="50"/>
  <c r="D44" i="50" s="1"/>
  <c r="E42" i="50"/>
  <c r="C44" i="50"/>
  <c r="E44" i="50"/>
  <c r="D50" i="50"/>
  <c r="C51" i="50"/>
  <c r="D51" i="50"/>
  <c r="E51" i="50"/>
  <c r="C34" i="42"/>
  <c r="D34" i="42"/>
  <c r="E34" i="42"/>
  <c r="C41" i="42"/>
  <c r="D41" i="42"/>
  <c r="E41" i="42"/>
  <c r="C44" i="42"/>
  <c r="C46" i="42" s="1"/>
  <c r="C55" i="42" s="1"/>
  <c r="D44" i="42"/>
  <c r="E44" i="42"/>
  <c r="D46" i="42"/>
  <c r="D55" i="42" s="1"/>
  <c r="E46" i="42"/>
  <c r="C53" i="42"/>
  <c r="D53" i="42"/>
  <c r="E53" i="42"/>
  <c r="E55" i="42" s="1"/>
  <c r="C33" i="54"/>
  <c r="D33" i="54"/>
  <c r="E33" i="54"/>
  <c r="C40" i="54"/>
  <c r="D40" i="54"/>
  <c r="E40" i="54"/>
  <c r="C45" i="54"/>
  <c r="D45" i="54"/>
  <c r="E45" i="54"/>
  <c r="C52" i="54"/>
  <c r="C54" i="54" s="1"/>
  <c r="D52" i="54"/>
  <c r="D54" i="54" s="1"/>
  <c r="E52" i="54"/>
  <c r="C31" i="52"/>
  <c r="C34" i="52" s="1"/>
  <c r="D31" i="52"/>
  <c r="E31" i="52"/>
  <c r="C32" i="52"/>
  <c r="D32" i="52"/>
  <c r="D34" i="52" s="1"/>
  <c r="E32" i="52"/>
  <c r="E34" i="52"/>
  <c r="C37" i="52"/>
  <c r="C41" i="52" s="1"/>
  <c r="E37" i="52"/>
  <c r="E41" i="52" s="1"/>
  <c r="D41" i="52"/>
  <c r="C46" i="52"/>
  <c r="C55" i="52" s="1"/>
  <c r="D46" i="52"/>
  <c r="E46" i="52"/>
  <c r="C53" i="52"/>
  <c r="D53" i="52"/>
  <c r="D55" i="52" s="1"/>
  <c r="E53" i="52"/>
  <c r="E55" i="52"/>
  <c r="D33" i="41"/>
  <c r="D35" i="41" s="1"/>
  <c r="E33" i="41"/>
  <c r="C35" i="41"/>
  <c r="E35" i="41"/>
  <c r="C42" i="41"/>
  <c r="D42" i="41"/>
  <c r="E42" i="41"/>
  <c r="D45" i="41"/>
  <c r="D47" i="41" s="1"/>
  <c r="E45" i="41"/>
  <c r="C47" i="41"/>
  <c r="E47" i="41"/>
  <c r="E56" i="41" s="1"/>
  <c r="C54" i="41"/>
  <c r="C56" i="41" s="1"/>
  <c r="D54" i="41"/>
  <c r="E54" i="41"/>
  <c r="D35" i="76"/>
  <c r="E35" i="76"/>
  <c r="D42" i="76"/>
  <c r="E42" i="76"/>
  <c r="D48" i="76"/>
  <c r="E48" i="76"/>
  <c r="D51" i="76"/>
  <c r="E51" i="76"/>
  <c r="E53" i="76" s="1"/>
  <c r="D53" i="76"/>
  <c r="C33" i="45"/>
  <c r="E33" i="45"/>
  <c r="E35" i="45" s="1"/>
  <c r="C35" i="45"/>
  <c r="D35" i="45"/>
  <c r="C39" i="45"/>
  <c r="C42" i="45" s="1"/>
  <c r="D42" i="45"/>
  <c r="E42" i="45"/>
  <c r="C47" i="45"/>
  <c r="D47" i="45"/>
  <c r="E47" i="45"/>
  <c r="C50" i="45"/>
  <c r="E50" i="45"/>
  <c r="E54" i="45" s="1"/>
  <c r="E56" i="45" s="1"/>
  <c r="C54" i="45"/>
  <c r="D54" i="45"/>
  <c r="C56" i="45"/>
  <c r="D56" i="45"/>
  <c r="C34" i="47"/>
  <c r="D34" i="47"/>
  <c r="E34" i="47"/>
  <c r="C41" i="47"/>
  <c r="D41" i="47"/>
  <c r="E41" i="47"/>
  <c r="C47" i="47"/>
  <c r="D47" i="47"/>
  <c r="E47" i="47"/>
  <c r="C53" i="47"/>
  <c r="C54" i="47" s="1"/>
  <c r="C56" i="47" s="1"/>
  <c r="E53" i="47"/>
  <c r="D54" i="47"/>
  <c r="E54" i="47"/>
  <c r="E56" i="47" s="1"/>
  <c r="D56" i="47"/>
  <c r="C35" i="11"/>
  <c r="C38" i="11" s="1"/>
  <c r="D38" i="11"/>
  <c r="E38" i="11"/>
  <c r="C45" i="11"/>
  <c r="D45" i="11"/>
  <c r="E45" i="11"/>
  <c r="C51" i="11"/>
  <c r="D51" i="11"/>
  <c r="D61" i="11" s="1"/>
  <c r="E51" i="11"/>
  <c r="C59" i="11"/>
  <c r="C61" i="11" s="1"/>
  <c r="D59" i="11"/>
  <c r="E59" i="11"/>
  <c r="D31" i="46"/>
  <c r="D33" i="46" s="1"/>
  <c r="E31" i="46"/>
  <c r="C33" i="46"/>
  <c r="E33" i="46"/>
  <c r="C39" i="46"/>
  <c r="D39" i="46"/>
  <c r="E39" i="46"/>
  <c r="D42" i="46"/>
  <c r="D44" i="46" s="1"/>
  <c r="D53" i="46" s="1"/>
  <c r="E42" i="46"/>
  <c r="C44" i="46"/>
  <c r="E44" i="46"/>
  <c r="E53" i="46" s="1"/>
  <c r="C51" i="46"/>
  <c r="D51" i="46"/>
  <c r="E51" i="46"/>
  <c r="C53" i="46"/>
  <c r="D32" i="43"/>
  <c r="D34" i="43" s="1"/>
  <c r="E32" i="43"/>
  <c r="E34" i="43" s="1"/>
  <c r="C34" i="43"/>
  <c r="C41" i="43"/>
  <c r="D41" i="43"/>
  <c r="E41" i="43"/>
  <c r="C46" i="43"/>
  <c r="D46" i="43"/>
  <c r="E46" i="43"/>
  <c r="E56" i="43" s="1"/>
  <c r="C54" i="43"/>
  <c r="D54" i="43"/>
  <c r="D56" i="43" s="1"/>
  <c r="E54" i="43"/>
  <c r="C56" i="43"/>
  <c r="C33" i="44"/>
  <c r="D33" i="44"/>
  <c r="E33" i="44"/>
  <c r="C39" i="44"/>
  <c r="D39" i="44"/>
  <c r="E39" i="44"/>
  <c r="C44" i="44"/>
  <c r="C53" i="44" s="1"/>
  <c r="D44" i="44"/>
  <c r="E44" i="44"/>
  <c r="C51" i="44"/>
  <c r="D51" i="44"/>
  <c r="D53" i="44" s="1"/>
  <c r="E51" i="44"/>
  <c r="E53" i="44"/>
  <c r="C35" i="83"/>
  <c r="D35" i="83"/>
  <c r="E35" i="83"/>
  <c r="C42" i="83"/>
  <c r="D6" i="83" s="1"/>
  <c r="D42" i="83"/>
  <c r="C6" i="83" s="1"/>
  <c r="E42" i="83"/>
  <c r="C47" i="83"/>
  <c r="D47" i="83"/>
  <c r="E47" i="83"/>
  <c r="C54" i="83"/>
  <c r="D54" i="83"/>
  <c r="E54" i="83"/>
  <c r="E56" i="83" s="1"/>
  <c r="B3" i="83" s="1"/>
  <c r="C56" i="83"/>
  <c r="C31" i="85"/>
  <c r="D31" i="85"/>
  <c r="E31" i="85"/>
  <c r="C38" i="85"/>
  <c r="D38" i="85"/>
  <c r="E38" i="85"/>
  <c r="C43" i="85"/>
  <c r="D43" i="85"/>
  <c r="E43" i="85"/>
  <c r="C50" i="85"/>
  <c r="C52" i="85" s="1"/>
  <c r="D50" i="85"/>
  <c r="D52" i="85" s="1"/>
  <c r="E50" i="85"/>
  <c r="E52" i="85"/>
  <c r="D31" i="8"/>
  <c r="C32" i="8"/>
  <c r="D32" i="8"/>
  <c r="E32" i="8"/>
  <c r="C41" i="8"/>
  <c r="D41" i="8"/>
  <c r="E41" i="8"/>
  <c r="C43" i="8"/>
  <c r="D43" i="8"/>
  <c r="E43" i="8"/>
  <c r="C44" i="8"/>
  <c r="D44" i="8"/>
  <c r="D46" i="8" s="1"/>
  <c r="D55" i="8" s="1"/>
  <c r="E44" i="8"/>
  <c r="E46" i="8"/>
  <c r="E47" i="8"/>
  <c r="E53" i="8" s="1"/>
  <c r="E55" i="8" s="1"/>
  <c r="C50" i="8"/>
  <c r="C53" i="8" s="1"/>
  <c r="D50" i="8"/>
  <c r="E50" i="8"/>
  <c r="D53" i="8"/>
  <c r="C34" i="59"/>
  <c r="D34" i="59"/>
  <c r="E34" i="59"/>
  <c r="C42" i="59"/>
  <c r="D42" i="59"/>
  <c r="E42" i="59"/>
  <c r="C48" i="59"/>
  <c r="D48" i="59"/>
  <c r="E48" i="59"/>
  <c r="E58" i="59" s="1"/>
  <c r="C56" i="59"/>
  <c r="D56" i="59"/>
  <c r="E56" i="59"/>
  <c r="C58" i="59"/>
  <c r="D58" i="59"/>
  <c r="C10" i="63"/>
  <c r="D10" i="63"/>
  <c r="E10" i="63"/>
  <c r="C19" i="63"/>
  <c r="D19" i="63"/>
  <c r="E19" i="63"/>
  <c r="C25" i="63"/>
  <c r="D25" i="63"/>
  <c r="E25" i="63"/>
  <c r="C30" i="63"/>
  <c r="C33" i="63" s="1"/>
  <c r="C35" i="63" s="1"/>
  <c r="D30" i="63"/>
  <c r="E30" i="63"/>
  <c r="D33" i="63"/>
  <c r="D35" i="63" s="1"/>
  <c r="E33" i="63"/>
  <c r="E35" i="63"/>
  <c r="C34" i="14"/>
  <c r="D34" i="14"/>
  <c r="E34" i="14"/>
  <c r="C41" i="14"/>
  <c r="D41" i="14"/>
  <c r="E41" i="14"/>
  <c r="C46" i="14"/>
  <c r="D46" i="14"/>
  <c r="D55" i="14" s="1"/>
  <c r="E46" i="14"/>
  <c r="C53" i="14"/>
  <c r="C55" i="14" s="1"/>
  <c r="D53" i="14"/>
  <c r="E53" i="14"/>
  <c r="E55" i="14" s="1"/>
  <c r="C34" i="5"/>
  <c r="D34" i="5"/>
  <c r="E34" i="5"/>
  <c r="C42" i="5"/>
  <c r="D42" i="5"/>
  <c r="E42" i="5"/>
  <c r="C47" i="5"/>
  <c r="D47" i="5"/>
  <c r="E47" i="5"/>
  <c r="C54" i="5"/>
  <c r="D54" i="5"/>
  <c r="E54" i="5"/>
  <c r="D32" i="49"/>
  <c r="E32" i="49"/>
  <c r="C34" i="49"/>
  <c r="D34" i="49"/>
  <c r="E34" i="49"/>
  <c r="C37" i="49"/>
  <c r="D37" i="49"/>
  <c r="D41" i="49" s="1"/>
  <c r="E37" i="49"/>
  <c r="C39" i="49"/>
  <c r="E39" i="49"/>
  <c r="C41" i="49"/>
  <c r="E41" i="49"/>
  <c r="E44" i="49"/>
  <c r="C46" i="49"/>
  <c r="C55" i="49" s="1"/>
  <c r="D46" i="49"/>
  <c r="E46" i="49"/>
  <c r="C53" i="49"/>
  <c r="D53" i="49"/>
  <c r="D55" i="49" s="1"/>
  <c r="E53" i="49"/>
  <c r="E55" i="49"/>
  <c r="C34" i="48"/>
  <c r="D34" i="48"/>
  <c r="E34" i="48"/>
  <c r="C42" i="48"/>
  <c r="D42" i="48"/>
  <c r="E42" i="48"/>
  <c r="D44" i="48"/>
  <c r="E44" i="48"/>
  <c r="E47" i="48" s="1"/>
  <c r="E56" i="48" s="1"/>
  <c r="D45" i="48"/>
  <c r="E45" i="48"/>
  <c r="C47" i="48"/>
  <c r="D47" i="48"/>
  <c r="D51" i="48"/>
  <c r="D54" i="48" s="1"/>
  <c r="E51" i="48"/>
  <c r="C54" i="48"/>
  <c r="E54" i="48"/>
  <c r="C35" i="36"/>
  <c r="D35" i="36"/>
  <c r="E35" i="36"/>
  <c r="C42" i="36"/>
  <c r="D42" i="36"/>
  <c r="E42" i="36"/>
  <c r="E44" i="36"/>
  <c r="E45" i="36"/>
  <c r="E48" i="36" s="1"/>
  <c r="E57" i="36" s="1"/>
  <c r="C48" i="36"/>
  <c r="D48" i="36"/>
  <c r="C55" i="36"/>
  <c r="C57" i="36" s="1"/>
  <c r="D55" i="36"/>
  <c r="E55" i="36"/>
  <c r="D57" i="36"/>
  <c r="C31" i="38"/>
  <c r="D31" i="38"/>
  <c r="E31" i="38"/>
  <c r="C38" i="38"/>
  <c r="D38" i="38"/>
  <c r="E38" i="38"/>
  <c r="C43" i="38"/>
  <c r="C52" i="38" s="1"/>
  <c r="D43" i="38"/>
  <c r="E43" i="38"/>
  <c r="C50" i="38"/>
  <c r="D50" i="38"/>
  <c r="D52" i="38" s="1"/>
  <c r="E50" i="38"/>
  <c r="E52" i="38"/>
  <c r="B54" i="60"/>
  <c r="B53" i="60"/>
  <c r="C46" i="8" l="1"/>
  <c r="C55" i="8" s="1"/>
  <c r="D56" i="83"/>
  <c r="E61" i="11"/>
  <c r="E54" i="54"/>
  <c r="C56" i="39"/>
  <c r="D56" i="41"/>
  <c r="D53" i="50"/>
  <c r="D55" i="15"/>
  <c r="C3" i="15" s="1"/>
  <c r="D56" i="48"/>
  <c r="E53" i="50"/>
  <c r="C55" i="15"/>
  <c r="D3" i="15" s="1"/>
  <c r="C32" i="15"/>
  <c r="C56" i="48"/>
  <c r="C53" i="50"/>
  <c r="E54" i="12"/>
  <c r="C54" i="12"/>
  <c r="E56" i="23"/>
  <c r="D56" i="23"/>
  <c r="C54" i="27"/>
  <c r="C58" i="84"/>
  <c r="B49" i="19"/>
  <c r="B48" i="19"/>
  <c r="B51" i="16"/>
  <c r="B47" i="16"/>
  <c r="B46" i="16"/>
  <c r="B45" i="16"/>
  <c r="B42" i="16"/>
  <c r="B43" i="58" l="1"/>
  <c r="B52" i="58"/>
  <c r="B48" i="58"/>
  <c r="B47" i="58"/>
  <c r="B46" i="58"/>
  <c r="B44" i="58"/>
  <c r="B37" i="58"/>
  <c r="B36" i="58"/>
  <c r="B48" i="18" l="1"/>
  <c r="B47" i="18"/>
  <c r="B44" i="18"/>
  <c r="C33" i="18"/>
  <c r="D33" i="18"/>
  <c r="E33" i="18"/>
  <c r="C41" i="18"/>
  <c r="D41" i="18"/>
  <c r="E41" i="18"/>
  <c r="C44" i="18"/>
  <c r="D44" i="18"/>
  <c r="D46" i="18" s="1"/>
  <c r="E44" i="18"/>
  <c r="E46" i="18" s="1"/>
  <c r="E55" i="18" s="1"/>
  <c r="C46" i="18"/>
  <c r="C47" i="18"/>
  <c r="C53" i="18" s="1"/>
  <c r="C55" i="18" s="1"/>
  <c r="D47" i="18"/>
  <c r="E47" i="18"/>
  <c r="C48" i="18"/>
  <c r="D48" i="18"/>
  <c r="D53" i="18" s="1"/>
  <c r="E48" i="18"/>
  <c r="E53" i="18"/>
  <c r="B46" i="70"/>
  <c r="B45" i="70"/>
  <c r="C31" i="70"/>
  <c r="D31" i="70"/>
  <c r="E31" i="70"/>
  <c r="C38" i="70"/>
  <c r="D38" i="70"/>
  <c r="E38" i="70"/>
  <c r="C44" i="70"/>
  <c r="D44" i="70"/>
  <c r="E44" i="70"/>
  <c r="C45" i="70"/>
  <c r="C51" i="70" s="1"/>
  <c r="C53" i="70" s="1"/>
  <c r="D45" i="70"/>
  <c r="D51" i="70" s="1"/>
  <c r="D53" i="70" s="1"/>
  <c r="E51" i="70"/>
  <c r="E53" i="70" s="1"/>
  <c r="C31" i="78"/>
  <c r="D31" i="78"/>
  <c r="E31" i="78"/>
  <c r="C39" i="78"/>
  <c r="D39" i="78"/>
  <c r="E39" i="78"/>
  <c r="C46" i="78"/>
  <c r="C56" i="78" s="1"/>
  <c r="D46" i="78"/>
  <c r="E46" i="78"/>
  <c r="C54" i="78"/>
  <c r="D54" i="78"/>
  <c r="D56" i="78" s="1"/>
  <c r="E54" i="78"/>
  <c r="E56" i="78"/>
  <c r="D55" i="18" l="1"/>
  <c r="B51" i="68" l="1"/>
  <c r="B46" i="68"/>
  <c r="C51" i="68"/>
  <c r="C46" i="68"/>
  <c r="B31" i="68"/>
  <c r="C31" i="68"/>
  <c r="D33" i="68" l="1"/>
  <c r="E33" i="68"/>
  <c r="D40" i="68"/>
  <c r="E40" i="68"/>
  <c r="D45" i="68"/>
  <c r="E45" i="68"/>
  <c r="D46" i="68"/>
  <c r="D51" i="68"/>
  <c r="D52" i="68" s="1"/>
  <c r="D54" i="68" s="1"/>
  <c r="E52" i="68"/>
  <c r="E54" i="68"/>
  <c r="C33" i="30"/>
  <c r="D33" i="30"/>
  <c r="E33" i="30"/>
  <c r="C40" i="30"/>
  <c r="D40" i="30"/>
  <c r="E40" i="30"/>
  <c r="C45" i="30"/>
  <c r="D45" i="30"/>
  <c r="E45" i="30"/>
  <c r="C52" i="30"/>
  <c r="C54" i="30" s="1"/>
  <c r="D52" i="30"/>
  <c r="E52" i="30"/>
  <c r="E54" i="30" s="1"/>
  <c r="C36" i="60"/>
  <c r="D36" i="60"/>
  <c r="E36" i="60"/>
  <c r="C44" i="60"/>
  <c r="D44" i="60"/>
  <c r="E44" i="60"/>
  <c r="C51" i="60"/>
  <c r="D51" i="60"/>
  <c r="E51" i="60"/>
  <c r="C53" i="60"/>
  <c r="D53" i="60"/>
  <c r="E53" i="60"/>
  <c r="E59" i="60" s="1"/>
  <c r="E61" i="60" s="1"/>
  <c r="C54" i="60"/>
  <c r="D54" i="60"/>
  <c r="E54" i="60"/>
  <c r="D58" i="60"/>
  <c r="D59" i="60" s="1"/>
  <c r="C35" i="22"/>
  <c r="D35" i="22"/>
  <c r="E35" i="22"/>
  <c r="C42" i="22"/>
  <c r="D42" i="22"/>
  <c r="E42" i="22"/>
  <c r="C47" i="22"/>
  <c r="D47" i="22"/>
  <c r="E47" i="22"/>
  <c r="D48" i="22"/>
  <c r="D49" i="22"/>
  <c r="C54" i="22"/>
  <c r="D54" i="22"/>
  <c r="D56" i="22" s="1"/>
  <c r="E54" i="22"/>
  <c r="C56" i="22"/>
  <c r="E56" i="22"/>
  <c r="E33" i="21"/>
  <c r="C35" i="21"/>
  <c r="D35" i="21"/>
  <c r="E35" i="21"/>
  <c r="E38" i="21"/>
  <c r="C42" i="21"/>
  <c r="D42" i="21"/>
  <c r="E42" i="21"/>
  <c r="C47" i="21"/>
  <c r="D47" i="21"/>
  <c r="E47" i="21"/>
  <c r="C54" i="21"/>
  <c r="D54" i="21"/>
  <c r="E54" i="21"/>
  <c r="C33" i="20"/>
  <c r="D33" i="20"/>
  <c r="E33" i="20"/>
  <c r="C40" i="20"/>
  <c r="D40" i="20"/>
  <c r="E40" i="20"/>
  <c r="C45" i="20"/>
  <c r="D45" i="20"/>
  <c r="E45" i="20"/>
  <c r="C51" i="20"/>
  <c r="D51" i="20"/>
  <c r="D52" i="20" s="1"/>
  <c r="D54" i="20" s="1"/>
  <c r="E51" i="20"/>
  <c r="C52" i="20"/>
  <c r="E52" i="20"/>
  <c r="C35" i="19"/>
  <c r="D35" i="19"/>
  <c r="E35" i="19"/>
  <c r="C42" i="19"/>
  <c r="D42" i="19"/>
  <c r="E42" i="19"/>
  <c r="C47" i="19"/>
  <c r="D47" i="19"/>
  <c r="E47" i="19"/>
  <c r="C48" i="19"/>
  <c r="D48" i="19"/>
  <c r="C49" i="19"/>
  <c r="D49" i="19"/>
  <c r="D54" i="19" s="1"/>
  <c r="D56" i="19" s="1"/>
  <c r="C54" i="19"/>
  <c r="C56" i="19" s="1"/>
  <c r="E54" i="19"/>
  <c r="E56" i="19" s="1"/>
  <c r="C33" i="17"/>
  <c r="D33" i="17"/>
  <c r="E33" i="17"/>
  <c r="C37" i="17"/>
  <c r="C41" i="17" s="1"/>
  <c r="D37" i="17"/>
  <c r="E37" i="17"/>
  <c r="E41" i="17" s="1"/>
  <c r="D41" i="17"/>
  <c r="C44" i="17"/>
  <c r="C46" i="17" s="1"/>
  <c r="D44" i="17"/>
  <c r="E44" i="17"/>
  <c r="E46" i="17" s="1"/>
  <c r="D46" i="17"/>
  <c r="C47" i="17"/>
  <c r="D47" i="17"/>
  <c r="E47" i="17"/>
  <c r="E54" i="17" s="1"/>
  <c r="C48" i="17"/>
  <c r="D48" i="17"/>
  <c r="E48" i="17"/>
  <c r="C49" i="17"/>
  <c r="D49" i="17"/>
  <c r="E49" i="17"/>
  <c r="C51" i="17"/>
  <c r="E51" i="17"/>
  <c r="C53" i="17"/>
  <c r="D53" i="17"/>
  <c r="E53" i="17"/>
  <c r="C54" i="17"/>
  <c r="C34" i="34"/>
  <c r="D34" i="34"/>
  <c r="E34" i="34"/>
  <c r="C41" i="34"/>
  <c r="D41" i="34"/>
  <c r="E41" i="34"/>
  <c r="C46" i="34"/>
  <c r="D46" i="34"/>
  <c r="E46" i="34"/>
  <c r="D52" i="34"/>
  <c r="C53" i="34"/>
  <c r="D53" i="34"/>
  <c r="E53" i="34"/>
  <c r="D55" i="34"/>
  <c r="C35" i="53"/>
  <c r="D35" i="53"/>
  <c r="E35" i="53"/>
  <c r="C42" i="53"/>
  <c r="D42" i="53"/>
  <c r="E42" i="53"/>
  <c r="C47" i="53"/>
  <c r="D47" i="53"/>
  <c r="E47" i="53"/>
  <c r="C53" i="53"/>
  <c r="C55" i="53" s="1"/>
  <c r="D53" i="53"/>
  <c r="D55" i="53" s="1"/>
  <c r="E53" i="53"/>
  <c r="E55" i="53" s="1"/>
  <c r="C36" i="33"/>
  <c r="D36" i="33"/>
  <c r="E36" i="33"/>
  <c r="C43" i="33"/>
  <c r="D43" i="33"/>
  <c r="E43" i="33"/>
  <c r="E47" i="33"/>
  <c r="C48" i="33"/>
  <c r="D48" i="33"/>
  <c r="E48" i="33"/>
  <c r="E54" i="33"/>
  <c r="C55" i="33"/>
  <c r="D55" i="33"/>
  <c r="E55" i="33"/>
  <c r="D57" i="33"/>
  <c r="C33" i="35"/>
  <c r="D33" i="35"/>
  <c r="E33" i="35"/>
  <c r="C41" i="35"/>
  <c r="D41" i="35"/>
  <c r="E41" i="35"/>
  <c r="C48" i="35"/>
  <c r="D48" i="35"/>
  <c r="E48" i="35"/>
  <c r="E54" i="35"/>
  <c r="C55" i="35"/>
  <c r="C57" i="35" s="1"/>
  <c r="D55" i="35"/>
  <c r="D57" i="35" s="1"/>
  <c r="E55" i="35"/>
  <c r="E57" i="35"/>
  <c r="C35" i="32"/>
  <c r="D35" i="32"/>
  <c r="E35" i="32"/>
  <c r="C42" i="32"/>
  <c r="D42" i="32"/>
  <c r="E42" i="32"/>
  <c r="D45" i="32"/>
  <c r="E45" i="32"/>
  <c r="C47" i="32"/>
  <c r="D47" i="32"/>
  <c r="E47" i="32"/>
  <c r="C54" i="32"/>
  <c r="D54" i="32"/>
  <c r="D56" i="32" s="1"/>
  <c r="E54" i="32"/>
  <c r="C56" i="32"/>
  <c r="E56" i="32"/>
  <c r="C42" i="4"/>
  <c r="D42" i="4"/>
  <c r="E42" i="4"/>
  <c r="C47" i="4"/>
  <c r="C49" i="4" s="1"/>
  <c r="D49" i="4"/>
  <c r="E49" i="4"/>
  <c r="C57" i="4"/>
  <c r="D57" i="4"/>
  <c r="D59" i="4" s="1"/>
  <c r="E57" i="4"/>
  <c r="C34" i="31"/>
  <c r="D34" i="31"/>
  <c r="E34" i="31"/>
  <c r="C41" i="31"/>
  <c r="D41" i="31"/>
  <c r="E41" i="31"/>
  <c r="C46" i="31"/>
  <c r="D46" i="31"/>
  <c r="E46" i="31"/>
  <c r="C54" i="31"/>
  <c r="D54" i="31"/>
  <c r="E54" i="31"/>
  <c r="C32" i="16"/>
  <c r="D32" i="16"/>
  <c r="E32" i="16"/>
  <c r="C39" i="16"/>
  <c r="D39" i="16"/>
  <c r="E39" i="16"/>
  <c r="C42" i="16"/>
  <c r="C44" i="16" s="1"/>
  <c r="D42" i="16"/>
  <c r="E42" i="16"/>
  <c r="E44" i="16" s="1"/>
  <c r="D44" i="16"/>
  <c r="C45" i="16"/>
  <c r="D45" i="16"/>
  <c r="E45" i="16"/>
  <c r="C46" i="16"/>
  <c r="D46" i="16"/>
  <c r="E46" i="16"/>
  <c r="E47" i="16"/>
  <c r="E52" i="16" s="1"/>
  <c r="C48" i="16"/>
  <c r="E48" i="16"/>
  <c r="E49" i="16"/>
  <c r="E50" i="16"/>
  <c r="C51" i="16"/>
  <c r="D51" i="16"/>
  <c r="E51" i="16"/>
  <c r="C52" i="16"/>
  <c r="C33" i="58"/>
  <c r="D33" i="58"/>
  <c r="E33" i="58"/>
  <c r="C36" i="58"/>
  <c r="D36" i="58"/>
  <c r="E36" i="58"/>
  <c r="C37" i="58"/>
  <c r="D37" i="58"/>
  <c r="E37" i="58"/>
  <c r="E40" i="58" s="1"/>
  <c r="C40" i="58"/>
  <c r="C43" i="58"/>
  <c r="D43" i="58"/>
  <c r="D45" i="58" s="1"/>
  <c r="E43" i="58"/>
  <c r="E45" i="58" s="1"/>
  <c r="C45" i="58"/>
  <c r="C46" i="58"/>
  <c r="D46" i="58"/>
  <c r="E46" i="58"/>
  <c r="C47" i="58"/>
  <c r="D47" i="58"/>
  <c r="E47" i="58"/>
  <c r="D48" i="58"/>
  <c r="E48" i="58"/>
  <c r="E49" i="58"/>
  <c r="C52" i="58"/>
  <c r="D52" i="58"/>
  <c r="E52" i="58"/>
  <c r="D53" i="58"/>
  <c r="E54" i="16" l="1"/>
  <c r="E57" i="33"/>
  <c r="E56" i="17"/>
  <c r="E54" i="20"/>
  <c r="D61" i="60"/>
  <c r="D55" i="58"/>
  <c r="D52" i="16"/>
  <c r="D54" i="16" s="1"/>
  <c r="C54" i="16"/>
  <c r="E53" i="58"/>
  <c r="E55" i="58" s="1"/>
  <c r="C53" i="58"/>
  <c r="C55" i="58" s="1"/>
  <c r="D40" i="58"/>
  <c r="C59" i="4"/>
  <c r="E55" i="34"/>
  <c r="D54" i="17"/>
  <c r="D56" i="17" s="1"/>
  <c r="C56" i="17"/>
  <c r="C54" i="20"/>
  <c r="C59" i="60"/>
  <c r="C61" i="60" s="1"/>
  <c r="D54" i="30"/>
  <c r="C55" i="34"/>
  <c r="C57" i="33"/>
  <c r="E59" i="4"/>
  <c r="E54" i="86"/>
  <c r="D54" i="86"/>
  <c r="E47" i="86"/>
  <c r="D47" i="86"/>
  <c r="D56" i="86" s="1"/>
  <c r="C3" i="86" s="1"/>
  <c r="E42" i="86"/>
  <c r="B6" i="86" s="1"/>
  <c r="D42" i="86"/>
  <c r="D6" i="86" s="1"/>
  <c r="E35" i="86"/>
  <c r="D35" i="86"/>
  <c r="C54" i="86"/>
  <c r="C47" i="86"/>
  <c r="C42" i="86"/>
  <c r="C35" i="86"/>
  <c r="C5" i="86"/>
  <c r="B5" i="86"/>
  <c r="C2" i="86"/>
  <c r="B2" i="86"/>
  <c r="C6" i="85"/>
  <c r="B6" i="85"/>
  <c r="D6" i="85"/>
  <c r="D3" i="85"/>
  <c r="C3" i="85"/>
  <c r="B3" i="85"/>
  <c r="B50" i="85"/>
  <c r="B43" i="85"/>
  <c r="B38" i="85"/>
  <c r="E6" i="85" s="1"/>
  <c r="B31" i="85"/>
  <c r="E5" i="85"/>
  <c r="D5" i="85"/>
  <c r="C5" i="85"/>
  <c r="B5" i="85"/>
  <c r="E2" i="85"/>
  <c r="D2" i="85"/>
  <c r="C2" i="85"/>
  <c r="B2" i="85"/>
  <c r="C6" i="86" l="1"/>
  <c r="C56" i="86"/>
  <c r="D3" i="86" s="1"/>
  <c r="B52" i="85"/>
  <c r="E3" i="85" s="1"/>
  <c r="E56" i="86"/>
  <c r="B3" i="86" s="1"/>
  <c r="B54" i="83"/>
  <c r="B47" i="83"/>
  <c r="B42" i="83"/>
  <c r="E6" i="83" s="1"/>
  <c r="B35" i="83"/>
  <c r="E5" i="83"/>
  <c r="E2" i="83"/>
  <c r="C56" i="5"/>
  <c r="D56" i="5"/>
  <c r="E56" i="5"/>
  <c r="B56" i="83" l="1"/>
  <c r="E3" i="83" s="1"/>
  <c r="B52" i="68"/>
  <c r="B45" i="68"/>
  <c r="B40" i="68"/>
  <c r="E6" i="68" s="1"/>
  <c r="B33" i="68"/>
  <c r="C52" i="68"/>
  <c r="C33" i="68"/>
  <c r="C40" i="68"/>
  <c r="C45" i="68"/>
  <c r="C54" i="68" l="1"/>
  <c r="C56" i="21"/>
  <c r="D56" i="21"/>
  <c r="E56" i="21"/>
  <c r="E57" i="31" l="1"/>
  <c r="D57" i="31"/>
  <c r="C57" i="31" l="1"/>
  <c r="B45" i="58"/>
  <c r="D2" i="58"/>
  <c r="C2" i="58"/>
  <c r="B2" i="58"/>
  <c r="E2" i="58"/>
  <c r="B57" i="4"/>
  <c r="B49" i="4"/>
  <c r="B42" i="4"/>
  <c r="E6" i="4" s="1"/>
  <c r="B59" i="4" l="1"/>
  <c r="E3" i="4" s="1"/>
  <c r="B35" i="28" l="1"/>
  <c r="E6" i="28"/>
  <c r="E3" i="28"/>
  <c r="B54" i="28"/>
  <c r="B47" i="28"/>
  <c r="B42" i="28"/>
  <c r="E7" i="28" s="1"/>
  <c r="D6" i="15"/>
  <c r="D5" i="15"/>
  <c r="D2" i="15"/>
  <c r="C6" i="15"/>
  <c r="C5" i="15"/>
  <c r="C2" i="15"/>
  <c r="B6" i="15"/>
  <c r="B5" i="15"/>
  <c r="B2" i="15"/>
  <c r="E2" i="15"/>
  <c r="E5" i="15"/>
  <c r="B59" i="11"/>
  <c r="B51" i="11"/>
  <c r="B45" i="11"/>
  <c r="E6" i="11" s="1"/>
  <c r="B38" i="11"/>
  <c r="E5" i="11"/>
  <c r="E2" i="11"/>
  <c r="B94" i="11"/>
  <c r="B86" i="11"/>
  <c r="B80" i="11"/>
  <c r="B73" i="11"/>
  <c r="B56" i="28" l="1"/>
  <c r="E4" i="28" s="1"/>
  <c r="B61" i="11"/>
  <c r="E3" i="11" s="1"/>
  <c r="B96" i="11"/>
  <c r="D5" i="4"/>
  <c r="D2" i="4"/>
  <c r="C6" i="4"/>
  <c r="C5" i="4"/>
  <c r="C3" i="4"/>
  <c r="C2" i="4"/>
  <c r="B6" i="4"/>
  <c r="B3" i="4"/>
  <c r="B5" i="4"/>
  <c r="B2" i="4"/>
  <c r="D6" i="4"/>
  <c r="D5" i="76"/>
  <c r="D4" i="76"/>
  <c r="C4" i="76"/>
  <c r="B4" i="76"/>
  <c r="B1" i="76"/>
  <c r="C1" i="76"/>
  <c r="D1" i="76"/>
  <c r="C6" i="41"/>
  <c r="E5" i="41"/>
  <c r="D5" i="41"/>
  <c r="C5" i="41"/>
  <c r="C3" i="41"/>
  <c r="B3" i="41"/>
  <c r="E2" i="41"/>
  <c r="D2" i="41"/>
  <c r="C2" i="41"/>
  <c r="B2" i="41"/>
  <c r="D3" i="12"/>
  <c r="D6" i="12"/>
  <c r="E5" i="12"/>
  <c r="D5" i="12"/>
  <c r="E2" i="12"/>
  <c r="D2" i="12"/>
  <c r="C6" i="12"/>
  <c r="C5" i="12"/>
  <c r="C3" i="12"/>
  <c r="C2" i="12"/>
  <c r="B6" i="12"/>
  <c r="B5" i="12"/>
  <c r="B3" i="12"/>
  <c r="B2" i="12"/>
  <c r="B56" i="41" l="1"/>
  <c r="D3" i="4"/>
  <c r="B6" i="48" l="1"/>
  <c r="C6" i="48"/>
  <c r="C3" i="48"/>
  <c r="B3" i="48"/>
  <c r="D5" i="48"/>
  <c r="C5" i="48"/>
  <c r="B5" i="48"/>
  <c r="D2" i="48"/>
  <c r="C2" i="48"/>
  <c r="B2" i="48"/>
  <c r="D6" i="48"/>
  <c r="D3" i="48" l="1"/>
  <c r="D6" i="77"/>
  <c r="B6" i="77"/>
  <c r="C6" i="77"/>
  <c r="E5" i="77"/>
  <c r="D5" i="77"/>
  <c r="C5" i="77"/>
  <c r="B5" i="77"/>
  <c r="E2" i="77"/>
  <c r="D2" i="77"/>
  <c r="C2" i="77"/>
  <c r="B2" i="77"/>
  <c r="D3" i="77"/>
  <c r="B3" i="77"/>
  <c r="C3" i="77"/>
  <c r="B5" i="43" l="1"/>
  <c r="D5" i="11" l="1"/>
  <c r="C5" i="11"/>
  <c r="B5" i="11"/>
  <c r="B2" i="11"/>
  <c r="C2" i="11"/>
  <c r="D2" i="11"/>
  <c r="E5" i="46"/>
  <c r="D5" i="46"/>
  <c r="C5" i="46"/>
  <c r="B5" i="46"/>
  <c r="B2" i="46"/>
  <c r="C2" i="46"/>
  <c r="D2" i="46"/>
  <c r="E2" i="46"/>
  <c r="C6" i="46"/>
  <c r="B6" i="46"/>
  <c r="C3" i="46"/>
  <c r="B3" i="46"/>
  <c r="E5" i="43"/>
  <c r="D5" i="43"/>
  <c r="C5" i="43"/>
  <c r="B2" i="43"/>
  <c r="C2" i="43"/>
  <c r="D2" i="43"/>
  <c r="E2" i="43"/>
  <c r="B6" i="43"/>
  <c r="C6" i="43"/>
  <c r="C3" i="43"/>
  <c r="B3" i="43"/>
  <c r="E5" i="44"/>
  <c r="D5" i="44"/>
  <c r="C5" i="44"/>
  <c r="B5" i="44"/>
  <c r="B2" i="44"/>
  <c r="C2" i="44"/>
  <c r="D2" i="44"/>
  <c r="E2" i="44"/>
  <c r="D6" i="44"/>
  <c r="C6" i="44"/>
  <c r="B6" i="44"/>
  <c r="D3" i="44"/>
  <c r="B3" i="44"/>
  <c r="C3" i="44"/>
  <c r="D5" i="83"/>
  <c r="C5" i="83"/>
  <c r="B5" i="83"/>
  <c r="D3" i="83"/>
  <c r="B2" i="83"/>
  <c r="C2" i="83"/>
  <c r="D2" i="83"/>
  <c r="E5" i="8"/>
  <c r="D5" i="8"/>
  <c r="C5" i="8"/>
  <c r="B5" i="8"/>
  <c r="B2" i="8"/>
  <c r="C2" i="8"/>
  <c r="D2" i="8"/>
  <c r="E2" i="8"/>
  <c r="C6" i="8"/>
  <c r="B6" i="8"/>
  <c r="C3" i="8"/>
  <c r="B3" i="8"/>
  <c r="E5" i="59"/>
  <c r="D5" i="59"/>
  <c r="C5" i="59"/>
  <c r="B5" i="59"/>
  <c r="B6" i="59"/>
  <c r="B3" i="59"/>
  <c r="B2" i="59"/>
  <c r="C2" i="59"/>
  <c r="D2" i="59"/>
  <c r="E2" i="59"/>
  <c r="E42" i="63"/>
  <c r="D42" i="63"/>
  <c r="C42" i="63"/>
  <c r="B42" i="63"/>
  <c r="B39" i="63"/>
  <c r="C39" i="63"/>
  <c r="D39" i="63"/>
  <c r="E39" i="63"/>
  <c r="C43" i="63"/>
  <c r="B43" i="63"/>
  <c r="B40" i="63"/>
  <c r="E5" i="14"/>
  <c r="D5" i="14"/>
  <c r="C5" i="14"/>
  <c r="B5" i="14"/>
  <c r="B2" i="14"/>
  <c r="C2" i="14"/>
  <c r="D2" i="14"/>
  <c r="E2" i="14"/>
  <c r="E5" i="5"/>
  <c r="D5" i="5"/>
  <c r="C5" i="5"/>
  <c r="B5" i="5"/>
  <c r="B2" i="5"/>
  <c r="C2" i="5"/>
  <c r="D2" i="5"/>
  <c r="E2" i="5"/>
  <c r="E5" i="49"/>
  <c r="D5" i="49"/>
  <c r="C5" i="49"/>
  <c r="B5" i="49"/>
  <c r="B2" i="49"/>
  <c r="C2" i="49"/>
  <c r="D2" i="49"/>
  <c r="E2" i="49"/>
  <c r="C6" i="49"/>
  <c r="B6" i="49"/>
  <c r="C3" i="49"/>
  <c r="B3" i="49"/>
  <c r="E5" i="48"/>
  <c r="E2" i="48"/>
  <c r="E5" i="36"/>
  <c r="D5" i="36"/>
  <c r="C5" i="36"/>
  <c r="B5" i="36"/>
  <c r="B2" i="36"/>
  <c r="C2" i="36"/>
  <c r="D2" i="36"/>
  <c r="E2" i="36"/>
  <c r="C6" i="36"/>
  <c r="B6" i="36"/>
  <c r="C3" i="36"/>
  <c r="D3" i="36"/>
  <c r="B3" i="36"/>
  <c r="E5" i="38"/>
  <c r="D5" i="38"/>
  <c r="C5" i="38"/>
  <c r="B5" i="38"/>
  <c r="B2" i="38"/>
  <c r="C2" i="38"/>
  <c r="D2" i="38"/>
  <c r="E2" i="38"/>
  <c r="C6" i="38"/>
  <c r="B6" i="38"/>
  <c r="C3" i="38"/>
  <c r="B3" i="38"/>
  <c r="E5" i="47"/>
  <c r="D5" i="47"/>
  <c r="C5" i="47"/>
  <c r="B5" i="47"/>
  <c r="B2" i="47"/>
  <c r="C2" i="47"/>
  <c r="D2" i="47"/>
  <c r="E2" i="47"/>
  <c r="B6" i="47"/>
  <c r="C6" i="47"/>
  <c r="C3" i="47"/>
  <c r="B3" i="47"/>
  <c r="B3" i="11" l="1"/>
  <c r="C40" i="63"/>
  <c r="B3" i="45"/>
  <c r="C3" i="45"/>
  <c r="B6" i="45"/>
  <c r="C6" i="45"/>
  <c r="E5" i="45"/>
  <c r="D5" i="45"/>
  <c r="C5" i="45"/>
  <c r="B5" i="45"/>
  <c r="D3" i="45"/>
  <c r="B2" i="45"/>
  <c r="C2" i="45"/>
  <c r="D2" i="45"/>
  <c r="E2" i="45"/>
  <c r="C5" i="76"/>
  <c r="B2" i="76"/>
  <c r="E4" i="76"/>
  <c r="E1" i="76"/>
  <c r="B5" i="41"/>
  <c r="E5" i="52"/>
  <c r="D5" i="52"/>
  <c r="C5" i="52"/>
  <c r="B5" i="52"/>
  <c r="B2" i="52"/>
  <c r="C2" i="52"/>
  <c r="D2" i="52"/>
  <c r="E2" i="52"/>
  <c r="C3" i="52"/>
  <c r="B3" i="52"/>
  <c r="E5" i="54"/>
  <c r="D5" i="54"/>
  <c r="C5" i="54"/>
  <c r="B5" i="54"/>
  <c r="B2" i="54"/>
  <c r="C2" i="54"/>
  <c r="D2" i="54"/>
  <c r="E2" i="54"/>
  <c r="C6" i="54"/>
  <c r="B6" i="54"/>
  <c r="B3" i="54"/>
  <c r="C3" i="54"/>
  <c r="E6" i="42"/>
  <c r="D6" i="42"/>
  <c r="C6" i="42"/>
  <c r="B6" i="42"/>
  <c r="B3" i="42"/>
  <c r="C3" i="42"/>
  <c r="D3" i="42"/>
  <c r="E3" i="42"/>
  <c r="C7" i="42"/>
  <c r="B7" i="42"/>
  <c r="C4" i="42"/>
  <c r="E5" i="50"/>
  <c r="D5" i="50"/>
  <c r="C5" i="50"/>
  <c r="B5" i="50"/>
  <c r="B2" i="50"/>
  <c r="C2" i="50"/>
  <c r="D2" i="50"/>
  <c r="E2" i="50"/>
  <c r="B6" i="50"/>
  <c r="B3" i="50"/>
  <c r="E5" i="40"/>
  <c r="D5" i="40"/>
  <c r="C5" i="40"/>
  <c r="B5" i="40"/>
  <c r="B2" i="40"/>
  <c r="C2" i="40"/>
  <c r="D2" i="40"/>
  <c r="E2" i="40"/>
  <c r="D3" i="40"/>
  <c r="E5" i="84"/>
  <c r="D5" i="84"/>
  <c r="C5" i="84"/>
  <c r="B5" i="84"/>
  <c r="B2" i="84"/>
  <c r="C2" i="84"/>
  <c r="D2" i="84"/>
  <c r="E2" i="84"/>
  <c r="D3" i="84"/>
  <c r="C3" i="84"/>
  <c r="E5" i="39"/>
  <c r="D5" i="39"/>
  <c r="C5" i="39"/>
  <c r="B5" i="39"/>
  <c r="B2" i="39"/>
  <c r="D2" i="39"/>
  <c r="C2" i="39"/>
  <c r="E2" i="39"/>
  <c r="C6" i="39"/>
  <c r="E5" i="19"/>
  <c r="D5" i="19"/>
  <c r="C5" i="19"/>
  <c r="B5" i="19"/>
  <c r="E2" i="19"/>
  <c r="D2" i="19"/>
  <c r="C2" i="19"/>
  <c r="B2" i="19"/>
  <c r="B54" i="17"/>
  <c r="B46" i="17"/>
  <c r="B41" i="17"/>
  <c r="B33" i="17"/>
  <c r="B5" i="76" l="1"/>
  <c r="C2" i="76"/>
  <c r="B3" i="84"/>
  <c r="B3" i="39"/>
  <c r="B6" i="39"/>
  <c r="B4" i="42"/>
  <c r="B56" i="17"/>
  <c r="E5" i="25" l="1"/>
  <c r="D5" i="25"/>
  <c r="C5" i="25"/>
  <c r="B5" i="25"/>
  <c r="E2" i="25"/>
  <c r="D2" i="25"/>
  <c r="C2" i="25"/>
  <c r="B2" i="25"/>
  <c r="D6" i="25"/>
  <c r="C6" i="25"/>
  <c r="B6" i="25"/>
  <c r="D3" i="25"/>
  <c r="C3" i="25"/>
  <c r="B3" i="25"/>
  <c r="E6" i="29"/>
  <c r="D6" i="29"/>
  <c r="C6" i="29"/>
  <c r="B6" i="29"/>
  <c r="E3" i="29"/>
  <c r="D3" i="29"/>
  <c r="C3" i="29"/>
  <c r="B3" i="29"/>
  <c r="D7" i="29"/>
  <c r="C7" i="29"/>
  <c r="B7" i="29"/>
  <c r="D4" i="29"/>
  <c r="B4" i="29"/>
  <c r="C4" i="29"/>
  <c r="D6" i="28"/>
  <c r="C6" i="28"/>
  <c r="B6" i="28"/>
  <c r="D3" i="28"/>
  <c r="C3" i="28"/>
  <c r="B3" i="28"/>
  <c r="C7" i="28"/>
  <c r="B7" i="28"/>
  <c r="C4" i="28"/>
  <c r="B4" i="28"/>
  <c r="C6" i="23"/>
  <c r="C3" i="23"/>
  <c r="B6" i="23"/>
  <c r="E5" i="23"/>
  <c r="D5" i="23"/>
  <c r="C5" i="23"/>
  <c r="B5" i="23"/>
  <c r="E2" i="23"/>
  <c r="D2" i="23"/>
  <c r="C2" i="23"/>
  <c r="B2" i="23"/>
  <c r="E5" i="27"/>
  <c r="D5" i="27"/>
  <c r="C5" i="27"/>
  <c r="B5" i="27"/>
  <c r="E2" i="27"/>
  <c r="D2" i="27"/>
  <c r="C2" i="27"/>
  <c r="B2" i="27"/>
  <c r="C6" i="27"/>
  <c r="D6" i="27"/>
  <c r="B6" i="27"/>
  <c r="B3" i="27"/>
  <c r="C6" i="18"/>
  <c r="B6" i="18"/>
  <c r="E5" i="18"/>
  <c r="D5" i="18"/>
  <c r="C5" i="18"/>
  <c r="B5" i="18"/>
  <c r="E2" i="18"/>
  <c r="D2" i="18"/>
  <c r="C2" i="18"/>
  <c r="B2" i="18"/>
  <c r="C6" i="70"/>
  <c r="B3" i="70"/>
  <c r="C3" i="70"/>
  <c r="B6" i="70"/>
  <c r="E5" i="70"/>
  <c r="D5" i="70"/>
  <c r="C5" i="70"/>
  <c r="B5" i="70"/>
  <c r="E2" i="70"/>
  <c r="D2" i="70"/>
  <c r="C2" i="70"/>
  <c r="B2" i="70"/>
  <c r="C3" i="78"/>
  <c r="B6" i="78"/>
  <c r="C6" i="78"/>
  <c r="E5" i="78"/>
  <c r="D5" i="78"/>
  <c r="C5" i="78"/>
  <c r="B5" i="78"/>
  <c r="E2" i="78"/>
  <c r="D2" i="78"/>
  <c r="C2" i="78"/>
  <c r="B2" i="78"/>
  <c r="E5" i="68"/>
  <c r="D5" i="68"/>
  <c r="C5" i="68"/>
  <c r="B5" i="68"/>
  <c r="E2" i="68"/>
  <c r="D2" i="68"/>
  <c r="C2" i="68"/>
  <c r="B2" i="68"/>
  <c r="C3" i="68"/>
  <c r="B3" i="30"/>
  <c r="B6" i="30"/>
  <c r="C6" i="30"/>
  <c r="C3" i="30"/>
  <c r="E5" i="30"/>
  <c r="D5" i="30"/>
  <c r="C5" i="30"/>
  <c r="B5" i="30"/>
  <c r="E2" i="30"/>
  <c r="D2" i="30"/>
  <c r="C2" i="30"/>
  <c r="B2" i="30"/>
  <c r="D3" i="60"/>
  <c r="B3" i="60"/>
  <c r="B6" i="60"/>
  <c r="C6" i="60"/>
  <c r="E5" i="60"/>
  <c r="D5" i="60"/>
  <c r="C5" i="60"/>
  <c r="B5" i="60"/>
  <c r="E2" i="60"/>
  <c r="D2" i="60"/>
  <c r="C2" i="60"/>
  <c r="B2" i="60"/>
  <c r="B6" i="22"/>
  <c r="C3" i="22"/>
  <c r="D3" i="22"/>
  <c r="C6" i="22"/>
  <c r="E5" i="22"/>
  <c r="D5" i="22"/>
  <c r="C5" i="22"/>
  <c r="B5" i="22"/>
  <c r="E2" i="22"/>
  <c r="D2" i="22"/>
  <c r="C2" i="22"/>
  <c r="B2" i="22"/>
  <c r="B3" i="21"/>
  <c r="C3" i="21"/>
  <c r="B6" i="21"/>
  <c r="C6" i="21"/>
  <c r="E5" i="21"/>
  <c r="D5" i="21"/>
  <c r="C5" i="21"/>
  <c r="B5" i="21"/>
  <c r="E2" i="21"/>
  <c r="D2" i="21"/>
  <c r="C2" i="21"/>
  <c r="B2" i="21"/>
  <c r="B6" i="20"/>
  <c r="B3" i="20"/>
  <c r="C3" i="20"/>
  <c r="C6" i="20"/>
  <c r="E5" i="20"/>
  <c r="D5" i="20"/>
  <c r="C5" i="20"/>
  <c r="B5" i="20"/>
  <c r="E2" i="20"/>
  <c r="D2" i="20"/>
  <c r="C2" i="20"/>
  <c r="B2" i="20"/>
  <c r="B6" i="19"/>
  <c r="C6" i="19"/>
  <c r="B3" i="19"/>
  <c r="C6" i="17"/>
  <c r="B6" i="17"/>
  <c r="E5" i="17"/>
  <c r="D5" i="17"/>
  <c r="C5" i="17"/>
  <c r="B5" i="17"/>
  <c r="E2" i="17"/>
  <c r="D2" i="17"/>
  <c r="C2" i="17"/>
  <c r="B2" i="17"/>
  <c r="E5" i="34"/>
  <c r="D5" i="34"/>
  <c r="C5" i="34"/>
  <c r="B5" i="34"/>
  <c r="E2" i="34"/>
  <c r="D2" i="34"/>
  <c r="C2" i="34"/>
  <c r="B2" i="34"/>
  <c r="B6" i="34"/>
  <c r="B3" i="34"/>
  <c r="C3" i="53"/>
  <c r="D3" i="53"/>
  <c r="B6" i="53"/>
  <c r="E5" i="53"/>
  <c r="D5" i="53"/>
  <c r="C5" i="53"/>
  <c r="B5" i="53"/>
  <c r="E2" i="53"/>
  <c r="D2" i="53"/>
  <c r="C2" i="53"/>
  <c r="B2" i="53"/>
  <c r="C6" i="33"/>
  <c r="B6" i="33"/>
  <c r="E5" i="33"/>
  <c r="D5" i="33"/>
  <c r="C5" i="33"/>
  <c r="B5" i="33"/>
  <c r="D2" i="33"/>
  <c r="E2" i="33"/>
  <c r="C2" i="33"/>
  <c r="B2" i="33"/>
  <c r="C6" i="35"/>
  <c r="D3" i="35"/>
  <c r="B3" i="35"/>
  <c r="C3" i="35"/>
  <c r="B6" i="35"/>
  <c r="E5" i="35"/>
  <c r="D5" i="35"/>
  <c r="C5" i="35"/>
  <c r="B5" i="35"/>
  <c r="E2" i="35"/>
  <c r="D2" i="35"/>
  <c r="C2" i="35"/>
  <c r="B2" i="35"/>
  <c r="B3" i="32"/>
  <c r="D3" i="32"/>
  <c r="E5" i="32"/>
  <c r="D5" i="32"/>
  <c r="C5" i="32"/>
  <c r="B5" i="32"/>
  <c r="E2" i="32"/>
  <c r="D2" i="32"/>
  <c r="C2" i="32"/>
  <c r="B2" i="32"/>
  <c r="B6" i="32"/>
  <c r="C6" i="32"/>
  <c r="E5" i="4"/>
  <c r="E2" i="4"/>
  <c r="E5" i="58"/>
  <c r="D5" i="58"/>
  <c r="C5" i="58"/>
  <c r="B5" i="58"/>
  <c r="E5" i="16"/>
  <c r="D5" i="16"/>
  <c r="C5" i="16"/>
  <c r="B5" i="16"/>
  <c r="E2" i="16"/>
  <c r="D2" i="16"/>
  <c r="C2" i="16"/>
  <c r="B2" i="16"/>
  <c r="B5" i="31"/>
  <c r="C5" i="31"/>
  <c r="E4" i="31"/>
  <c r="D4" i="31"/>
  <c r="C4" i="31"/>
  <c r="B4" i="31"/>
  <c r="E1" i="31"/>
  <c r="D1" i="31"/>
  <c r="C1" i="31"/>
  <c r="B1" i="31"/>
  <c r="C2" i="31"/>
  <c r="B6" i="16"/>
  <c r="C6" i="16"/>
  <c r="C3" i="58"/>
  <c r="B3" i="58"/>
  <c r="B51" i="50"/>
  <c r="B44" i="50"/>
  <c r="B39" i="50"/>
  <c r="B32" i="50"/>
  <c r="D3" i="59"/>
  <c r="D6" i="59"/>
  <c r="B53" i="34"/>
  <c r="B46" i="34"/>
  <c r="B41" i="34"/>
  <c r="E6" i="34" s="1"/>
  <c r="B34" i="34"/>
  <c r="D6" i="53"/>
  <c r="B53" i="53"/>
  <c r="B47" i="53"/>
  <c r="B42" i="53"/>
  <c r="E6" i="53" s="1"/>
  <c r="B35" i="53"/>
  <c r="D6" i="50"/>
  <c r="D3" i="50"/>
  <c r="B6" i="58"/>
  <c r="C6" i="58"/>
  <c r="B3" i="5"/>
  <c r="B6" i="5"/>
  <c r="B6" i="68"/>
  <c r="C6" i="68"/>
  <c r="B52" i="77"/>
  <c r="B45" i="77"/>
  <c r="B40" i="77"/>
  <c r="E6" i="77" s="1"/>
  <c r="B33" i="77"/>
  <c r="D6" i="41"/>
  <c r="D2" i="76"/>
  <c r="B52" i="12"/>
  <c r="B45" i="12"/>
  <c r="B40" i="12"/>
  <c r="B33" i="12"/>
  <c r="D6" i="14"/>
  <c r="B6" i="14"/>
  <c r="D3" i="14"/>
  <c r="C3" i="14"/>
  <c r="B3" i="14"/>
  <c r="D3" i="39"/>
  <c r="C3" i="39"/>
  <c r="B3" i="40"/>
  <c r="C3" i="40"/>
  <c r="D6" i="40"/>
  <c r="C6" i="40"/>
  <c r="B6" i="40"/>
  <c r="B55" i="40"/>
  <c r="B47" i="40"/>
  <c r="B42" i="40"/>
  <c r="E6" i="40" s="1"/>
  <c r="B35" i="40"/>
  <c r="D6" i="84"/>
  <c r="C6" i="84"/>
  <c r="B6" i="84"/>
  <c r="B56" i="84"/>
  <c r="B47" i="84"/>
  <c r="B41" i="84"/>
  <c r="E6" i="84" s="1"/>
  <c r="B34" i="84"/>
  <c r="B47" i="39"/>
  <c r="B54" i="39"/>
  <c r="B41" i="39"/>
  <c r="E6" i="39" s="1"/>
  <c r="B34" i="39"/>
  <c r="B35" i="36"/>
  <c r="B54" i="29"/>
  <c r="B47" i="29"/>
  <c r="B42" i="29"/>
  <c r="E7" i="29" s="1"/>
  <c r="B35" i="29"/>
  <c r="B46" i="49"/>
  <c r="B34" i="49"/>
  <c r="B53" i="49"/>
  <c r="B33" i="20"/>
  <c r="B54" i="47"/>
  <c r="B47" i="47"/>
  <c r="B41" i="47"/>
  <c r="B34" i="47"/>
  <c r="B55" i="33"/>
  <c r="B48" i="33"/>
  <c r="B43" i="33"/>
  <c r="E6" i="33" s="1"/>
  <c r="B36" i="33"/>
  <c r="G35" i="32"/>
  <c r="B35" i="21"/>
  <c r="B55" i="35"/>
  <c r="B48" i="35"/>
  <c r="B41" i="35"/>
  <c r="E6" i="35" s="1"/>
  <c r="B33" i="35"/>
  <c r="B40" i="20"/>
  <c r="E6" i="20" s="1"/>
  <c r="B6" i="83"/>
  <c r="B54" i="31"/>
  <c r="B46" i="31"/>
  <c r="B41" i="31"/>
  <c r="E5" i="31" s="1"/>
  <c r="B34" i="31"/>
  <c r="B56" i="29" l="1"/>
  <c r="E4" i="29" s="1"/>
  <c r="B3" i="16"/>
  <c r="D3" i="16"/>
  <c r="C3" i="16"/>
  <c r="B3" i="33"/>
  <c r="C3" i="19"/>
  <c r="C3" i="32"/>
  <c r="C3" i="33"/>
  <c r="B3" i="53"/>
  <c r="B3" i="17"/>
  <c r="B3" i="22"/>
  <c r="C3" i="60"/>
  <c r="B3" i="68"/>
  <c r="B3" i="78"/>
  <c r="D3" i="78"/>
  <c r="C3" i="18"/>
  <c r="C3" i="27"/>
  <c r="B3" i="23"/>
  <c r="E6" i="47"/>
  <c r="C3" i="83"/>
  <c r="B56" i="47"/>
  <c r="E3" i="47" s="1"/>
  <c r="B54" i="77"/>
  <c r="E3" i="77" s="1"/>
  <c r="B3" i="18"/>
  <c r="C3" i="17"/>
  <c r="B55" i="53"/>
  <c r="E3" i="53" s="1"/>
  <c r="G33" i="35"/>
  <c r="B53" i="50"/>
  <c r="B55" i="34"/>
  <c r="E3" i="34" s="1"/>
  <c r="D3" i="41"/>
  <c r="B54" i="12"/>
  <c r="B57" i="40"/>
  <c r="E3" i="40" s="1"/>
  <c r="B58" i="84"/>
  <c r="E3" i="84" s="1"/>
  <c r="B56" i="39"/>
  <c r="E3" i="39" s="1"/>
  <c r="B54" i="68"/>
  <c r="E3" i="68" s="1"/>
  <c r="B55" i="49"/>
  <c r="E3" i="49" s="1"/>
  <c r="B41" i="49"/>
  <c r="E6" i="49" s="1"/>
  <c r="B57" i="33"/>
  <c r="E3" i="33" s="1"/>
  <c r="B57" i="35"/>
  <c r="E3" i="35" s="1"/>
  <c r="B57" i="31"/>
  <c r="E2" i="31" s="1"/>
  <c r="B52" i="25"/>
  <c r="B45" i="25"/>
  <c r="B40" i="25"/>
  <c r="E6" i="25" s="1"/>
  <c r="B33" i="25"/>
  <c r="B47" i="23"/>
  <c r="B42" i="23"/>
  <c r="E6" i="23" s="1"/>
  <c r="B35" i="23"/>
  <c r="B54" i="32"/>
  <c r="B47" i="32"/>
  <c r="B42" i="32"/>
  <c r="E6" i="32" s="1"/>
  <c r="B35" i="32"/>
  <c r="B53" i="18"/>
  <c r="B46" i="18"/>
  <c r="B41" i="18"/>
  <c r="E6" i="18" s="1"/>
  <c r="B33" i="18"/>
  <c r="E3" i="52"/>
  <c r="B41" i="52"/>
  <c r="E6" i="52" s="1"/>
  <c r="B53" i="52"/>
  <c r="B46" i="52"/>
  <c r="B34" i="52"/>
  <c r="B40" i="54"/>
  <c r="E6" i="54" s="1"/>
  <c r="B33" i="54"/>
  <c r="B52" i="54"/>
  <c r="B45" i="54"/>
  <c r="B46" i="42"/>
  <c r="B53" i="42"/>
  <c r="B41" i="42"/>
  <c r="E7" i="42" s="1"/>
  <c r="B34" i="42"/>
  <c r="B31" i="38"/>
  <c r="B50" i="38"/>
  <c r="B43" i="38"/>
  <c r="B38" i="38"/>
  <c r="E6" i="38" s="1"/>
  <c r="B41" i="8"/>
  <c r="E6" i="8" s="1"/>
  <c r="B32" i="8"/>
  <c r="B53" i="8"/>
  <c r="B51" i="44"/>
  <c r="B44" i="44"/>
  <c r="B39" i="44"/>
  <c r="E6" i="44" s="1"/>
  <c r="B33" i="44"/>
  <c r="B46" i="43"/>
  <c r="B54" i="43"/>
  <c r="B34" i="43"/>
  <c r="B41" i="43"/>
  <c r="E6" i="43" s="1"/>
  <c r="B51" i="46"/>
  <c r="B44" i="46"/>
  <c r="B39" i="46"/>
  <c r="E6" i="46" s="1"/>
  <c r="B33" i="46"/>
  <c r="E6" i="17"/>
  <c r="B42" i="36"/>
  <c r="E6" i="36" s="1"/>
  <c r="B48" i="36"/>
  <c r="B55" i="36"/>
  <c r="B33" i="30"/>
  <c r="G33" i="30" s="1"/>
  <c r="B40" i="30"/>
  <c r="E6" i="30" s="1"/>
  <c r="B45" i="30"/>
  <c r="B52" i="30"/>
  <c r="B31" i="78"/>
  <c r="B39" i="78"/>
  <c r="E6" i="78" s="1"/>
  <c r="B46" i="78"/>
  <c r="B54" i="78"/>
  <c r="B51" i="70"/>
  <c r="B44" i="70"/>
  <c r="B38" i="70"/>
  <c r="E6" i="70" s="1"/>
  <c r="B31" i="70"/>
  <c r="B52" i="16"/>
  <c r="B44" i="16"/>
  <c r="B39" i="16"/>
  <c r="E6" i="16" s="1"/>
  <c r="B32" i="16"/>
  <c r="B53" i="46" l="1"/>
  <c r="E3" i="46" s="1"/>
  <c r="B55" i="52"/>
  <c r="B55" i="18"/>
  <c r="E3" i="18" s="1"/>
  <c r="B53" i="70"/>
  <c r="E3" i="70" s="1"/>
  <c r="B56" i="78"/>
  <c r="E3" i="78" s="1"/>
  <c r="B54" i="30"/>
  <c r="E3" i="30" s="1"/>
  <c r="B56" i="43"/>
  <c r="E3" i="43" s="1"/>
  <c r="B54" i="25"/>
  <c r="E3" i="25" s="1"/>
  <c r="B54" i="23"/>
  <c r="B56" i="23" s="1"/>
  <c r="E3" i="23" s="1"/>
  <c r="B56" i="32"/>
  <c r="E3" i="32" s="1"/>
  <c r="B54" i="54"/>
  <c r="E3" i="54" s="1"/>
  <c r="B55" i="42"/>
  <c r="E4" i="42" s="1"/>
  <c r="B52" i="38"/>
  <c r="E3" i="38" s="1"/>
  <c r="B46" i="8"/>
  <c r="B55" i="8" s="1"/>
  <c r="E3" i="8" s="1"/>
  <c r="B53" i="44"/>
  <c r="E3" i="44" s="1"/>
  <c r="E3" i="17"/>
  <c r="B57" i="36"/>
  <c r="E3" i="36" s="1"/>
  <c r="B54" i="16"/>
  <c r="E3" i="16" s="1"/>
  <c r="B54" i="48"/>
  <c r="B47" i="48"/>
  <c r="B34" i="48"/>
  <c r="B42" i="48"/>
  <c r="E6" i="48" s="1"/>
  <c r="B56" i="59"/>
  <c r="B48" i="59"/>
  <c r="B42" i="59"/>
  <c r="E6" i="59" s="1"/>
  <c r="B34" i="59"/>
  <c r="B54" i="45"/>
  <c r="B47" i="45"/>
  <c r="B42" i="45"/>
  <c r="E6" i="45" s="1"/>
  <c r="B35" i="45"/>
  <c r="D7" i="28"/>
  <c r="B33" i="63"/>
  <c r="B25" i="63"/>
  <c r="B19" i="63"/>
  <c r="E43" i="63" s="1"/>
  <c r="B10" i="63"/>
  <c r="B53" i="15"/>
  <c r="B55" i="15" s="1"/>
  <c r="E3" i="15" s="1"/>
  <c r="B45" i="15"/>
  <c r="B32" i="15"/>
  <c r="B40" i="15"/>
  <c r="E6" i="15" s="1"/>
  <c r="C3" i="11"/>
  <c r="C6" i="11"/>
  <c r="D6" i="11"/>
  <c r="D6" i="78"/>
  <c r="D6" i="18"/>
  <c r="D3" i="18"/>
  <c r="B54" i="21"/>
  <c r="B47" i="21"/>
  <c r="B42" i="21"/>
  <c r="E6" i="21" s="1"/>
  <c r="D6" i="22"/>
  <c r="D6" i="20"/>
  <c r="D6" i="19"/>
  <c r="D3" i="19"/>
  <c r="D6" i="60"/>
  <c r="B53" i="58"/>
  <c r="B40" i="58"/>
  <c r="E6" i="58" s="1"/>
  <c r="B33" i="58"/>
  <c r="B6" i="41"/>
  <c r="D6" i="49"/>
  <c r="B54" i="22"/>
  <c r="B54" i="19"/>
  <c r="B58" i="59" l="1"/>
  <c r="E3" i="59" s="1"/>
  <c r="D4" i="28"/>
  <c r="B56" i="21"/>
  <c r="E3" i="21" s="1"/>
  <c r="B56" i="48"/>
  <c r="E3" i="48" s="1"/>
  <c r="D3" i="20"/>
  <c r="B55" i="58"/>
  <c r="E3" i="58" s="1"/>
  <c r="B56" i="45"/>
  <c r="E3" i="45" s="1"/>
  <c r="B35" i="63"/>
  <c r="E40" i="63" s="1"/>
  <c r="D3" i="11"/>
  <c r="C6" i="59"/>
  <c r="C6" i="50"/>
  <c r="D6" i="5"/>
  <c r="D6" i="34"/>
  <c r="D3" i="34"/>
  <c r="C6" i="34"/>
  <c r="C6" i="53"/>
  <c r="D6" i="23"/>
  <c r="D43" i="63"/>
  <c r="D6" i="47"/>
  <c r="D6" i="46"/>
  <c r="D6" i="45"/>
  <c r="D6" i="43"/>
  <c r="D6" i="54"/>
  <c r="D7" i="42"/>
  <c r="C6" i="5" l="1"/>
  <c r="D40" i="63"/>
  <c r="C3" i="50"/>
  <c r="C3" i="34"/>
  <c r="D3" i="47"/>
  <c r="D3" i="43"/>
  <c r="C3" i="59"/>
  <c r="D3" i="5"/>
  <c r="D3" i="49"/>
  <c r="D3" i="46"/>
  <c r="D3" i="52"/>
  <c r="D3" i="54"/>
  <c r="D3" i="23"/>
  <c r="D4" i="42"/>
  <c r="D6" i="8"/>
  <c r="D6" i="39"/>
  <c r="D6" i="36"/>
  <c r="D6" i="38"/>
  <c r="D6" i="35"/>
  <c r="D6" i="68"/>
  <c r="D6" i="70"/>
  <c r="D6" i="30"/>
  <c r="D6" i="32"/>
  <c r="D5" i="31"/>
  <c r="D6" i="21"/>
  <c r="B35" i="22"/>
  <c r="G35" i="22" s="1"/>
  <c r="B42" i="22"/>
  <c r="E6" i="22" s="1"/>
  <c r="B47" i="22"/>
  <c r="B45" i="20"/>
  <c r="B52" i="20"/>
  <c r="B35" i="19"/>
  <c r="B42" i="19"/>
  <c r="E6" i="19" s="1"/>
  <c r="B47" i="19"/>
  <c r="B36" i="60"/>
  <c r="B44" i="60"/>
  <c r="E6" i="60" s="1"/>
  <c r="B51" i="60"/>
  <c r="B59" i="60"/>
  <c r="D6" i="16"/>
  <c r="D6" i="58"/>
  <c r="D6" i="33" l="1"/>
  <c r="D3" i="8"/>
  <c r="B61" i="60"/>
  <c r="E3" i="60" s="1"/>
  <c r="B56" i="19"/>
  <c r="E3" i="19" s="1"/>
  <c r="D2" i="31"/>
  <c r="D6" i="17"/>
  <c r="D3" i="68"/>
  <c r="D3" i="70"/>
  <c r="D3" i="30"/>
  <c r="D3" i="21"/>
  <c r="B56" i="22"/>
  <c r="E3" i="22" s="1"/>
  <c r="B54" i="20"/>
  <c r="E3" i="20" s="1"/>
  <c r="D3" i="33"/>
  <c r="D3" i="38"/>
  <c r="D3" i="17"/>
  <c r="D3" i="58"/>
  <c r="D3" i="27" l="1"/>
  <c r="C6" i="14"/>
  <c r="B6" i="11"/>
  <c r="B2" i="31" l="1"/>
  <c r="C3" i="5"/>
</calcChain>
</file>

<file path=xl/sharedStrings.xml><?xml version="1.0" encoding="utf-8"?>
<sst xmlns="http://schemas.openxmlformats.org/spreadsheetml/2006/main" count="1525" uniqueCount="93">
  <si>
    <t>EK Quote</t>
  </si>
  <si>
    <t xml:space="preserve">Jahresergebnis </t>
  </si>
  <si>
    <t>Bilanz:</t>
  </si>
  <si>
    <t>Aktiva: in T €</t>
  </si>
  <si>
    <t>Anlagevermögen</t>
  </si>
  <si>
    <t>Umlaufvermögen</t>
  </si>
  <si>
    <t>Rechnungsabgrenzungsposten</t>
  </si>
  <si>
    <t>Passiva in T €</t>
  </si>
  <si>
    <t>Eigenkapital</t>
  </si>
  <si>
    <t>Rückstellungen</t>
  </si>
  <si>
    <t>Verbindlichkeiten</t>
  </si>
  <si>
    <t>Gewinn- und Verlustrechnung:</t>
  </si>
  <si>
    <t>Umsatzerlöse</t>
  </si>
  <si>
    <t>Sonstige Zinsen und ähnliche Erträge</t>
  </si>
  <si>
    <t>Personalaufwand</t>
  </si>
  <si>
    <t>Abschreibungen</t>
  </si>
  <si>
    <t>Sonstige betriebliche Aufwendungen</t>
  </si>
  <si>
    <t>Zinsen und ähnliche Aufwendungen</t>
  </si>
  <si>
    <t>Steuern</t>
  </si>
  <si>
    <t>Sonstige betriebliche/sonst. Erträge</t>
  </si>
  <si>
    <t>Materialaufwand</t>
  </si>
  <si>
    <t>Umsatzerlöse (Erträge Pflege etc.)</t>
  </si>
  <si>
    <t>Sonderposten Zuschüsse</t>
  </si>
  <si>
    <t xml:space="preserve">Aufwendungen für bez. Leistungen </t>
  </si>
  <si>
    <t>Aufwendungen aus Verlustübernahme</t>
  </si>
  <si>
    <t>Dephin Verwaltungs mbH</t>
  </si>
  <si>
    <t>Ausgleichsposten Eigenmittelbefö.</t>
  </si>
  <si>
    <t>Ausgleichsposten aus Darlehensfö.</t>
  </si>
  <si>
    <t>Sonderposten aus Zuwendungen</t>
  </si>
  <si>
    <t>Verlustanteil Gesellschafter</t>
  </si>
  <si>
    <t>Sonderposten + Ertragszuschüsse</t>
  </si>
  <si>
    <t>Aufwand aus Verlustübernahme</t>
  </si>
  <si>
    <t>Jahresergebnis vor Verlustübernahme</t>
  </si>
  <si>
    <t xml:space="preserve">Eigenkapital inkl. Sonderposten </t>
  </si>
  <si>
    <t>Eigenkapital inkl. Sonderposten</t>
  </si>
  <si>
    <t>Umsatzerlöse (Pflegegelder)</t>
  </si>
  <si>
    <t>Sonstige/ betriebliche Aufwendungen</t>
  </si>
  <si>
    <t>vor Ergebnisabführung</t>
  </si>
  <si>
    <t>Sonstige/betriebliche Aufwendungen</t>
  </si>
  <si>
    <t>(Konzern)</t>
  </si>
  <si>
    <t xml:space="preserve">vor Ergebnisübernahme </t>
  </si>
  <si>
    <t>* vor EAV</t>
  </si>
  <si>
    <t xml:space="preserve">Eigenkapital </t>
  </si>
  <si>
    <t>Sonderposten</t>
  </si>
  <si>
    <t>* vor Ausschüttung</t>
  </si>
  <si>
    <t>Jahresergebnis</t>
  </si>
  <si>
    <t>Eigenkapitalquote (wirschaftliches Eigenkapital)</t>
  </si>
  <si>
    <t>* bezogen auf das wirtschaftliche Eigenkapital (inkl. Ausgleichsposten, Sonderposten, Zuschüsse und Konzernbilanzgewinn)</t>
  </si>
  <si>
    <t>Aktiva in T €</t>
  </si>
  <si>
    <t>Nicht durch EK gedeckter Fehlbetrag</t>
  </si>
  <si>
    <t>* vor Verlust/Gewinnübernahme</t>
  </si>
  <si>
    <t>Gesellschafterdarlehen WSW</t>
  </si>
  <si>
    <t xml:space="preserve"> </t>
  </si>
  <si>
    <t xml:space="preserve">Erträge aus Verlustübernahme </t>
  </si>
  <si>
    <t xml:space="preserve">a. o. Ergebnis </t>
  </si>
  <si>
    <t>a.o. Ergebnis</t>
  </si>
  <si>
    <t>Jahresüberschuss / Fehlbetrag</t>
  </si>
  <si>
    <t>Sonstige betriebliche Aufwendungen*</t>
  </si>
  <si>
    <t>Jahresüberschuss / Fehlbetrag*</t>
  </si>
  <si>
    <t xml:space="preserve">Aufwendungen aus Verlustübernahme </t>
  </si>
  <si>
    <t>Jahresüberschuss / Fehlbetrag vor EAV</t>
  </si>
  <si>
    <t>Umsatzerlöse*</t>
  </si>
  <si>
    <t>*inklusive Sozial-und Transferleistungen</t>
  </si>
  <si>
    <t>aufgrund Verlustübernahmeerklärung</t>
  </si>
  <si>
    <t xml:space="preserve">* vor Ergebnisabführung/Verlustausgleich </t>
  </si>
  <si>
    <t xml:space="preserve">*vor Verlustübernahme </t>
  </si>
  <si>
    <t>Gewinn- und Verlustrechnung in T€:</t>
  </si>
  <si>
    <t>Konzern-Bilanz</t>
  </si>
  <si>
    <t>Bilanz: Gmbh&amp;Co.KG</t>
  </si>
  <si>
    <t>Bet.gesellschaft</t>
  </si>
  <si>
    <t>Gewinn- und Verlustrechnung in T €:</t>
  </si>
  <si>
    <t>Bilanz</t>
  </si>
  <si>
    <t>Nicht durch Eigenkapital gedeckter Fehlbetrag</t>
  </si>
  <si>
    <t>Eigenkapital inkl. Ausgleichsposten, Sonderposten,
empf. Ertragszuschüsse</t>
  </si>
  <si>
    <t>Bestand in Arbeit befindliche Aufträge</t>
  </si>
  <si>
    <t>Rückstellungen (inkl. Passive latente Steuern)</t>
  </si>
  <si>
    <t>2014/2015</t>
  </si>
  <si>
    <t>2015/2016</t>
  </si>
  <si>
    <t>Zuschüsse Stadt</t>
  </si>
  <si>
    <t>Jahresüberschuss / Fehlbetrag *</t>
  </si>
  <si>
    <t>* Vor Gutschrift auf Verlustvortragskonten</t>
  </si>
  <si>
    <t>Rückstellungen und Sonderposten</t>
  </si>
  <si>
    <t>Jahresüberschuss/Fehlbetrag vor EAV</t>
  </si>
  <si>
    <t>*</t>
  </si>
  <si>
    <t>* 2016 = Rumpfgeschäftsjahr</t>
  </si>
  <si>
    <t xml:space="preserve">Jahresüberschuss/ Fehlbetrag </t>
  </si>
  <si>
    <t>2016/2017</t>
  </si>
  <si>
    <t xml:space="preserve">  </t>
  </si>
  <si>
    <t>vor Verlustübernahme</t>
  </si>
  <si>
    <t>2017/2018</t>
  </si>
  <si>
    <t>Nicht durch Vermögenseinlagen gedeckter Verlustanteil der Kommanditisten</t>
  </si>
  <si>
    <t>Jahresüberschuss/Fehlbetrag v. EAV</t>
  </si>
  <si>
    <t>Sonstige betriebl. Aufwendungen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</si>
</sst>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0.0%"/>
    <numFmt numFmtId="166" formatCode="#,##0\ _€"/>
    <numFmt numFmtId="167" formatCode="#,##0.00000000"/>
    <numFmt numFmtId="168" formatCode="#,##0.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vertical="top" wrapText="1"/>
    </xf>
    <xf numFmtId="3" fontId="6" fillId="0" borderId="0" xfId="0" applyNumberFormat="1" applyFont="1" applyAlignment="1">
      <alignment wrapText="1"/>
    </xf>
    <xf numFmtId="3" fontId="3" fillId="0" borderId="0" xfId="0" applyNumberFormat="1" applyFont="1" applyAlignment="1"/>
    <xf numFmtId="0" fontId="5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2" fillId="0" borderId="0" xfId="0" applyNumberFormat="1" applyFont="1"/>
    <xf numFmtId="0" fontId="11" fillId="0" borderId="0" xfId="0" applyFont="1" applyBorder="1"/>
    <xf numFmtId="3" fontId="7" fillId="0" borderId="0" xfId="0" applyNumberFormat="1" applyFont="1" applyAlignment="1">
      <alignment horizontal="right" vertical="top" wrapText="1"/>
    </xf>
    <xf numFmtId="3" fontId="8" fillId="0" borderId="0" xfId="0" applyNumberFormat="1" applyFont="1" applyAlignment="1">
      <alignment horizontal="right" vertical="top" wrapText="1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3" fontId="12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3" fontId="10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0" fontId="10" fillId="0" borderId="0" xfId="0" applyFont="1" applyAlignment="1">
      <alignment horizontal="right" vertical="top" wrapText="1"/>
    </xf>
    <xf numFmtId="3" fontId="6" fillId="0" borderId="0" xfId="0" applyNumberFormat="1" applyFont="1" applyAlignment="1">
      <alignment vertical="top" wrapText="1"/>
    </xf>
    <xf numFmtId="3" fontId="3" fillId="0" borderId="0" xfId="0" applyNumberFormat="1" applyFont="1"/>
    <xf numFmtId="164" fontId="2" fillId="0" borderId="0" xfId="0" applyNumberFormat="1" applyFont="1"/>
    <xf numFmtId="3" fontId="6" fillId="0" borderId="0" xfId="0" applyNumberFormat="1" applyFont="1" applyAlignment="1">
      <alignment horizontal="right" wrapText="1"/>
    </xf>
    <xf numFmtId="9" fontId="2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164" fontId="7" fillId="0" borderId="0" xfId="0" applyNumberFormat="1" applyFont="1"/>
    <xf numFmtId="0" fontId="2" fillId="0" borderId="0" xfId="0" applyFont="1" applyBorder="1"/>
    <xf numFmtId="0" fontId="6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right" vertical="top" wrapText="1"/>
    </xf>
    <xf numFmtId="0" fontId="14" fillId="0" borderId="0" xfId="0" applyFont="1" applyAlignment="1">
      <alignment vertical="top" wrapText="1"/>
    </xf>
    <xf numFmtId="10" fontId="2" fillId="0" borderId="0" xfId="0" applyNumberFormat="1" applyFont="1"/>
    <xf numFmtId="0" fontId="2" fillId="0" borderId="0" xfId="0" applyNumberFormat="1" applyFont="1"/>
    <xf numFmtId="3" fontId="13" fillId="0" borderId="0" xfId="0" applyNumberFormat="1" applyFont="1" applyAlignment="1">
      <alignment horizontal="right" vertical="top" wrapText="1"/>
    </xf>
    <xf numFmtId="3" fontId="13" fillId="0" borderId="0" xfId="0" applyNumberFormat="1" applyFont="1" applyAlignment="1">
      <alignment vertical="top" wrapText="1"/>
    </xf>
    <xf numFmtId="0" fontId="13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6" fillId="0" borderId="0" xfId="0" applyNumberFormat="1" applyFont="1" applyBorder="1" applyAlignment="1">
      <alignment wrapText="1"/>
    </xf>
    <xf numFmtId="3" fontId="6" fillId="0" borderId="0" xfId="0" applyNumberFormat="1" applyFont="1"/>
    <xf numFmtId="0" fontId="13" fillId="0" borderId="0" xfId="0" applyFont="1" applyAlignment="1">
      <alignment horizontal="center" vertical="top" wrapText="1"/>
    </xf>
    <xf numFmtId="3" fontId="13" fillId="0" borderId="0" xfId="0" applyNumberFormat="1" applyFont="1" applyAlignment="1">
      <alignment horizontal="center" vertical="top" wrapText="1"/>
    </xf>
    <xf numFmtId="3" fontId="6" fillId="0" borderId="0" xfId="0" quotePrefix="1" applyNumberFormat="1" applyFont="1" applyAlignment="1">
      <alignment vertical="top" wrapText="1"/>
    </xf>
    <xf numFmtId="0" fontId="6" fillId="0" borderId="0" xfId="0" applyFont="1" applyAlignment="1">
      <alignment vertical="top"/>
    </xf>
    <xf numFmtId="3" fontId="6" fillId="0" borderId="0" xfId="0" applyNumberFormat="1" applyFont="1" applyAlignment="1">
      <alignment vertical="top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Border="1" applyAlignment="1">
      <alignment vertical="top" wrapText="1"/>
    </xf>
    <xf numFmtId="0" fontId="13" fillId="2" borderId="0" xfId="0" applyFont="1" applyFill="1"/>
    <xf numFmtId="0" fontId="13" fillId="2" borderId="0" xfId="0" applyFont="1" applyFill="1" applyAlignment="1">
      <alignment horizontal="right" vertical="top" wrapText="1"/>
    </xf>
    <xf numFmtId="0" fontId="6" fillId="2" borderId="0" xfId="0" applyFont="1" applyFill="1" applyAlignment="1">
      <alignment vertical="top" wrapText="1"/>
    </xf>
    <xf numFmtId="3" fontId="13" fillId="2" borderId="0" xfId="0" applyNumberFormat="1" applyFont="1" applyFill="1" applyAlignment="1">
      <alignment horizontal="right" vertical="top" wrapText="1"/>
    </xf>
    <xf numFmtId="0" fontId="14" fillId="2" borderId="0" xfId="0" applyFont="1" applyFill="1" applyAlignment="1">
      <alignment vertical="top" wrapText="1"/>
    </xf>
    <xf numFmtId="0" fontId="2" fillId="2" borderId="0" xfId="0" applyFont="1" applyFill="1"/>
    <xf numFmtId="3" fontId="13" fillId="2" borderId="0" xfId="0" applyNumberFormat="1" applyFont="1" applyFill="1" applyAlignment="1">
      <alignment horizontal="right" wrapText="1"/>
    </xf>
    <xf numFmtId="0" fontId="6" fillId="2" borderId="0" xfId="0" applyFont="1" applyFill="1"/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wrapText="1"/>
    </xf>
    <xf numFmtId="3" fontId="6" fillId="0" borderId="0" xfId="0" applyNumberFormat="1" applyFont="1" applyFill="1" applyAlignment="1">
      <alignment vertical="top" wrapText="1"/>
    </xf>
    <xf numFmtId="3" fontId="13" fillId="0" borderId="0" xfId="0" applyNumberFormat="1" applyFont="1"/>
    <xf numFmtId="0" fontId="13" fillId="2" borderId="0" xfId="0" applyFont="1" applyFill="1" applyBorder="1"/>
    <xf numFmtId="0" fontId="13" fillId="2" borderId="0" xfId="0" applyFont="1" applyFill="1" applyBorder="1" applyAlignment="1">
      <alignment horizontal="right" vertical="top" wrapText="1"/>
    </xf>
    <xf numFmtId="0" fontId="6" fillId="2" borderId="0" xfId="0" applyFont="1" applyFill="1" applyBorder="1" applyAlignment="1">
      <alignment vertical="top" wrapText="1"/>
    </xf>
    <xf numFmtId="3" fontId="13" fillId="2" borderId="0" xfId="0" applyNumberFormat="1" applyFont="1" applyFill="1" applyBorder="1" applyAlignment="1">
      <alignment horizontal="right" vertical="top" wrapText="1"/>
    </xf>
    <xf numFmtId="0" fontId="14" fillId="2" borderId="0" xfId="0" applyFont="1" applyFill="1" applyBorder="1" applyAlignment="1">
      <alignment vertical="top" wrapText="1"/>
    </xf>
    <xf numFmtId="0" fontId="13" fillId="0" borderId="0" xfId="0" applyFont="1" applyBorder="1"/>
    <xf numFmtId="0" fontId="6" fillId="0" borderId="0" xfId="0" applyFont="1" applyBorder="1"/>
    <xf numFmtId="0" fontId="13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 vertical="top" wrapText="1"/>
    </xf>
    <xf numFmtId="3" fontId="2" fillId="0" borderId="0" xfId="0" applyNumberFormat="1" applyFont="1" applyBorder="1"/>
    <xf numFmtId="1" fontId="2" fillId="0" borderId="0" xfId="0" applyNumberFormat="1" applyFont="1" applyBorder="1"/>
    <xf numFmtId="165" fontId="2" fillId="0" borderId="0" xfId="0" applyNumberFormat="1" applyFont="1" applyBorder="1"/>
    <xf numFmtId="0" fontId="5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right" vertical="top" wrapText="1"/>
    </xf>
    <xf numFmtId="3" fontId="7" fillId="0" borderId="0" xfId="0" applyNumberFormat="1" applyFont="1" applyBorder="1" applyAlignment="1">
      <alignment horizontal="right" wrapText="1"/>
    </xf>
    <xf numFmtId="3" fontId="5" fillId="0" borderId="0" xfId="0" applyNumberFormat="1" applyFont="1" applyBorder="1" applyAlignment="1">
      <alignment horizontal="right" wrapText="1"/>
    </xf>
    <xf numFmtId="3" fontId="6" fillId="0" borderId="0" xfId="0" applyNumberFormat="1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/>
    </xf>
    <xf numFmtId="3" fontId="6" fillId="0" borderId="0" xfId="0" applyNumberFormat="1" applyFont="1" applyFill="1" applyBorder="1" applyAlignment="1">
      <alignment wrapText="1"/>
    </xf>
    <xf numFmtId="3" fontId="13" fillId="2" borderId="0" xfId="0" applyNumberFormat="1" applyFont="1" applyFill="1" applyBorder="1" applyAlignment="1">
      <alignment horizontal="right" wrapText="1"/>
    </xf>
    <xf numFmtId="0" fontId="13" fillId="2" borderId="0" xfId="0" applyFont="1" applyFill="1" applyBorder="1" applyAlignment="1">
      <alignment vertical="top" wrapText="1"/>
    </xf>
    <xf numFmtId="0" fontId="3" fillId="0" borderId="0" xfId="0" applyFont="1" applyBorder="1"/>
    <xf numFmtId="3" fontId="7" fillId="0" borderId="0" xfId="0" applyNumberFormat="1" applyFont="1" applyBorder="1" applyAlignment="1">
      <alignment horizontal="right" vertical="top" wrapText="1"/>
    </xf>
    <xf numFmtId="3" fontId="8" fillId="0" borderId="0" xfId="0" applyNumberFormat="1" applyFont="1" applyBorder="1" applyAlignment="1">
      <alignment horizontal="right" vertical="top" wrapText="1"/>
    </xf>
    <xf numFmtId="3" fontId="5" fillId="0" borderId="0" xfId="0" applyNumberFormat="1" applyFont="1" applyBorder="1" applyAlignment="1">
      <alignment horizontal="right" vertical="top" wrapText="1"/>
    </xf>
    <xf numFmtId="0" fontId="10" fillId="0" borderId="0" xfId="0" applyFont="1" applyBorder="1" applyAlignment="1">
      <alignment horizontal="right" vertical="top" wrapText="1"/>
    </xf>
    <xf numFmtId="0" fontId="6" fillId="0" borderId="0" xfId="0" applyFont="1" applyAlignment="1">
      <alignment horizontal="right" wrapText="1"/>
    </xf>
    <xf numFmtId="0" fontId="13" fillId="2" borderId="0" xfId="0" applyFont="1" applyFill="1" applyAlignment="1">
      <alignment horizontal="right" wrapText="1"/>
    </xf>
    <xf numFmtId="0" fontId="6" fillId="2" borderId="0" xfId="0" applyFont="1" applyFill="1" applyAlignment="1">
      <alignment wrapText="1"/>
    </xf>
    <xf numFmtId="0" fontId="15" fillId="2" borderId="0" xfId="0" applyFont="1" applyFill="1" applyAlignment="1">
      <alignment wrapText="1"/>
    </xf>
    <xf numFmtId="0" fontId="7" fillId="0" borderId="0" xfId="0" applyFont="1" applyBorder="1" applyAlignment="1">
      <alignment horizontal="right" vertical="top" wrapText="1"/>
    </xf>
    <xf numFmtId="0" fontId="8" fillId="0" borderId="0" xfId="0" applyFont="1" applyBorder="1" applyAlignment="1">
      <alignment horizontal="right" vertical="top" wrapText="1"/>
    </xf>
    <xf numFmtId="3" fontId="10" fillId="0" borderId="0" xfId="0" applyNumberFormat="1" applyFont="1" applyBorder="1" applyAlignment="1">
      <alignment horizontal="right" vertical="top" wrapText="1"/>
    </xf>
    <xf numFmtId="0" fontId="6" fillId="3" borderId="0" xfId="0" applyFont="1" applyFill="1"/>
    <xf numFmtId="0" fontId="13" fillId="3" borderId="0" xfId="0" applyFont="1" applyFill="1"/>
    <xf numFmtId="0" fontId="2" fillId="3" borderId="0" xfId="0" applyFont="1" applyFill="1"/>
    <xf numFmtId="1" fontId="6" fillId="0" borderId="0" xfId="0" applyNumberFormat="1" applyFont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1" fontId="13" fillId="2" borderId="0" xfId="0" applyNumberFormat="1" applyFont="1" applyFill="1" applyBorder="1" applyAlignment="1">
      <alignment horizontal="right" vertical="top" wrapText="1"/>
    </xf>
    <xf numFmtId="0" fontId="13" fillId="2" borderId="0" xfId="0" applyFont="1" applyFill="1" applyAlignment="1">
      <alignment horizontal="right" vertical="center" wrapText="1"/>
    </xf>
    <xf numFmtId="0" fontId="13" fillId="2" borderId="0" xfId="0" applyFont="1" applyFill="1" applyAlignment="1">
      <alignment vertical="top" wrapText="1"/>
    </xf>
    <xf numFmtId="3" fontId="5" fillId="0" borderId="0" xfId="0" applyNumberFormat="1" applyFont="1" applyFill="1" applyAlignment="1">
      <alignment horizontal="right" vertical="top" wrapText="1"/>
    </xf>
    <xf numFmtId="3" fontId="13" fillId="0" borderId="0" xfId="0" applyNumberFormat="1" applyFont="1" applyFill="1" applyAlignment="1">
      <alignment horizontal="right" vertical="top" wrapText="1"/>
    </xf>
    <xf numFmtId="0" fontId="2" fillId="0" borderId="0" xfId="0" applyFont="1" applyFill="1"/>
    <xf numFmtId="167" fontId="7" fillId="0" borderId="0" xfId="0" applyNumberFormat="1" applyFont="1" applyAlignment="1">
      <alignment horizontal="right" vertical="top" wrapText="1"/>
    </xf>
    <xf numFmtId="168" fontId="7" fillId="0" borderId="0" xfId="0" applyNumberFormat="1" applyFont="1" applyAlignment="1">
      <alignment horizontal="right" vertical="top" wrapText="1"/>
    </xf>
    <xf numFmtId="0" fontId="14" fillId="0" borderId="0" xfId="0" applyFont="1" applyFill="1" applyAlignment="1">
      <alignment vertical="top" wrapText="1"/>
    </xf>
    <xf numFmtId="0" fontId="16" fillId="2" borderId="0" xfId="0" applyFont="1" applyFill="1"/>
    <xf numFmtId="0" fontId="16" fillId="0" borderId="0" xfId="0" applyFont="1"/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vertical="top" wrapText="1"/>
    </xf>
    <xf numFmtId="0" fontId="17" fillId="2" borderId="0" xfId="0" applyFont="1" applyFill="1" applyAlignment="1">
      <alignment vertical="top" wrapText="1"/>
    </xf>
    <xf numFmtId="3" fontId="16" fillId="2" borderId="0" xfId="0" applyNumberFormat="1" applyFont="1" applyFill="1" applyAlignment="1">
      <alignment horizontal="right" vertical="top" wrapText="1"/>
    </xf>
    <xf numFmtId="0" fontId="16" fillId="2" borderId="0" xfId="0" applyFont="1" applyFill="1" applyAlignment="1">
      <alignment vertical="top" wrapText="1"/>
    </xf>
    <xf numFmtId="10" fontId="7" fillId="0" borderId="0" xfId="0" applyNumberFormat="1" applyFont="1" applyAlignment="1">
      <alignment horizontal="right" vertical="top" wrapText="1"/>
    </xf>
    <xf numFmtId="0" fontId="13" fillId="0" borderId="0" xfId="0" applyFont="1" applyFill="1" applyAlignment="1">
      <alignment horizontal="right" vertical="top" wrapText="1"/>
    </xf>
    <xf numFmtId="0" fontId="13" fillId="0" borderId="0" xfId="0" applyFont="1" applyFill="1"/>
    <xf numFmtId="0" fontId="6" fillId="0" borderId="0" xfId="0" applyFont="1" applyFill="1"/>
    <xf numFmtId="3" fontId="6" fillId="0" borderId="0" xfId="0" applyNumberFormat="1" applyFont="1" applyFill="1" applyAlignment="1">
      <alignment horizontal="right" vertical="top" wrapText="1"/>
    </xf>
    <xf numFmtId="3" fontId="6" fillId="0" borderId="0" xfId="0" applyNumberFormat="1" applyFont="1" applyBorder="1"/>
    <xf numFmtId="3" fontId="13" fillId="2" borderId="0" xfId="0" applyNumberFormat="1" applyFont="1" applyFill="1" applyBorder="1"/>
    <xf numFmtId="4" fontId="2" fillId="0" borderId="0" xfId="0" applyNumberFormat="1" applyFont="1" applyFill="1"/>
    <xf numFmtId="166" fontId="2" fillId="0" borderId="0" xfId="0" applyNumberFormat="1" applyFont="1"/>
    <xf numFmtId="166" fontId="6" fillId="0" borderId="0" xfId="0" applyNumberFormat="1" applyFont="1" applyBorder="1" applyAlignment="1">
      <alignment horizontal="right" vertical="top" wrapText="1"/>
    </xf>
    <xf numFmtId="166" fontId="13" fillId="2" borderId="0" xfId="0" applyNumberFormat="1" applyFont="1" applyFill="1" applyBorder="1" applyAlignment="1">
      <alignment horizontal="right" vertical="top" wrapText="1"/>
    </xf>
    <xf numFmtId="3" fontId="13" fillId="2" borderId="2" xfId="0" applyNumberFormat="1" applyFont="1" applyFill="1" applyBorder="1" applyAlignment="1">
      <alignment horizontal="right" vertical="top" wrapText="1"/>
    </xf>
    <xf numFmtId="0" fontId="13" fillId="0" borderId="1" xfId="0" applyFont="1" applyBorder="1"/>
    <xf numFmtId="0" fontId="13" fillId="2" borderId="0" xfId="0" applyNumberFormat="1" applyFont="1" applyFill="1" applyBorder="1" applyAlignment="1">
      <alignment horizontal="right" vertical="top" wrapText="1"/>
    </xf>
    <xf numFmtId="0" fontId="19" fillId="0" borderId="0" xfId="0" applyFont="1"/>
    <xf numFmtId="0" fontId="20" fillId="0" borderId="0" xfId="0" applyFont="1"/>
    <xf numFmtId="0" fontId="13" fillId="2" borderId="0" xfId="0" applyNumberFormat="1" applyFont="1" applyFill="1" applyAlignment="1">
      <alignment horizontal="right" vertical="top" wrapText="1"/>
    </xf>
    <xf numFmtId="0" fontId="2" fillId="0" borderId="0" xfId="0" applyFont="1" applyAlignment="1">
      <alignment vertical="top"/>
    </xf>
    <xf numFmtId="3" fontId="13" fillId="0" borderId="0" xfId="0" applyNumberFormat="1" applyFont="1" applyAlignment="1">
      <alignment vertical="top"/>
    </xf>
    <xf numFmtId="0" fontId="2" fillId="0" borderId="0" xfId="0" applyFont="1" applyAlignment="1">
      <alignment vertical="center"/>
    </xf>
    <xf numFmtId="0" fontId="21" fillId="0" borderId="0" xfId="0" applyFont="1" applyBorder="1"/>
    <xf numFmtId="3" fontId="21" fillId="0" borderId="0" xfId="0" applyNumberFormat="1" applyFont="1" applyBorder="1"/>
    <xf numFmtId="0" fontId="22" fillId="0" borderId="0" xfId="0" applyFont="1"/>
    <xf numFmtId="0" fontId="6" fillId="2" borderId="0" xfId="0" applyFont="1" applyFill="1" applyBorder="1"/>
    <xf numFmtId="0" fontId="18" fillId="0" borderId="0" xfId="0" applyFont="1" applyBorder="1"/>
    <xf numFmtId="3" fontId="13" fillId="0" borderId="0" xfId="0" applyNumberFormat="1" applyFont="1" applyBorder="1" applyAlignment="1">
      <alignment vertical="top" wrapText="1"/>
    </xf>
    <xf numFmtId="3" fontId="13" fillId="0" borderId="0" xfId="0" applyNumberFormat="1" applyFont="1" applyBorder="1"/>
    <xf numFmtId="0" fontId="13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2" borderId="0" xfId="0" applyFont="1" applyFill="1" applyBorder="1" applyAlignment="1">
      <alignment wrapText="1"/>
    </xf>
    <xf numFmtId="3" fontId="6" fillId="0" borderId="0" xfId="0" applyNumberFormat="1" applyFont="1" applyFill="1" applyBorder="1" applyAlignment="1">
      <alignment vertical="top" wrapText="1"/>
    </xf>
    <xf numFmtId="3" fontId="13" fillId="0" borderId="0" xfId="0" applyNumberFormat="1" applyFont="1" applyBorder="1" applyAlignment="1">
      <alignment wrapText="1"/>
    </xf>
    <xf numFmtId="3" fontId="1" fillId="0" borderId="0" xfId="0" applyNumberFormat="1" applyFont="1"/>
    <xf numFmtId="3" fontId="17" fillId="0" borderId="0" xfId="0" applyNumberFormat="1" applyFont="1"/>
    <xf numFmtId="3" fontId="16" fillId="2" borderId="0" xfId="0" applyNumberFormat="1" applyFont="1" applyFill="1"/>
    <xf numFmtId="0" fontId="16" fillId="2" borderId="0" xfId="0" applyNumberFormat="1" applyFont="1" applyFill="1" applyAlignment="1">
      <alignment horizontal="right" vertical="top" wrapText="1"/>
    </xf>
    <xf numFmtId="3" fontId="16" fillId="0" borderId="0" xfId="0" applyNumberFormat="1" applyFont="1" applyAlignment="1">
      <alignment vertical="top" wrapText="1"/>
    </xf>
    <xf numFmtId="3" fontId="16" fillId="0" borderId="0" xfId="0" applyNumberFormat="1" applyFont="1"/>
    <xf numFmtId="3" fontId="16" fillId="2" borderId="0" xfId="0" applyNumberFormat="1" applyFont="1" applyFill="1" applyAlignment="1">
      <alignment vertical="top" wrapText="1"/>
    </xf>
    <xf numFmtId="3" fontId="16" fillId="2" borderId="0" xfId="0" applyNumberFormat="1" applyFont="1" applyFill="1" applyAlignment="1">
      <alignment wrapText="1"/>
    </xf>
    <xf numFmtId="3" fontId="22" fillId="0" borderId="0" xfId="0" applyNumberFormat="1" applyFont="1" applyAlignment="1">
      <alignment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3" fontId="13" fillId="2" borderId="0" xfId="0" applyNumberFormat="1" applyFont="1" applyFill="1" applyAlignment="1">
      <alignment wrapText="1"/>
    </xf>
    <xf numFmtId="3" fontId="13" fillId="0" borderId="0" xfId="0" applyNumberFormat="1" applyFont="1" applyAlignment="1"/>
    <xf numFmtId="3" fontId="13" fillId="2" borderId="0" xfId="0" applyNumberFormat="1" applyFont="1" applyFill="1" applyAlignment="1">
      <alignment vertical="top" wrapText="1"/>
    </xf>
    <xf numFmtId="0" fontId="16" fillId="0" borderId="0" xfId="0" applyFont="1" applyAlignment="1">
      <alignment horizontal="center"/>
    </xf>
    <xf numFmtId="0" fontId="13" fillId="2" borderId="0" xfId="0" applyFont="1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3905930470347649"/>
          <c:y val="4.11111111111111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83623979519082"/>
          <c:y val="0.26222327209098861"/>
          <c:w val="0.76981788319404865"/>
          <c:h val="0.58777952755905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5.3025936599429384E-3"/>
                  <c:y val="8.61369049219499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6D-4E61-A233-7E9BA31070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Konzern'!$B$2:$E$2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Konzern'!$B$3:$E$3</c:f>
              <c:numCache>
                <c:formatCode>#,##0</c:formatCode>
                <c:ptCount val="4"/>
                <c:pt idx="0">
                  <c:v>8983</c:v>
                </c:pt>
                <c:pt idx="1">
                  <c:v>584</c:v>
                </c:pt>
                <c:pt idx="2">
                  <c:v>1376</c:v>
                </c:pt>
                <c:pt idx="3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D-4E61-A233-7E9BA3107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534912"/>
        <c:axId val="100546048"/>
      </c:barChart>
      <c:catAx>
        <c:axId val="1005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0054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546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00534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2153671775224123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26203703704736"/>
          <c:y val="0.23670208333333906"/>
          <c:w val="0.74592738407699033"/>
          <c:h val="0.6410288713911277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596168582375479"/>
                  <c:y val="-3.9897660818714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BA4-458F-9F83-0004AA865BD7}"/>
                </c:ext>
              </c:extLst>
            </c:dLbl>
            <c:dLbl>
              <c:idx val="1"/>
              <c:layout>
                <c:manualLayout>
                  <c:x val="-9.9586845466161103E-2"/>
                  <c:y val="-3.9700292397660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BA4-458F-9F83-0004AA865BD7}"/>
                </c:ext>
              </c:extLst>
            </c:dLbl>
            <c:dLbl>
              <c:idx val="2"/>
              <c:layout>
                <c:manualLayout>
                  <c:x val="-8.0366538952745856E-2"/>
                  <c:y val="-3.0811403508772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BA4-458F-9F83-0004AA865BD7}"/>
                </c:ext>
              </c:extLst>
            </c:dLbl>
            <c:dLbl>
              <c:idx val="3"/>
              <c:layout>
                <c:manualLayout>
                  <c:x val="0"/>
                  <c:y val="-3.55555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BA4-458F-9F83-0004AA865BD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'BEG Ents.'!$B$5:$E$5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'BEG Ents.'!$B$6:$E$6</c:f>
              <c:numCache>
                <c:formatCode>0.0%</c:formatCode>
                <c:ptCount val="4"/>
                <c:pt idx="0">
                  <c:v>0.94127732533219033</c:v>
                </c:pt>
                <c:pt idx="1">
                  <c:v>0.94739093242087258</c:v>
                </c:pt>
                <c:pt idx="2">
                  <c:v>0.94327731092436973</c:v>
                </c:pt>
                <c:pt idx="3">
                  <c:v>0.93643883326077493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4-458F-9F83-0004AA865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002816"/>
        <c:axId val="74005504"/>
      </c:lineChart>
      <c:catAx>
        <c:axId val="740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400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05504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400281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1622807017543862"/>
          <c:y val="3.2407407407409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250319284801"/>
          <c:y val="0.25358260233919488"/>
          <c:w val="0.80906641123882561"/>
          <c:h val="0.60405921052635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'APH Service'!$B$2:$E$2</c:f>
              <c:numCache>
                <c:formatCode>General</c:formatCode>
                <c:ptCount val="4"/>
                <c:pt idx="0" formatCode="#,##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'APH Service'!$B$3:$E$3</c:f>
              <c:numCache>
                <c:formatCode>#,##0</c:formatCode>
                <c:ptCount val="4"/>
                <c:pt idx="0">
                  <c:v>234</c:v>
                </c:pt>
                <c:pt idx="1">
                  <c:v>194</c:v>
                </c:pt>
                <c:pt idx="2">
                  <c:v>340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6-4697-B551-FBD526574C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379840"/>
        <c:axId val="181382528"/>
      </c:barChart>
      <c:catAx>
        <c:axId val="1813798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38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82528"/>
        <c:scaling>
          <c:orientation val="minMax"/>
          <c:max val="35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37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de-DE" sz="1200" b="1"/>
              <a:t>Entwicklung der Eigenkapitalquote </a:t>
            </a:r>
          </a:p>
          <a:p>
            <a:pPr>
              <a:defRPr sz="1200" b="1"/>
            </a:pPr>
            <a:r>
              <a:rPr lang="de-DE" sz="1200" b="1"/>
              <a:t>(in %)</a:t>
            </a:r>
          </a:p>
        </c:rich>
      </c:tx>
      <c:layout>
        <c:manualLayout>
          <c:xMode val="edge"/>
          <c:yMode val="edge"/>
          <c:x val="0.1290648148148148"/>
          <c:y val="2.8935307017546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73144141965194"/>
          <c:y val="0.25463035870514672"/>
          <c:w val="0.79048345919217433"/>
          <c:h val="0.5983818168562262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514991086865012"/>
                  <c:y val="-4.4853820355789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760-4993-8220-6D7513538A50}"/>
                </c:ext>
              </c:extLst>
            </c:dLbl>
            <c:dLbl>
              <c:idx val="1"/>
              <c:layout>
                <c:manualLayout>
                  <c:x val="-0.10922612489139354"/>
                  <c:y val="-6.1396908719744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760-4993-8220-6D7513538A50}"/>
                </c:ext>
              </c:extLst>
            </c:dLbl>
            <c:dLbl>
              <c:idx val="2"/>
              <c:layout>
                <c:manualLayout>
                  <c:x val="-0.10420180412602009"/>
                  <c:y val="-5.67691017789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760-4993-8220-6D7513538A50}"/>
                </c:ext>
              </c:extLst>
            </c:dLbl>
            <c:dLbl>
              <c:idx val="3"/>
              <c:layout>
                <c:manualLayout>
                  <c:x val="-7.4475734355049422E-2"/>
                  <c:y val="-5.0925804093567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60-4993-8220-6D7513538A5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KiJu!$B$5:$E$5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KiJu!$B$6:$E$6</c:f>
              <c:numCache>
                <c:formatCode>0.0%</c:formatCode>
                <c:ptCount val="4"/>
                <c:pt idx="0">
                  <c:v>0.52346517119244396</c:v>
                </c:pt>
                <c:pt idx="1">
                  <c:v>0.51640138408304503</c:v>
                </c:pt>
                <c:pt idx="2">
                  <c:v>0.52616848586621889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60-4993-8220-6D7513538A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495680"/>
        <c:axId val="179497216"/>
      </c:lineChart>
      <c:catAx>
        <c:axId val="1794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de-DE"/>
          </a:p>
        </c:txPr>
        <c:crossAx val="17949721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79497216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/>
            </a:pPr>
            <a:endParaRPr lang="de-DE"/>
          </a:p>
        </c:txPr>
        <c:crossAx val="17949568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9509897828863337"/>
          <c:y val="3.35646929824561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4503148712173"/>
          <c:y val="0.22222295129775438"/>
          <c:w val="0.78017503784723152"/>
          <c:h val="0.635418853893263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KiJu!$B$2:$E$2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KiJu!$B$3:$E$3</c:f>
              <c:numCache>
                <c:formatCode>#,##0</c:formatCode>
                <c:ptCount val="4"/>
                <c:pt idx="0">
                  <c:v>11</c:v>
                </c:pt>
                <c:pt idx="1">
                  <c:v>184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BFB-98E0-BCC495C91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536640"/>
        <c:axId val="179539328"/>
      </c:barChart>
      <c:catAx>
        <c:axId val="1795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953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39328"/>
        <c:scaling>
          <c:orientation val="minMax"/>
          <c:max val="2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9536640"/>
        <c:crosses val="autoZero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%) </a:t>
            </a:r>
          </a:p>
        </c:rich>
      </c:tx>
      <c:layout>
        <c:manualLayout>
          <c:xMode val="edge"/>
          <c:yMode val="edge"/>
          <c:x val="0.13271255507475968"/>
          <c:y val="2.46516613076098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131107485438195"/>
          <c:y val="0.25616291532690288"/>
          <c:w val="0.72176775200400434"/>
          <c:h val="0.588424437299035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5.3887903651683194E-2"/>
                  <c:y val="-5.26838325273648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7B-416E-BF70-3CF9BFA3EDCE}"/>
                </c:ext>
              </c:extLst>
            </c:dLbl>
            <c:dLbl>
              <c:idx val="1"/>
              <c:layout>
                <c:manualLayout>
                  <c:x val="-6.483207617065892E-2"/>
                  <c:y val="-4.463866453992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7B-416E-BF70-3CF9BFA3EDCE}"/>
                </c:ext>
              </c:extLst>
            </c:dLbl>
            <c:dLbl>
              <c:idx val="2"/>
              <c:layout>
                <c:manualLayout>
                  <c:x val="-7.0598157212330453E-2"/>
                  <c:y val="-3.4948814677908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+mn-lt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7B-416E-BF70-3CF9BFA3EDCE}"/>
                </c:ext>
              </c:extLst>
            </c:dLbl>
            <c:dLbl>
              <c:idx val="3"/>
              <c:layout>
                <c:manualLayout>
                  <c:x val="-8.0080080080080093E-2"/>
                  <c:y val="-3.8585209003215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7B-416E-BF70-3CF9BFA3EDC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4792626728113185"/>
                  <c:y val="0.17684887459807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+mn-lt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7B-416E-BF70-3CF9BFA3EDC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VHS!$B$5:$E$5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VHS!$B$6:$E$6</c:f>
              <c:numCache>
                <c:formatCode>0.0%</c:formatCode>
                <c:ptCount val="4"/>
                <c:pt idx="0">
                  <c:v>0.10345661107082427</c:v>
                </c:pt>
                <c:pt idx="1">
                  <c:v>9.6244659320890491E-2</c:v>
                </c:pt>
                <c:pt idx="2">
                  <c:v>9.1102596849723286E-2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7B-416E-BF70-3CF9BFA3ED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683328"/>
        <c:axId val="181684864"/>
      </c:lineChart>
      <c:catAx>
        <c:axId val="1816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68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84864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81683328"/>
        <c:crosses val="autoZero"/>
        <c:crossBetween val="between"/>
        <c:majorUnit val="0.2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6408205619412541"/>
          <c:y val="2.521929824561425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87607799025119"/>
          <c:y val="0.21710560850946894"/>
          <c:w val="0.80901512310961132"/>
          <c:h val="0.634869457107350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9.7095536317933547E-3"/>
                  <c:y val="-5.4842741852586217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0D-4879-9CC8-7AAECDC24302}"/>
                </c:ext>
              </c:extLst>
            </c:dLbl>
            <c:dLbl>
              <c:idx val="1"/>
              <c:layout>
                <c:manualLayout>
                  <c:x val="-7.4159133501788734E-3"/>
                  <c:y val="2.741051549207759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0D-4879-9CC8-7AAECDC2430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0D-4879-9CC8-7AAECDC2430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0D-4879-9CC8-7AAECDC24302}"/>
                </c:ext>
              </c:extLst>
            </c:dLbl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VHS!$B$2:$E$2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VHS!$B$3:$E$3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D-4879-9CC8-7AAECDC24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716864"/>
        <c:axId val="183067392"/>
      </c:barChart>
      <c:catAx>
        <c:axId val="1817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3067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3067392"/>
        <c:scaling>
          <c:orientation val="minMax"/>
          <c:max val="200"/>
          <c:min val="-2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716864"/>
        <c:crosses val="autoZero"/>
        <c:crossBetween val="between"/>
        <c:majorUnit val="50"/>
        <c:minorUnit val="1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200"/>
              <a:t>Entwicklung der Jahresergebnisse</a:t>
            </a:r>
            <a:r>
              <a:rPr lang="de-DE" sz="1200" baseline="0"/>
              <a:t> </a:t>
            </a:r>
          </a:p>
          <a:p>
            <a:pPr>
              <a:defRPr/>
            </a:pPr>
            <a:r>
              <a:rPr lang="de-DE" sz="1200" baseline="0"/>
              <a:t>(in T€)</a:t>
            </a:r>
            <a:endParaRPr lang="de-DE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48840769902983"/>
          <c:y val="0.18565981335666376"/>
          <c:w val="0.85795603674541165"/>
          <c:h val="0.698360309128025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'Jobcenter Wuppertal AöR'!$B$39:$E$39</c:f>
              <c:numCache>
                <c:formatCode>0</c:formatCode>
                <c:ptCount val="4"/>
                <c:pt idx="0">
                  <c:v>2015</c:v>
                </c:pt>
                <c:pt idx="1">
                  <c:v>2016</c:v>
                </c:pt>
                <c:pt idx="2" formatCode="General">
                  <c:v>2017</c:v>
                </c:pt>
                <c:pt idx="3" formatCode="General">
                  <c:v>2018</c:v>
                </c:pt>
              </c:numCache>
            </c:numRef>
          </c:cat>
          <c:val>
            <c:numRef>
              <c:f>'Jobcenter Wuppertal AöR'!$B$40:$E$40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5-4D11-879B-E0978B50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57824"/>
        <c:axId val="181759360"/>
      </c:barChart>
      <c:catAx>
        <c:axId val="1817578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1759360"/>
        <c:crossesAt val="0"/>
        <c:auto val="1"/>
        <c:lblAlgn val="ctr"/>
        <c:lblOffset val="100"/>
        <c:noMultiLvlLbl val="0"/>
      </c:catAx>
      <c:valAx>
        <c:axId val="181759360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81757824"/>
        <c:crosses val="autoZero"/>
        <c:crossBetween val="between"/>
        <c:majorUnit val="1"/>
        <c:minorUnit val="4.0000000000000022E-2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Entwicklung der Eigenkapitalquote </a:t>
            </a:r>
            <a:r>
              <a:rPr lang="de-DE" sz="1200" baseline="0"/>
              <a:t> </a:t>
            </a:r>
          </a:p>
          <a:p>
            <a:pPr>
              <a:defRPr sz="1200"/>
            </a:pPr>
            <a:r>
              <a:rPr lang="de-DE" sz="1200" baseline="0"/>
              <a:t>(in %)</a:t>
            </a:r>
            <a:endParaRPr lang="de-DE" sz="1200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'Jobcenter Wuppertal AöR'!$B$39:$E$39</c:f>
              <c:numCache>
                <c:formatCode>0</c:formatCode>
                <c:ptCount val="4"/>
                <c:pt idx="0">
                  <c:v>2015</c:v>
                </c:pt>
                <c:pt idx="1">
                  <c:v>2016</c:v>
                </c:pt>
                <c:pt idx="2" formatCode="General">
                  <c:v>2017</c:v>
                </c:pt>
                <c:pt idx="3" formatCode="General">
                  <c:v>2018</c:v>
                </c:pt>
              </c:numCache>
            </c:numRef>
          </c:cat>
          <c:val>
            <c:numRef>
              <c:f>'Jobcenter Wuppertal AöR'!$B$43:$E$43</c:f>
              <c:numCache>
                <c:formatCode>0.00%</c:formatCode>
                <c:ptCount val="4"/>
                <c:pt idx="0">
                  <c:v>3.9538193895302865E-4</c:v>
                </c:pt>
                <c:pt idx="1">
                  <c:v>3.9909007462984397E-4</c:v>
                </c:pt>
                <c:pt idx="2">
                  <c:v>3.813446211341189E-4</c:v>
                </c:pt>
                <c:pt idx="3">
                  <c:v>3.835826620636747E-4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0-4427-9610-6BB02678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83936"/>
        <c:axId val="181789824"/>
      </c:barChart>
      <c:catAx>
        <c:axId val="1817839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1789824"/>
        <c:crosses val="autoZero"/>
        <c:auto val="1"/>
        <c:lblAlgn val="ctr"/>
        <c:lblOffset val="100"/>
        <c:noMultiLvlLbl val="0"/>
      </c:catAx>
      <c:valAx>
        <c:axId val="181789824"/>
        <c:scaling>
          <c:orientation val="minMax"/>
          <c:max val="0.25"/>
          <c:min val="0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1783936"/>
        <c:crosses val="autoZero"/>
        <c:crossBetween val="between"/>
        <c:majorUnit val="0.0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6248818646233451"/>
          <c:y val="2.8097222222222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83572223313037"/>
          <c:y val="0.24869956140350877"/>
          <c:w val="0.76080949582794688"/>
          <c:h val="0.590040325419092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-4.1560311538713264E-3"/>
                  <c:y val="-4.64173976608187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A4-4555-8EA0-398809ACDF1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'CVUA RRW'!$B$2:$E$2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'CVUA RRW'!$B$3:$E$3</c:f>
              <c:numCache>
                <c:formatCode>#,##0</c:formatCode>
                <c:ptCount val="4"/>
                <c:pt idx="0">
                  <c:v>-2500</c:v>
                </c:pt>
                <c:pt idx="1">
                  <c:v>-1678</c:v>
                </c:pt>
                <c:pt idx="2">
                  <c:v>-887</c:v>
                </c:pt>
                <c:pt idx="3">
                  <c:v>-592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4-4555-8EA0-398809ACD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809920"/>
        <c:axId val="181812608"/>
      </c:barChart>
      <c:catAx>
        <c:axId val="1818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8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12608"/>
        <c:scaling>
          <c:orientation val="minMax"/>
          <c:max val="3500"/>
          <c:min val="-3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80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</a:t>
            </a:r>
            <a:r>
              <a:rPr lang="de-DE" baseline="0">
                <a:latin typeface="+mn-lt"/>
              </a:rPr>
              <a:t> %)</a:t>
            </a:r>
            <a:endParaRPr lang="de-DE">
              <a:latin typeface="+mn-lt"/>
            </a:endParaRPr>
          </a:p>
        </c:rich>
      </c:tx>
      <c:layout>
        <c:manualLayout>
          <c:xMode val="edge"/>
          <c:yMode val="edge"/>
          <c:x val="0.14438395152025721"/>
          <c:y val="4.0868454661558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19161753229494"/>
          <c:y val="0.26365261813537677"/>
          <c:w val="0.68224332068931182"/>
          <c:h val="0.5982288995485067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6882503192848024E-2"/>
                  <c:y val="-6.1303362573099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17-4149-867D-B7611709D8BB}"/>
                </c:ext>
              </c:extLst>
            </c:dLbl>
            <c:dLbl>
              <c:idx val="1"/>
              <c:layout>
                <c:manualLayout>
                  <c:x val="-7.7778071175353333E-2"/>
                  <c:y val="-4.5977011494252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17-4149-867D-B7611709D8BB}"/>
                </c:ext>
              </c:extLst>
            </c:dLbl>
            <c:dLbl>
              <c:idx val="2"/>
              <c:layout>
                <c:manualLayout>
                  <c:x val="-3.6363624794838179E-2"/>
                  <c:y val="-5.1085568326947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17-4149-867D-B7611709D8B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'CVUA RRW'!$B$5:$E$5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'CVUA RRW'!$B$6:$E$6</c:f>
              <c:numCache>
                <c:formatCode>0.0%</c:formatCode>
                <c:ptCount val="4"/>
                <c:pt idx="0">
                  <c:v>0.28306647841629368</c:v>
                </c:pt>
                <c:pt idx="1">
                  <c:v>0.23140816875317458</c:v>
                </c:pt>
                <c:pt idx="2">
                  <c:v>0.19363582460400372</c:v>
                </c:pt>
                <c:pt idx="3">
                  <c:v>0.16789475094450845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7-4149-867D-B7611709D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860608"/>
        <c:axId val="181945472"/>
      </c:lineChart>
      <c:catAx>
        <c:axId val="1818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94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45472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86060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</a:t>
            </a:r>
            <a:r>
              <a:rPr lang="de-DE" sz="1200" baseline="0">
                <a:latin typeface="+mn-lt"/>
              </a:rPr>
              <a:t> T€)</a:t>
            </a:r>
            <a:endParaRPr lang="de-DE" sz="1200">
              <a:latin typeface="+mn-lt"/>
            </a:endParaRPr>
          </a:p>
        </c:rich>
      </c:tx>
      <c:layout>
        <c:manualLayout>
          <c:xMode val="edge"/>
          <c:yMode val="edge"/>
          <c:x val="0.18233876117496844"/>
          <c:y val="2.7383040935672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4948914433647"/>
          <c:y val="0.24091447368421912"/>
          <c:w val="0.75058812260536401"/>
          <c:h val="0.62242178362573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HELIOS!$B$2:$E$2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HELIOS!$B$3:$E$3</c:f>
              <c:numCache>
                <c:formatCode>#,##0</c:formatCode>
                <c:ptCount val="4"/>
                <c:pt idx="0">
                  <c:v>32722</c:v>
                </c:pt>
                <c:pt idx="1">
                  <c:v>35043</c:v>
                </c:pt>
                <c:pt idx="2">
                  <c:v>21852</c:v>
                </c:pt>
                <c:pt idx="3">
                  <c:v>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2-4C8D-BCDE-E025C86CD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137024"/>
        <c:axId val="183139712"/>
      </c:barChart>
      <c:catAx>
        <c:axId val="18313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313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139712"/>
        <c:scaling>
          <c:orientation val="minMax"/>
          <c:max val="4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3137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7564870259481041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582787181542"/>
          <c:y val="0.19777847769028872"/>
          <c:w val="0.81997296745092496"/>
          <c:h val="0.665557655293128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GKR!$B$2:$E$2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GKR!$B$3:$E$3</c:f>
              <c:numCache>
                <c:formatCode>#,##0</c:formatCode>
                <c:ptCount val="4"/>
                <c:pt idx="0">
                  <c:v>198</c:v>
                </c:pt>
                <c:pt idx="1">
                  <c:v>177</c:v>
                </c:pt>
                <c:pt idx="2">
                  <c:v>216</c:v>
                </c:pt>
                <c:pt idx="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F-4C85-9541-6AE24A156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607808"/>
        <c:axId val="73631232"/>
      </c:barChart>
      <c:catAx>
        <c:axId val="736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6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6312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60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9549712643678174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0389527458488"/>
          <c:y val="0.25750804093567281"/>
          <c:w val="0.79837260536398469"/>
          <c:h val="0.58360599415204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927874015748655"/>
                  <c:y val="-3.3566404199474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20-468E-9FD4-3B76D0AFA3B7}"/>
                </c:ext>
              </c:extLst>
            </c:dLbl>
            <c:dLbl>
              <c:idx val="1"/>
              <c:layout>
                <c:manualLayout>
                  <c:x val="-0.12372318460193275"/>
                  <c:y val="-4.692178477690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20-468E-9FD4-3B76D0AFA3B7}"/>
                </c:ext>
              </c:extLst>
            </c:dLbl>
            <c:dLbl>
              <c:idx val="2"/>
              <c:layout>
                <c:manualLayout>
                  <c:x val="-0.10040419947506561"/>
                  <c:y val="-4.2677515310586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20-468E-9FD4-3B76D0AFA3B7}"/>
                </c:ext>
              </c:extLst>
            </c:dLbl>
            <c:dLbl>
              <c:idx val="3"/>
              <c:layout>
                <c:manualLayout>
                  <c:x val="-2.7042169728784492E-2"/>
                  <c:y val="-4.7632895888014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20-468E-9FD4-3B76D0AFA3B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HELIOS!$B$5:$E$5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HELIOS!$B$6:$E$6</c:f>
              <c:numCache>
                <c:formatCode>0.0%</c:formatCode>
                <c:ptCount val="4"/>
                <c:pt idx="0">
                  <c:v>0.48541580571066112</c:v>
                </c:pt>
                <c:pt idx="1">
                  <c:v>0.48159425356768265</c:v>
                </c:pt>
                <c:pt idx="2">
                  <c:v>0.49321489370705396</c:v>
                </c:pt>
                <c:pt idx="3">
                  <c:v>0.50693877551020405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0-468E-9FD4-3B76D0AFA3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154944"/>
        <c:axId val="184509568"/>
      </c:lineChart>
      <c:catAx>
        <c:axId val="18315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5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0956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315494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</a:t>
            </a:r>
            <a:r>
              <a:rPr lang="de-DE" sz="1200" baseline="0">
                <a:latin typeface="+mn-lt"/>
              </a:rPr>
              <a:t> T€)</a:t>
            </a:r>
            <a:endParaRPr lang="de-DE" sz="1200">
              <a:latin typeface="+mn-lt"/>
            </a:endParaRPr>
          </a:p>
        </c:rich>
      </c:tx>
      <c:layout>
        <c:manualLayout>
          <c:xMode val="edge"/>
          <c:yMode val="edge"/>
          <c:x val="0.18233876117496844"/>
          <c:y val="2.7383040935672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4948914433647"/>
          <c:y val="0.24091447368421912"/>
          <c:w val="0.75058812260536401"/>
          <c:h val="0.62242178362573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-1.6219667943805874E-2"/>
                  <c:y val="-6.62463450292397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93-4889-B2AC-AB8C955E26F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MVZ!$B$2:$E$2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MVZ!$B$3:$E$3</c:f>
              <c:numCache>
                <c:formatCode>#,##0</c:formatCode>
                <c:ptCount val="4"/>
                <c:pt idx="0">
                  <c:v>26</c:v>
                </c:pt>
                <c:pt idx="1">
                  <c:v>37</c:v>
                </c:pt>
                <c:pt idx="2">
                  <c:v>-115</c:v>
                </c:pt>
                <c:pt idx="3">
                  <c:v>-261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3-4889-B2AC-AB8C955E26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545664"/>
        <c:axId val="184548352"/>
      </c:barChart>
      <c:catAx>
        <c:axId val="1845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54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48352"/>
        <c:scaling>
          <c:orientation val="minMax"/>
          <c:max val="40"/>
          <c:min val="-3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545664"/>
        <c:crosses val="autoZero"/>
        <c:crossBetween val="between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9549712643678174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0389527458488"/>
          <c:y val="0.25750804093567281"/>
          <c:w val="0.79837260536398469"/>
          <c:h val="0.58360599415204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927874015748655"/>
                  <c:y val="-3.3566404199474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F6-4100-9E07-E52E56F6D22A}"/>
                </c:ext>
              </c:extLst>
            </c:dLbl>
            <c:dLbl>
              <c:idx val="1"/>
              <c:layout>
                <c:manualLayout>
                  <c:x val="-0.12372318460193275"/>
                  <c:y val="-4.692178477690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F6-4100-9E07-E52E56F6D22A}"/>
                </c:ext>
              </c:extLst>
            </c:dLbl>
            <c:dLbl>
              <c:idx val="2"/>
              <c:layout>
                <c:manualLayout>
                  <c:x val="-0.10040419947506561"/>
                  <c:y val="-4.2677515310586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F6-4100-9E07-E52E56F6D22A}"/>
                </c:ext>
              </c:extLst>
            </c:dLbl>
            <c:dLbl>
              <c:idx val="3"/>
              <c:layout>
                <c:manualLayout>
                  <c:x val="-2.7042169728784492E-2"/>
                  <c:y val="-4.7632895888014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F6-4100-9E07-E52E56F6D22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MVZ!$B$5:$E$5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MVZ!$B$6:$E$6</c:f>
              <c:numCache>
                <c:formatCode>0.0%</c:formatCode>
                <c:ptCount val="4"/>
                <c:pt idx="0">
                  <c:v>8.9262613195342816E-2</c:v>
                </c:pt>
                <c:pt idx="1">
                  <c:v>7.1913161465400277E-2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6-4100-9E07-E52E56F6D2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540736"/>
        <c:axId val="181572352"/>
      </c:lineChart>
      <c:catAx>
        <c:axId val="1815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57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7235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54073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6223371647509591"/>
          <c:y val="3.355339105339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40453384418941"/>
          <c:y val="0.23428968253968271"/>
          <c:w val="0.74996328224776498"/>
          <c:h val="0.63214466089466081"/>
        </c:manualLayout>
      </c:layout>
      <c:lineChart>
        <c:grouping val="standard"/>
        <c:varyColors val="0"/>
        <c:ser>
          <c:idx val="0"/>
          <c:order val="0"/>
          <c:spPr>
            <a:ln w="15875">
              <a:solidFill>
                <a:srgbClr val="C0504D"/>
              </a:solidFill>
            </a:ln>
          </c:spPr>
          <c:marker>
            <c:symbol val="diamond"/>
            <c:size val="7"/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5.9523809523809507E-2"/>
                  <c:y val="-5.5749128919860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D7-4133-B8F7-EE1D62BDB1DB}"/>
                </c:ext>
              </c:extLst>
            </c:dLbl>
            <c:dLbl>
              <c:idx val="1"/>
              <c:layout>
                <c:manualLayout>
                  <c:x val="-5.9523809523809507E-2"/>
                  <c:y val="-6.03948896631823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D7-4133-B8F7-EE1D62BDB1DB}"/>
                </c:ext>
              </c:extLst>
            </c:dLbl>
            <c:dLbl>
              <c:idx val="2"/>
              <c:layout>
                <c:manualLayout>
                  <c:x val="-7.1428571428571508E-2"/>
                  <c:y val="-5.1103368176538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D7-4133-B8F7-EE1D62BDB1DB}"/>
                </c:ext>
              </c:extLst>
            </c:dLbl>
            <c:dLbl>
              <c:idx val="3"/>
              <c:layout>
                <c:manualLayout>
                  <c:x val="-7.5396825396825434E-2"/>
                  <c:y val="-5.5749128919860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D7-4133-B8F7-EE1D62BDB1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DGU!$B$5:$E$5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DGU!$B$5:$E$5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7-4133-B8F7-EE1D62BDB1DB}"/>
            </c:ext>
          </c:extLst>
        </c:ser>
        <c:ser>
          <c:idx val="1"/>
          <c:order val="1"/>
          <c:dLbls>
            <c:dLbl>
              <c:idx val="0"/>
              <c:layout>
                <c:manualLayout>
                  <c:x val="0"/>
                  <c:y val="-5.0396825396825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D7-4133-B8F7-EE1D62BDB1DB}"/>
                </c:ext>
              </c:extLst>
            </c:dLbl>
            <c:dLbl>
              <c:idx val="1"/>
              <c:layout>
                <c:manualLayout>
                  <c:x val="-1.2164750957854405E-2"/>
                  <c:y val="-4.5815295815295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D7-4133-B8F7-EE1D62BDB1DB}"/>
                </c:ext>
              </c:extLst>
            </c:dLbl>
            <c:dLbl>
              <c:idx val="2"/>
              <c:layout>
                <c:manualLayout>
                  <c:x val="0"/>
                  <c:y val="-5.497835497835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D7-4133-B8F7-EE1D62BDB1DB}"/>
                </c:ext>
              </c:extLst>
            </c:dLbl>
            <c:dLbl>
              <c:idx val="3"/>
              <c:layout>
                <c:manualLayout>
                  <c:x val="-4.0549169859514685E-3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D7-4133-B8F7-EE1D62BDB1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DGU!$B$5:$E$5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DGU!$B$6:$E$6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D7-4133-B8F7-EE1D62BDB1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281344"/>
        <c:axId val="184283136"/>
      </c:lineChart>
      <c:catAx>
        <c:axId val="18428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28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8313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28134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6030779054916991"/>
          <c:y val="3.3553391053391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748403575993"/>
          <c:y val="0.2697164502164503"/>
          <c:w val="0.82937100893997462"/>
          <c:h val="0.587426406926406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DGU!$B$2:$E$2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DGU!$B$3:$E$3</c:f>
              <c:numCache>
                <c:formatCode>#,##0</c:formatCode>
                <c:ptCount val="4"/>
                <c:pt idx="0">
                  <c:v>-569</c:v>
                </c:pt>
                <c:pt idx="1">
                  <c:v>-867</c:v>
                </c:pt>
                <c:pt idx="2">
                  <c:v>-1327</c:v>
                </c:pt>
                <c:pt idx="3">
                  <c:v>-2669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1-4857-9300-F8001C3B6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324480"/>
        <c:axId val="184326016"/>
      </c:barChart>
      <c:catAx>
        <c:axId val="1843244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32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26016"/>
        <c:scaling>
          <c:orientation val="minMax"/>
          <c:max val="100"/>
          <c:min val="-3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324480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6030779054916991"/>
          <c:y val="3.3553391053391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8748403575993"/>
          <c:y val="0.2697164502164503"/>
          <c:w val="0.82937100893997462"/>
          <c:h val="0.587426406926406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Bildungsakademie!$B$2:$D$2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Bildungsakademie!$B$3:$E$3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C-4F20-BA1A-CFF47A66CF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347264"/>
        <c:axId val="184394112"/>
      </c:barChart>
      <c:catAx>
        <c:axId val="1843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 anchor="ctr" anchorCtr="1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39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94112"/>
        <c:scaling>
          <c:orientation val="minMax"/>
          <c:max val="100"/>
          <c:min val="-15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347264"/>
        <c:crossesAt val="1"/>
        <c:crossBetween val="between"/>
        <c:majorUnit val="50"/>
      </c:valAx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6223371647509591"/>
          <c:y val="3.355339105339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40453384418941"/>
          <c:y val="0.23428968253968271"/>
          <c:w val="0.74996328224776498"/>
          <c:h val="0.63214466089466081"/>
        </c:manualLayout>
      </c:layout>
      <c:lineChart>
        <c:grouping val="standard"/>
        <c:varyColors val="0"/>
        <c:ser>
          <c:idx val="0"/>
          <c:order val="0"/>
          <c:spPr>
            <a:ln w="15875">
              <a:solidFill>
                <a:srgbClr val="C0504D"/>
              </a:solidFill>
            </a:ln>
          </c:spPr>
          <c:marker>
            <c:symbol val="diamond"/>
            <c:size val="7"/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5.9523809523809507E-2"/>
                  <c:y val="-5.5749128919860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BB-4125-9469-01D71832AE9B}"/>
                </c:ext>
              </c:extLst>
            </c:dLbl>
            <c:dLbl>
              <c:idx val="1"/>
              <c:layout>
                <c:manualLayout>
                  <c:x val="-5.9523809523809507E-2"/>
                  <c:y val="-6.03948896631823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BB-4125-9469-01D71832AE9B}"/>
                </c:ext>
              </c:extLst>
            </c:dLbl>
            <c:dLbl>
              <c:idx val="2"/>
              <c:layout>
                <c:manualLayout>
                  <c:x val="-7.1428571428571508E-2"/>
                  <c:y val="-5.11033681765389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BB-4125-9469-01D71832AE9B}"/>
                </c:ext>
              </c:extLst>
            </c:dLbl>
            <c:dLbl>
              <c:idx val="3"/>
              <c:layout>
                <c:manualLayout>
                  <c:x val="-7.5396825396825434E-2"/>
                  <c:y val="-5.5749128919860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BB-4125-9469-01D71832AE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Bildungsakademie!$B$5:$E$5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Bildungsakademie!$B$5:$E$5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B-4125-9469-01D71832AE9B}"/>
            </c:ext>
          </c:extLst>
        </c:ser>
        <c:ser>
          <c:idx val="1"/>
          <c:order val="1"/>
          <c:dLbls>
            <c:dLbl>
              <c:idx val="1"/>
              <c:layout>
                <c:manualLayout>
                  <c:x val="-1.2164750957854405E-2"/>
                  <c:y val="-4.5815295815295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BB-4125-9469-01D71832AE9B}"/>
                </c:ext>
              </c:extLst>
            </c:dLbl>
            <c:dLbl>
              <c:idx val="2"/>
              <c:layout>
                <c:manualLayout>
                  <c:x val="0"/>
                  <c:y val="-5.497835497835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BB-4125-9469-01D71832AE9B}"/>
                </c:ext>
              </c:extLst>
            </c:dLbl>
            <c:dLbl>
              <c:idx val="3"/>
              <c:layout>
                <c:manualLayout>
                  <c:x val="-4.0549169859514685E-3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BB-4125-9469-01D71832AE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Bildungsakademie!$B$5:$E$5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Bildungsakademie!$B$6:$E$6</c:f>
              <c:numCache>
                <c:formatCode>0.0%</c:formatCode>
                <c:ptCount val="4"/>
                <c:pt idx="0">
                  <c:v>1</c:v>
                </c:pt>
                <c:pt idx="1">
                  <c:v>1.2309207287050714E-2</c:v>
                </c:pt>
                <c:pt idx="2">
                  <c:v>1.2309207287050714E-2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BB-4125-9469-01D71832A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567296"/>
        <c:axId val="184568832"/>
      </c:lineChart>
      <c:catAx>
        <c:axId val="1845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56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568832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456729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</a:t>
            </a:r>
            <a:r>
              <a:rPr lang="de-DE" sz="1200" baseline="0">
                <a:latin typeface="+mn-lt"/>
              </a:rPr>
              <a:t> T€)</a:t>
            </a:r>
            <a:endParaRPr lang="de-DE" sz="1200">
              <a:latin typeface="+mn-lt"/>
            </a:endParaRPr>
          </a:p>
        </c:rich>
      </c:tx>
      <c:layout>
        <c:manualLayout>
          <c:xMode val="edge"/>
          <c:yMode val="edge"/>
          <c:x val="0.18233876117496844"/>
          <c:y val="2.7383040935672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04948914433647"/>
          <c:y val="0.24091447368421912"/>
          <c:w val="0.75058812260536401"/>
          <c:h val="0.62242178362573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-1.6219667943805874E-2"/>
                  <c:y val="-6.62463450292397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03-4DB8-980B-31C45596D0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'MVZ Gastro'!$B$2:$E$2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'MVZ Gastro'!$B$3:$E$3</c:f>
              <c:numCache>
                <c:formatCode>#,##0</c:formatCode>
                <c:ptCount val="4"/>
                <c:pt idx="0">
                  <c:v>0</c:v>
                </c:pt>
                <c:pt idx="1">
                  <c:v>-197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3-4DB8-980B-31C45596D0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952512"/>
        <c:axId val="185963648"/>
      </c:barChart>
      <c:catAx>
        <c:axId val="1859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596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63648"/>
        <c:scaling>
          <c:orientation val="minMax"/>
          <c:max val="40"/>
          <c:min val="-3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5952512"/>
        <c:crosses val="autoZero"/>
        <c:crossBetween val="between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9549712643678174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0389527458488"/>
          <c:y val="0.25750804093567281"/>
          <c:w val="0.79837260536398469"/>
          <c:h val="0.58360599415204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927874015748655"/>
                  <c:y val="-3.3566404199474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B3-4D9A-B5D2-7C2A2FC5DAC9}"/>
                </c:ext>
              </c:extLst>
            </c:dLbl>
            <c:dLbl>
              <c:idx val="1"/>
              <c:layout>
                <c:manualLayout>
                  <c:x val="-0.12372318460193275"/>
                  <c:y val="-4.6921784776902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B3-4D9A-B5D2-7C2A2FC5DAC9}"/>
                </c:ext>
              </c:extLst>
            </c:dLbl>
            <c:dLbl>
              <c:idx val="2"/>
              <c:layout>
                <c:manualLayout>
                  <c:x val="-0.10040419947506561"/>
                  <c:y val="-4.2677515310586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3-4D9A-B5D2-7C2A2FC5DAC9}"/>
                </c:ext>
              </c:extLst>
            </c:dLbl>
            <c:dLbl>
              <c:idx val="3"/>
              <c:layout>
                <c:manualLayout>
                  <c:x val="-2.7042169728784492E-2"/>
                  <c:y val="-4.7632895888014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B3-4D9A-B5D2-7C2A2FC5DAC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'MVZ Gastro'!$B$5:$E$5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'MVZ Gastro'!$B$6:$E$6</c:f>
              <c:numCache>
                <c:formatCode>0.0%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3-4D9A-B5D2-7C2A2FC5DA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265600"/>
        <c:axId val="186268288"/>
      </c:lineChart>
      <c:catAx>
        <c:axId val="1862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26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26828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26560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3399778516058194"/>
          <c:y val="2.726146220570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93168877147756"/>
          <c:y val="0.22057001239157367"/>
          <c:w val="0.79955807849600191"/>
          <c:h val="0.612143742255266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Wendepunkt!$B$2:$E$2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Wendepunkt!$B$3:$E$3</c:f>
              <c:numCache>
                <c:formatCode>#,##0</c:formatCode>
                <c:ptCount val="4"/>
                <c:pt idx="0">
                  <c:v>8</c:v>
                </c:pt>
                <c:pt idx="1">
                  <c:v>5</c:v>
                </c:pt>
                <c:pt idx="2">
                  <c:v>-2</c:v>
                </c:pt>
                <c:pt idx="3" formatCode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E-4D53-96C6-70D5C56B9E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288384"/>
        <c:axId val="186328192"/>
      </c:barChart>
      <c:catAx>
        <c:axId val="1862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32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328192"/>
        <c:scaling>
          <c:orientation val="minMax"/>
          <c:max val="10"/>
          <c:min val="-1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28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6611260387703791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5555425749821"/>
          <c:y val="0.24000104986876641"/>
          <c:w val="0.72124488889927363"/>
          <c:h val="0.6144461942257218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4.6326913254839133E-2"/>
                  <c:y val="3.6840955651737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3C5-45C4-B1E4-9D6C890EC6D4}"/>
                </c:ext>
              </c:extLst>
            </c:dLbl>
            <c:dLbl>
              <c:idx val="1"/>
              <c:layout>
                <c:manualLayout>
                  <c:x val="-4.7971574447158473E-2"/>
                  <c:y val="3.4242332408848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3C5-45C4-B1E4-9D6C890EC6D4}"/>
                </c:ext>
              </c:extLst>
            </c:dLbl>
            <c:dLbl>
              <c:idx val="2"/>
              <c:layout>
                <c:manualLayout>
                  <c:x val="-7.6645092953885288E-2"/>
                  <c:y val="4.0664216972878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3C5-45C4-B1E4-9D6C890EC6D4}"/>
                </c:ext>
              </c:extLst>
            </c:dLbl>
            <c:dLbl>
              <c:idx val="3"/>
              <c:layout>
                <c:manualLayout>
                  <c:x val="-6.4627055149263618E-2"/>
                  <c:y val="5.080209973753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3C5-45C4-B1E4-9D6C890EC6D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GKR!$B$5:$E$5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GKR!$B$6:$E$6</c:f>
              <c:numCache>
                <c:formatCode>0.0%</c:formatCode>
                <c:ptCount val="4"/>
                <c:pt idx="0">
                  <c:v>0.82060185185185186</c:v>
                </c:pt>
                <c:pt idx="1">
                  <c:v>0.74298056155507564</c:v>
                </c:pt>
                <c:pt idx="2">
                  <c:v>0.75414937759336098</c:v>
                </c:pt>
                <c:pt idx="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C5-45C4-B1E4-9D6C890EC6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035584"/>
        <c:axId val="74038272"/>
      </c:lineChart>
      <c:catAx>
        <c:axId val="740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403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03827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403558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</a:t>
            </a:r>
            <a:r>
              <a:rPr lang="de-DE" baseline="0">
                <a:latin typeface="+mn-lt"/>
              </a:rPr>
              <a:t> %)</a:t>
            </a:r>
            <a:endParaRPr lang="de-DE">
              <a:latin typeface="+mn-lt"/>
            </a:endParaRPr>
          </a:p>
        </c:rich>
      </c:tx>
      <c:layout>
        <c:manualLayout>
          <c:xMode val="edge"/>
          <c:yMode val="edge"/>
          <c:x val="0.12075495417441752"/>
          <c:y val="3.0211641605000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0954140441191"/>
          <c:y val="0.25808267277628238"/>
          <c:w val="0.75512609467505964"/>
          <c:h val="0.5462649777473130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739335887612124"/>
                  <c:y val="4.5863304093567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0A-4AD4-9273-9A5E575C9FF5}"/>
                </c:ext>
              </c:extLst>
            </c:dLbl>
            <c:dLbl>
              <c:idx val="1"/>
              <c:layout>
                <c:manualLayout>
                  <c:x val="-6.1488673139158574E-2"/>
                  <c:y val="-5.0945320798110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0A-4AD4-9273-9A5E575C9FF5}"/>
                </c:ext>
              </c:extLst>
            </c:dLbl>
            <c:dLbl>
              <c:idx val="2"/>
              <c:layout>
                <c:manualLayout>
                  <c:x val="-8.8986909323116245E-2"/>
                  <c:y val="3.4267543859649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0A-4AD4-9273-9A5E575C9FF5}"/>
                </c:ext>
              </c:extLst>
            </c:dLbl>
            <c:dLbl>
              <c:idx val="3"/>
              <c:layout>
                <c:manualLayout>
                  <c:x val="-6.3809067688378032E-2"/>
                  <c:y val="-4.60149853801169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0A-4AD4-9273-9A5E575C9FF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Wendepunkt!$B$5:$E$5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Wendepunkt!$B$6:$E$6</c:f>
              <c:numCache>
                <c:formatCode>0.0%</c:formatCode>
                <c:ptCount val="4"/>
                <c:pt idx="0">
                  <c:v>0.70370370370370372</c:v>
                </c:pt>
                <c:pt idx="1">
                  <c:v>0.75438596491228072</c:v>
                </c:pt>
                <c:pt idx="2">
                  <c:v>0.74545454545454548</c:v>
                </c:pt>
                <c:pt idx="3">
                  <c:v>0.75362318840579712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A-4AD4-9273-9A5E575C9F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347520"/>
        <c:axId val="186350208"/>
      </c:lineChart>
      <c:catAx>
        <c:axId val="1863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35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35020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34752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2371318406046172"/>
          <c:y val="3.2407407407409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79639556457564"/>
          <c:y val="0.26157480314963516"/>
          <c:w val="0.76122828863346181"/>
          <c:h val="0.6007697368421057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818641155197622"/>
                  <c:y val="4.6411125692621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80-4702-881D-A3EC07201A6D}"/>
                </c:ext>
              </c:extLst>
            </c:dLbl>
            <c:dLbl>
              <c:idx val="1"/>
              <c:layout>
                <c:manualLayout>
                  <c:x val="-0.11701180674891209"/>
                  <c:y val="6.1457421988922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80-4702-881D-A3EC07201A6D}"/>
                </c:ext>
              </c:extLst>
            </c:dLbl>
            <c:dLbl>
              <c:idx val="2"/>
              <c:layout>
                <c:manualLayout>
                  <c:x val="-8.7288893448579513E-2"/>
                  <c:y val="5.20322980460791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80-4702-881D-A3EC07201A6D}"/>
                </c:ext>
              </c:extLst>
            </c:dLbl>
            <c:dLbl>
              <c:idx val="3"/>
              <c:layout>
                <c:manualLayout>
                  <c:x val="-4.5468710089399782E-2"/>
                  <c:y val="5.5580043859649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80-4702-881D-A3EC07201A6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'Pina Bausch'!$B$5:$E$5</c:f>
              <c:strCache>
                <c:ptCount val="4"/>
                <c:pt idx="0">
                  <c:v>2014/2015</c:v>
                </c:pt>
                <c:pt idx="1">
                  <c:v>2015/2016</c:v>
                </c:pt>
                <c:pt idx="2">
                  <c:v>2016/2017</c:v>
                </c:pt>
                <c:pt idx="3">
                  <c:v>2017/2018</c:v>
                </c:pt>
              </c:strCache>
            </c:strRef>
          </c:cat>
          <c:val>
            <c:numRef>
              <c:f>'Pina Bausch'!$B$6:$E$6</c:f>
              <c:numCache>
                <c:formatCode>0.0%</c:formatCode>
                <c:ptCount val="4"/>
                <c:pt idx="0">
                  <c:v>0.58801711840228243</c:v>
                </c:pt>
                <c:pt idx="1">
                  <c:v>0.56321215409658165</c:v>
                </c:pt>
                <c:pt idx="2">
                  <c:v>0.50944309927360776</c:v>
                </c:pt>
                <c:pt idx="3">
                  <c:v>0.68513853904282118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0-4702-881D-A3EC07201A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018048"/>
        <c:axId val="186045568"/>
      </c:lineChart>
      <c:catAx>
        <c:axId val="1860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04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4556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01804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</a:t>
            </a:r>
            <a:r>
              <a:rPr lang="de-DE" baseline="0">
                <a:latin typeface="+mn-lt"/>
              </a:rPr>
              <a:t> T€)</a:t>
            </a:r>
            <a:r>
              <a:rPr lang="de-DE">
                <a:latin typeface="+mn-lt"/>
              </a:rPr>
              <a:t>  </a:t>
            </a:r>
          </a:p>
        </c:rich>
      </c:tx>
      <c:layout>
        <c:manualLayout>
          <c:xMode val="edge"/>
          <c:yMode val="edge"/>
          <c:x val="0.14623655913978495"/>
          <c:y val="2.4305555555555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4399288800193"/>
          <c:y val="0.22453776611256926"/>
          <c:w val="0.79402489204983084"/>
          <c:h val="0.65162255759696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0"/>
                  <c:y val="1.3888888888889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C-4311-8957-E4EE4B37EBB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'Pina Bausch'!$B$2:$E$2</c:f>
              <c:strCache>
                <c:ptCount val="4"/>
                <c:pt idx="0">
                  <c:v>2014/2015</c:v>
                </c:pt>
                <c:pt idx="1">
                  <c:v>2015/2016</c:v>
                </c:pt>
                <c:pt idx="2">
                  <c:v>2016/2017</c:v>
                </c:pt>
                <c:pt idx="3">
                  <c:v>2017/2018</c:v>
                </c:pt>
              </c:strCache>
            </c:strRef>
          </c:cat>
          <c:val>
            <c:numRef>
              <c:f>'Pina Bausch'!$B$3:$E$3</c:f>
              <c:numCache>
                <c:formatCode>#,##0</c:formatCode>
                <c:ptCount val="4"/>
                <c:pt idx="0">
                  <c:v>199</c:v>
                </c:pt>
                <c:pt idx="1">
                  <c:v>15</c:v>
                </c:pt>
                <c:pt idx="2">
                  <c:v>27</c:v>
                </c:pt>
                <c:pt idx="3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C-4311-8957-E4EE4B37EB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420032"/>
        <c:axId val="181422720"/>
      </c:barChart>
      <c:catAx>
        <c:axId val="181420032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42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4227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420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061146026471461"/>
          <c:y val="2.89351851851851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2204884940613"/>
          <c:y val="0.25810258092738408"/>
          <c:w val="0.7696250812685711"/>
          <c:h val="0.5949095946340039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009174311926606"/>
                  <c:y val="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F8-4AFE-BE3B-CD71FB7172D5}"/>
                </c:ext>
              </c:extLst>
            </c:dLbl>
            <c:dLbl>
              <c:idx val="1"/>
              <c:layout>
                <c:manualLayout>
                  <c:x val="-9.5438207838699052E-2"/>
                  <c:y val="5.8460921551474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F8-4AFE-BE3B-CD71FB7172D5}"/>
                </c:ext>
              </c:extLst>
            </c:dLbl>
            <c:dLbl>
              <c:idx val="2"/>
              <c:layout>
                <c:manualLayout>
                  <c:x val="-4.6253943027763735E-2"/>
                  <c:y val="5.15277777777777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F8-4AFE-BE3B-CD71FB7172D5}"/>
                </c:ext>
              </c:extLst>
            </c:dLbl>
            <c:dLbl>
              <c:idx val="3"/>
              <c:layout>
                <c:manualLayout>
                  <c:x val="0"/>
                  <c:y val="4.6296296296296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F8-4AFE-BE3B-CD71FB7172D5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Bühnen!$B$5:$E$5</c:f>
              <c:strCache>
                <c:ptCount val="4"/>
                <c:pt idx="0">
                  <c:v>2014/2015</c:v>
                </c:pt>
                <c:pt idx="1">
                  <c:v>2015/2016</c:v>
                </c:pt>
                <c:pt idx="2">
                  <c:v>2016/2017</c:v>
                </c:pt>
                <c:pt idx="3">
                  <c:v>2017/2018</c:v>
                </c:pt>
              </c:strCache>
            </c:strRef>
          </c:cat>
          <c:val>
            <c:numRef>
              <c:f>Bühnen!$B$6:$E$6</c:f>
              <c:numCache>
                <c:formatCode>0.0%</c:formatCode>
                <c:ptCount val="4"/>
                <c:pt idx="0">
                  <c:v>0.32453825857519791</c:v>
                </c:pt>
                <c:pt idx="1">
                  <c:v>0.33030106129521336</c:v>
                </c:pt>
                <c:pt idx="2">
                  <c:v>0.3481515082785212</c:v>
                </c:pt>
                <c:pt idx="3">
                  <c:v>0.37429504303947758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8-4AFE-BE3B-CD71FB7172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819520"/>
        <c:axId val="185821056"/>
      </c:lineChart>
      <c:catAx>
        <c:axId val="1858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582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82105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581952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5906788247214856"/>
          <c:y val="2.4305555555555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04154002027393"/>
          <c:y val="0.20254702537183294"/>
          <c:w val="0.80445795339412363"/>
          <c:h val="0.622687372411819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Bühnen!$B$2:$E$2</c:f>
              <c:strCache>
                <c:ptCount val="4"/>
                <c:pt idx="0">
                  <c:v>2014/2015</c:v>
                </c:pt>
                <c:pt idx="1">
                  <c:v>2015/2016</c:v>
                </c:pt>
                <c:pt idx="2">
                  <c:v>2016/2017</c:v>
                </c:pt>
                <c:pt idx="3">
                  <c:v>2017/2018</c:v>
                </c:pt>
              </c:strCache>
            </c:strRef>
          </c:cat>
          <c:val>
            <c:numRef>
              <c:f>Bühnen!$B$3:$E$3</c:f>
              <c:numCache>
                <c:formatCode>#,##0</c:formatCode>
                <c:ptCount val="4"/>
                <c:pt idx="0">
                  <c:v>155</c:v>
                </c:pt>
                <c:pt idx="1">
                  <c:v>172</c:v>
                </c:pt>
                <c:pt idx="2">
                  <c:v>10</c:v>
                </c:pt>
                <c:pt idx="3">
                  <c:v>-274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F-4C33-847A-BA308142BB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856000"/>
        <c:axId val="185858688"/>
      </c:barChart>
      <c:catAx>
        <c:axId val="18585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585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858688"/>
        <c:scaling>
          <c:orientation val="minMax"/>
          <c:max val="500"/>
          <c:min val="-5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585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 </a:t>
            </a:r>
          </a:p>
        </c:rich>
      </c:tx>
      <c:layout>
        <c:manualLayout>
          <c:xMode val="edge"/>
          <c:yMode val="edge"/>
          <c:x val="0.13450351213282249"/>
          <c:y val="5.04276315789503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25095785441506"/>
          <c:y val="0.24985745614035987"/>
          <c:w val="0.80760057471264357"/>
          <c:h val="0.6139316520468383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9265298142181768E-2"/>
                  <c:y val="-5.5430280517260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3-4930-BE0F-6B846350D8A3}"/>
                </c:ext>
              </c:extLst>
            </c:dLbl>
            <c:dLbl>
              <c:idx val="1"/>
              <c:layout>
                <c:manualLayout>
                  <c:x val="-0.15961143039592293"/>
                  <c:y val="-4.1207967836257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3-4930-BE0F-6B846350D8A3}"/>
                </c:ext>
              </c:extLst>
            </c:dLbl>
            <c:dLbl>
              <c:idx val="2"/>
              <c:layout>
                <c:manualLayout>
                  <c:x val="-7.342656449553002E-2"/>
                  <c:y val="-4.1360380116959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3-4930-BE0F-6B846350D8A3}"/>
                </c:ext>
              </c:extLst>
            </c:dLbl>
            <c:dLbl>
              <c:idx val="3"/>
              <c:layout>
                <c:manualLayout>
                  <c:x val="-3.7458173690932316E-2"/>
                  <c:y val="-5.439546783626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3-4930-BE0F-6B846350D8A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304347826086962"/>
                  <c:y val="0.222591723213832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3-4930-BE0F-6B846350D8A3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Lokalfunk!$B$5:$E$5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Lokalfunk!$B$6:$E$6</c:f>
              <c:numCache>
                <c:formatCode>0.0%</c:formatCode>
                <c:ptCount val="4"/>
                <c:pt idx="0">
                  <c:v>0.46973803071364045</c:v>
                </c:pt>
                <c:pt idx="1">
                  <c:v>0.42207792207792205</c:v>
                </c:pt>
                <c:pt idx="2">
                  <c:v>0.40154440154440152</c:v>
                </c:pt>
                <c:pt idx="3">
                  <c:v>0.53553038105046347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3-4930-BE0F-6B846350D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059008"/>
        <c:axId val="186066048"/>
      </c:lineChart>
      <c:catAx>
        <c:axId val="1860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0660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06604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05900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des Jahresergebnisses (in T€) </a:t>
            </a:r>
          </a:p>
        </c:rich>
      </c:tx>
      <c:layout>
        <c:manualLayout>
          <c:xMode val="edge"/>
          <c:yMode val="edge"/>
          <c:x val="0.15800865800865802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5541466407609"/>
          <c:y val="0.25407962116623534"/>
          <c:w val="0.80753110406653716"/>
          <c:h val="0.5885791898389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Lokalfunk!$B$2:$E$2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Lokalfunk!$B$3:$E$3</c:f>
              <c:numCache>
                <c:formatCode>#,##0</c:formatCode>
                <c:ptCount val="4"/>
                <c:pt idx="0">
                  <c:v>356</c:v>
                </c:pt>
                <c:pt idx="1">
                  <c:v>384</c:v>
                </c:pt>
                <c:pt idx="2">
                  <c:v>396</c:v>
                </c:pt>
                <c:pt idx="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1-4A90-AEB6-D87E503AFD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118144"/>
        <c:axId val="186120832"/>
      </c:barChart>
      <c:catAx>
        <c:axId val="1861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12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1208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6118144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4880938697318041"/>
          <c:y val="9.407894736842156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8316460442445"/>
          <c:y val="0.19777847769028872"/>
          <c:w val="0.79365298087738956"/>
          <c:h val="0.665557655293128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DBV!$B$2:$E$2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DBV!$B$3:$E$3</c:f>
              <c:numCache>
                <c:formatCode>#,##0</c:formatCode>
                <c:ptCount val="4"/>
                <c:pt idx="0">
                  <c:v>773</c:v>
                </c:pt>
                <c:pt idx="1">
                  <c:v>1008</c:v>
                </c:pt>
                <c:pt idx="2">
                  <c:v>1085</c:v>
                </c:pt>
                <c:pt idx="3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7-4CD3-B98B-7586E20BD1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690112"/>
        <c:axId val="73721728"/>
      </c:barChart>
      <c:catAx>
        <c:axId val="736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72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721728"/>
        <c:scaling>
          <c:orientation val="minMax"/>
          <c:max val="2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69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7780459770114942"/>
          <c:y val="1.7789839181286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3793103448291"/>
          <c:y val="0.22654861111111121"/>
          <c:w val="0.78530619412515956"/>
          <c:h val="0.636787646198865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948191593352886"/>
                  <c:y val="-4.0000000000000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94D-4BA5-B177-2D7475C2D562}"/>
                </c:ext>
              </c:extLst>
            </c:dLbl>
            <c:dLbl>
              <c:idx val="1"/>
              <c:layout>
                <c:manualLayout>
                  <c:x val="-9.3841642228738947E-2"/>
                  <c:y val="-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94D-4BA5-B177-2D7475C2D562}"/>
                </c:ext>
              </c:extLst>
            </c:dLbl>
            <c:dLbl>
              <c:idx val="2"/>
              <c:layout>
                <c:manualLayout>
                  <c:x val="-7.4291300097751783E-2"/>
                  <c:y val="-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94D-4BA5-B177-2D7475C2D562}"/>
                </c:ext>
              </c:extLst>
            </c:dLbl>
            <c:dLbl>
              <c:idx val="3"/>
              <c:layout>
                <c:manualLayout>
                  <c:x val="-5.0830889540566963E-2"/>
                  <c:y val="-6.2222222222222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94D-4BA5-B177-2D7475C2D56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DBV!$B$5:$E$5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DBV!$B$6:$E$6</c:f>
              <c:numCache>
                <c:formatCode>0.0%</c:formatCode>
                <c:ptCount val="4"/>
                <c:pt idx="0">
                  <c:v>0.24008195194635873</c:v>
                </c:pt>
                <c:pt idx="1">
                  <c:v>0.2665167762020062</c:v>
                </c:pt>
                <c:pt idx="2">
                  <c:v>0.29150481337611889</c:v>
                </c:pt>
                <c:pt idx="3">
                  <c:v>0.29459635416666669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D-4BA5-B177-2D7475C2D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757440"/>
        <c:axId val="73760128"/>
      </c:lineChart>
      <c:catAx>
        <c:axId val="737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76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760128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75744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</a:t>
            </a:r>
            <a:r>
              <a:rPr lang="de-DE" sz="1200" baseline="0">
                <a:latin typeface="+mn-lt"/>
              </a:rPr>
              <a:t> T€)</a:t>
            </a:r>
            <a:endParaRPr lang="de-DE" sz="1200">
              <a:latin typeface="+mn-lt"/>
            </a:endParaRPr>
          </a:p>
        </c:rich>
      </c:tx>
      <c:layout>
        <c:manualLayout>
          <c:xMode val="edge"/>
          <c:yMode val="edge"/>
          <c:x val="0.14643997445722887"/>
          <c:y val="3.20248538011696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60293890599594"/>
          <c:y val="0.2407194688899337"/>
          <c:w val="0.80690552089292356"/>
          <c:h val="0.622616566311564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'DGV Verw. mbH'!$B$2:$E$2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'DGV Verw. mbH'!$B$3:$E$3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9-41AA-9FB2-FA68643ECF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784320"/>
        <c:axId val="76924800"/>
      </c:barChart>
      <c:catAx>
        <c:axId val="737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692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924800"/>
        <c:scaling>
          <c:orientation val="minMax"/>
          <c:max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784320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20192308725914379"/>
          <c:y val="3.4700315457416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42560664112393"/>
          <c:y val="0.31019978969507733"/>
          <c:w val="0.74392049808432714"/>
          <c:h val="0.5604626708727142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108193813657251"/>
                  <c:y val="-4.77014663387897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EC9-4E61-B473-76D8E25351ED}"/>
                </c:ext>
              </c:extLst>
            </c:dLbl>
            <c:dLbl>
              <c:idx val="1"/>
              <c:layout>
                <c:manualLayout>
                  <c:x val="-8.8548368314044737E-2"/>
                  <c:y val="-3.7770767613041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EC9-4E61-B473-76D8E25351ED}"/>
                </c:ext>
              </c:extLst>
            </c:dLbl>
            <c:dLbl>
              <c:idx val="2"/>
              <c:layout>
                <c:manualLayout>
                  <c:x val="-9.9706359230700065E-2"/>
                  <c:y val="-4.37745597257756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EC9-4E61-B473-76D8E25351ED}"/>
                </c:ext>
              </c:extLst>
            </c:dLbl>
            <c:dLbl>
              <c:idx val="3"/>
              <c:layout>
                <c:manualLayout>
                  <c:x val="-3.6405005688285703E-2"/>
                  <c:y val="-4.206098843322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EC9-4E61-B473-76D8E25351E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'DGV Verw. mbH'!$B$5:$E$5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'DGV Verw. mbH'!$B$6:$E$6</c:f>
              <c:numCache>
                <c:formatCode>0.0%</c:formatCode>
                <c:ptCount val="4"/>
                <c:pt idx="0">
                  <c:v>0.93181818181818177</c:v>
                </c:pt>
                <c:pt idx="1">
                  <c:v>0.93478260869565222</c:v>
                </c:pt>
                <c:pt idx="2">
                  <c:v>0.87755102040816324</c:v>
                </c:pt>
                <c:pt idx="3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9-4E61-B473-76D8E2535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226752"/>
        <c:axId val="77229440"/>
      </c:lineChart>
      <c:catAx>
        <c:axId val="772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22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29440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226752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4218231162196679"/>
          <c:y val="4.13084795321637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89367816091953"/>
          <c:y val="0.28478874269005888"/>
          <c:w val="0.80094636015325649"/>
          <c:h val="0.578547514619900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'DGV mbh &amp; Co. KG'!$B$2:$E$2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'DGV mbh &amp; Co. KG'!$B$3:$E$3</c:f>
              <c:numCache>
                <c:formatCode>#,##0</c:formatCode>
                <c:ptCount val="4"/>
                <c:pt idx="0">
                  <c:v>70</c:v>
                </c:pt>
                <c:pt idx="1">
                  <c:v>63</c:v>
                </c:pt>
                <c:pt idx="2">
                  <c:v>6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D-424E-940C-75A18478AB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616448"/>
        <c:axId val="76617600"/>
      </c:barChart>
      <c:catAx>
        <c:axId val="766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661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17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6616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7287803320561937"/>
          <c:y val="3.20248538011696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38250319284821"/>
          <c:y val="0.24439400584796286"/>
          <c:w val="0.73760153256710292"/>
          <c:h val="0.618942251462005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0032154340836043E-2"/>
                  <c:y val="5.7777777777777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17-453E-BDBB-9E42B5583138}"/>
                </c:ext>
              </c:extLst>
            </c:dLbl>
            <c:dLbl>
              <c:idx val="1"/>
              <c:layout>
                <c:manualLayout>
                  <c:x val="-9.4319399785638067E-2"/>
                  <c:y val="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17-453E-BDBB-9E42B5583138}"/>
                </c:ext>
              </c:extLst>
            </c:dLbl>
            <c:dLbl>
              <c:idx val="2"/>
              <c:layout>
                <c:manualLayout>
                  <c:x val="-9.8606645230450762E-2"/>
                  <c:y val="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17-453E-BDBB-9E42B5583138}"/>
                </c:ext>
              </c:extLst>
            </c:dLbl>
            <c:dLbl>
              <c:idx val="3"/>
              <c:layout>
                <c:manualLayout>
                  <c:x val="-3.4297963558416092E-2"/>
                  <c:y val="5.7777777777777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17-453E-BDBB-9E42B558313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'DGV mbh &amp; Co. KG'!$B$5:$E$5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'DGV mbh &amp; Co. KG'!$B$6:$E$6</c:f>
              <c:numCache>
                <c:formatCode>0.0%</c:formatCode>
                <c:ptCount val="4"/>
                <c:pt idx="0">
                  <c:v>0.56200846944948579</c:v>
                </c:pt>
                <c:pt idx="1">
                  <c:v>0.62987307343608345</c:v>
                </c:pt>
                <c:pt idx="2">
                  <c:v>0.71189542483660129</c:v>
                </c:pt>
                <c:pt idx="3">
                  <c:v>0.83112183353437874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17-453E-BDBB-9E42B55831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628736"/>
        <c:axId val="76631424"/>
      </c:lineChart>
      <c:catAx>
        <c:axId val="766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663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31424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662873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729658792650921"/>
          <c:y val="2.4305555555555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25235260227481"/>
          <c:y val="0.216378125"/>
          <c:w val="0.74779815632808577"/>
          <c:h val="0.672131944444446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6445416134148532E-2"/>
                  <c:y val="4.1528203884158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641-8000-06E69A742EE6}"/>
                </c:ext>
              </c:extLst>
            </c:dLbl>
            <c:dLbl>
              <c:idx val="1"/>
              <c:layout>
                <c:manualLayout>
                  <c:x val="-7.7214496154282594E-2"/>
                  <c:y val="4.9510781243716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641-8000-06E69A742EE6}"/>
                </c:ext>
              </c:extLst>
            </c:dLbl>
            <c:dLbl>
              <c:idx val="2"/>
              <c:layout>
                <c:manualLayout>
                  <c:x val="-8.5955651902523605E-2"/>
                  <c:y val="4.550231219373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641-8000-06E69A742EE6}"/>
                </c:ext>
              </c:extLst>
            </c:dLbl>
            <c:dLbl>
              <c:idx val="3"/>
              <c:layout>
                <c:manualLayout>
                  <c:x val="-6.1879201075475315E-2"/>
                  <c:y val="6.460338291046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641-8000-06E69A742EE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AG'!$B$5:$E$5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AG'!$B$6:$E$6</c:f>
              <c:numCache>
                <c:formatCode>0.0%</c:formatCode>
                <c:ptCount val="4"/>
                <c:pt idx="0">
                  <c:v>0.36542348312279976</c:v>
                </c:pt>
                <c:pt idx="1">
                  <c:v>0.38717682332148889</c:v>
                </c:pt>
                <c:pt idx="2">
                  <c:v>0.38210052108651898</c:v>
                </c:pt>
                <c:pt idx="3">
                  <c:v>0.37489563394016134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2-4641-8000-06E69A742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863936"/>
        <c:axId val="73864704"/>
      </c:lineChart>
      <c:catAx>
        <c:axId val="738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86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864704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86393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6660515595059819"/>
          <c:y val="2.7777777777780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74051173051222"/>
          <c:y val="0.24444549431322748"/>
          <c:w val="0.75491361125874823"/>
          <c:h val="0.592223972003499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-6.0518731988474114E-2"/>
                  <c:y val="-5.2038053121966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4E-49D7-BE04-2FE0C028689A}"/>
                </c:ext>
              </c:extLst>
            </c:dLbl>
            <c:dLbl>
              <c:idx val="1"/>
              <c:layout>
                <c:manualLayout>
                  <c:x val="-9.2219020172910657E-2"/>
                  <c:y val="-4.8888888888888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4E-49D7-BE04-2FE0C028689A}"/>
                </c:ext>
              </c:extLst>
            </c:dLbl>
            <c:dLbl>
              <c:idx val="2"/>
              <c:layout>
                <c:manualLayout>
                  <c:x val="-9.2219020172910657E-2"/>
                  <c:y val="-4.8888888888888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4E-49D7-BE04-2FE0C028689A}"/>
                </c:ext>
              </c:extLst>
            </c:dLbl>
            <c:dLbl>
              <c:idx val="3"/>
              <c:layout>
                <c:manualLayout>
                  <c:x val="-4.2267050912584064E-2"/>
                  <c:y val="-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4E-49D7-BE04-2FE0C028689A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Konzern'!$B$5:$E$5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Konzern'!$B$6:$E$6</c:f>
              <c:numCache>
                <c:formatCode>0.0%</c:formatCode>
                <c:ptCount val="4"/>
                <c:pt idx="0">
                  <c:v>0.28780541181094393</c:v>
                </c:pt>
                <c:pt idx="1">
                  <c:v>0.30051354172320033</c:v>
                </c:pt>
                <c:pt idx="2">
                  <c:v>0.30276805676096163</c:v>
                </c:pt>
                <c:pt idx="3">
                  <c:v>0.29886914121061303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4E-49D7-BE04-2FE0C0286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581760"/>
        <c:axId val="100584448"/>
      </c:lineChart>
      <c:catAx>
        <c:axId val="1005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0058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58444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0058176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316348195329087"/>
          <c:y val="2.29509971047434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17968136148586"/>
          <c:y val="0.21547203506778947"/>
          <c:w val="0.75503953725532991"/>
          <c:h val="0.668600806342570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9620051085568352E-3"/>
                  <c:y val="4.01608187134502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E33-495B-82A1-C9D7EB90A04B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'WSW AG'!$B$2:$E$2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AG'!$B$3:$E$3</c:f>
              <c:numCache>
                <c:formatCode>#,##0</c:formatCode>
                <c:ptCount val="4"/>
                <c:pt idx="0">
                  <c:v>56484</c:v>
                </c:pt>
                <c:pt idx="1">
                  <c:v>51436</c:v>
                </c:pt>
                <c:pt idx="2">
                  <c:v>56382</c:v>
                </c:pt>
                <c:pt idx="3">
                  <c:v>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3-495B-82A1-C9D7EB90A0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675136"/>
        <c:axId val="73677824"/>
      </c:barChart>
      <c:catAx>
        <c:axId val="73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67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677824"/>
        <c:scaling>
          <c:orientation val="minMax"/>
          <c:max val="6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3675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5135357808284422"/>
          <c:y val="5.1067768472403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01274316005967"/>
          <c:y val="0.22777852030488432"/>
          <c:w val="0.73873421162163577"/>
          <c:h val="0.635557655293133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-565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CC-4340-937F-392F6C25DA4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Netz 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Netz '!$B$3:$E$3</c:f>
              <c:numCache>
                <c:formatCode>#,##0</c:formatCode>
                <c:ptCount val="4"/>
                <c:pt idx="0">
                  <c:v>3101</c:v>
                </c:pt>
                <c:pt idx="1">
                  <c:v>5948</c:v>
                </c:pt>
                <c:pt idx="2">
                  <c:v>5447</c:v>
                </c:pt>
                <c:pt idx="3">
                  <c:v>-565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C-4340-937F-392F6C25DA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700288"/>
        <c:axId val="77612544"/>
      </c:barChart>
      <c:catAx>
        <c:axId val="767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61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12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670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3834941050375141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49458462443038"/>
          <c:y val="0.27245659747077638"/>
          <c:w val="0.74569444444450572"/>
          <c:h val="0.608890988626426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1543682240721078E-2"/>
                  <c:y val="-0.102960439036029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4E-49DD-B9A5-795161166488}"/>
                </c:ext>
              </c:extLst>
            </c:dLbl>
            <c:dLbl>
              <c:idx val="1"/>
              <c:layout>
                <c:manualLayout>
                  <c:x val="-1.4986955468808174E-2"/>
                  <c:y val="-8.56028632784537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4E-49DD-B9A5-795161166488}"/>
                </c:ext>
              </c:extLst>
            </c:dLbl>
            <c:dLbl>
              <c:idx val="2"/>
              <c:layout>
                <c:manualLayout>
                  <c:x val="-1.8179800695644753E-2"/>
                  <c:y val="-3.4366754155730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4E-49DD-B9A5-795161166488}"/>
                </c:ext>
              </c:extLst>
            </c:dLbl>
            <c:dLbl>
              <c:idx val="3"/>
              <c:layout>
                <c:manualLayout>
                  <c:x val="-2.8342468850272577E-2"/>
                  <c:y val="-3.5699954709167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4E-49DD-B9A5-79516116648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Netz 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Netz '!$B$6:$E$6</c:f>
              <c:numCache>
                <c:formatCode>0.0%</c:formatCode>
                <c:ptCount val="4"/>
                <c:pt idx="0">
                  <c:v>0.12371402526370621</c:v>
                </c:pt>
                <c:pt idx="1">
                  <c:v>0.22088808337109198</c:v>
                </c:pt>
                <c:pt idx="2">
                  <c:v>0.12120835405271009</c:v>
                </c:pt>
                <c:pt idx="3">
                  <c:v>0.12741766858337689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4E-49DD-B9A5-7951611664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398400"/>
        <c:axId val="77401088"/>
      </c:lineChart>
      <c:catAx>
        <c:axId val="773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4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401088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39840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8523793221500434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54118773947524"/>
          <c:y val="0.23809523809525002"/>
          <c:w val="0.77441858237549765"/>
          <c:h val="0.6283391405342624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5864452835534132E-2"/>
                  <c:y val="5.0348706411698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B2-4F62-A85A-6F4FA41EC12B}"/>
                </c:ext>
              </c:extLst>
            </c:dLbl>
            <c:dLbl>
              <c:idx val="1"/>
              <c:layout>
                <c:manualLayout>
                  <c:x val="-4.9559899251973516E-2"/>
                  <c:y val="5.1933752183416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B2-4F62-A85A-6F4FA41EC12B}"/>
                </c:ext>
              </c:extLst>
            </c:dLbl>
            <c:dLbl>
              <c:idx val="2"/>
              <c:layout>
                <c:manualLayout>
                  <c:x val="-3.946686125749399E-2"/>
                  <c:y val="5.8449888885840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B2-4F62-A85A-6F4FA41EC12B}"/>
                </c:ext>
              </c:extLst>
            </c:dLbl>
            <c:dLbl>
              <c:idx val="3"/>
              <c:layout>
                <c:manualLayout>
                  <c:x val="-4.2690239868537934E-2"/>
                  <c:y val="4.3448471380101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B2-4F62-A85A-6F4FA41EC12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NBG!$B$5:$E$5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NBG!$B$6:$E$6</c:f>
              <c:numCache>
                <c:formatCode>0.0%</c:formatCode>
                <c:ptCount val="4"/>
                <c:pt idx="0">
                  <c:v>0.4946328164934401</c:v>
                </c:pt>
                <c:pt idx="1">
                  <c:v>0.56000000000000005</c:v>
                </c:pt>
                <c:pt idx="2">
                  <c:v>0.55202469584165603</c:v>
                </c:pt>
                <c:pt idx="3">
                  <c:v>0.54766949152542377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2-4F62-A85A-6F4FA41EC1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445760"/>
        <c:axId val="77489664"/>
      </c:lineChart>
      <c:catAx>
        <c:axId val="774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48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489664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44576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8564102564102591"/>
          <c:y val="2.90360046457607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64134867757444"/>
          <c:y val="0.21951219512196476"/>
          <c:w val="0.81128334342822528"/>
          <c:h val="0.637630662020935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  <a:scene3d>
                <a:camera prst="orthographicFront"/>
                <a:lightRig rig="threePt" dir="t"/>
              </a:scene3d>
              <a:sp3d>
                <a:bevelB h="6350"/>
              </a:sp3d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NBG!$B$2:$E$2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NBG!$B$3:$E$3</c:f>
              <c:numCache>
                <c:formatCode>#,##0</c:formatCode>
                <c:ptCount val="4"/>
                <c:pt idx="0">
                  <c:v>275</c:v>
                </c:pt>
                <c:pt idx="1">
                  <c:v>101</c:v>
                </c:pt>
                <c:pt idx="2">
                  <c:v>87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9-485D-BC7D-79C0696A96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7508992"/>
        <c:axId val="77511680"/>
      </c:barChart>
      <c:catAx>
        <c:axId val="775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5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511680"/>
        <c:scaling>
          <c:orientation val="minMax"/>
          <c:max val="5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50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5039399744573131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9834637544975"/>
          <c:y val="0.25444514435695526"/>
          <c:w val="0.84661514833865581"/>
          <c:h val="0.608890988626426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EDW!$B$2:$E$2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EDW!$B$3:$E$3</c:f>
              <c:numCache>
                <c:formatCode>#,##0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-11</c:v>
                </c:pt>
                <c:pt idx="3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1-48E5-BE40-1185C9CFEA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568640"/>
        <c:axId val="77575680"/>
      </c:barChart>
      <c:catAx>
        <c:axId val="775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57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575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568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5433521730029987"/>
          <c:y val="2.7777777777780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8397500925882"/>
          <c:y val="0.22777847769028872"/>
          <c:w val="0.76928103312242768"/>
          <c:h val="0.6355576552931235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4005305788402068E-2"/>
                  <c:y val="-7.6677865266841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AC-46A5-AB01-821F5F872013}"/>
                </c:ext>
              </c:extLst>
            </c:dLbl>
            <c:dLbl>
              <c:idx val="1"/>
              <c:layout>
                <c:manualLayout>
                  <c:x val="-8.8934044534755868E-2"/>
                  <c:y val="-6.1344531933509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AC-46A5-AB01-821F5F872013}"/>
                </c:ext>
              </c:extLst>
            </c:dLbl>
            <c:dLbl>
              <c:idx val="2"/>
              <c:layout>
                <c:manualLayout>
                  <c:x val="-8.7589817401856992E-2"/>
                  <c:y val="-5.6677865266841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AC-46A5-AB01-821F5F872013}"/>
                </c:ext>
              </c:extLst>
            </c:dLbl>
            <c:dLbl>
              <c:idx val="3"/>
              <c:layout>
                <c:manualLayout>
                  <c:x val="-1.4336917562722996E-2"/>
                  <c:y val="-4.4444444444444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AC-46A5-AB01-821F5F87201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EDW!$B$5:$E$5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EDW!$B$6:$E$6</c:f>
              <c:numCache>
                <c:formatCode>0.0%</c:formatCode>
                <c:ptCount val="4"/>
                <c:pt idx="0">
                  <c:v>0.87654320987654322</c:v>
                </c:pt>
                <c:pt idx="1">
                  <c:v>0.86585365853658536</c:v>
                </c:pt>
                <c:pt idx="2">
                  <c:v>0.86746987951807231</c:v>
                </c:pt>
                <c:pt idx="3">
                  <c:v>0.86746987951807231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C-46A5-AB01-821F5F8720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000512"/>
        <c:axId val="78003200"/>
      </c:lineChart>
      <c:catAx>
        <c:axId val="780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800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003200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8000512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8120155038759694"/>
          <c:y val="1.8888888888889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1438964703807"/>
          <c:y val="0.22000069444444445"/>
          <c:w val="0.84205426356590063"/>
          <c:h val="0.64333543307091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BTV!$B$2:$E$2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BTV!$B$3:$E$3</c:f>
              <c:numCache>
                <c:formatCode>#,##0</c:formatCode>
                <c:ptCount val="4"/>
                <c:pt idx="0">
                  <c:v>59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A-4C7C-92D5-7044C2AA52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736576"/>
        <c:axId val="77768192"/>
      </c:barChart>
      <c:catAx>
        <c:axId val="777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7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768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736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</a:t>
            </a:r>
            <a:r>
              <a:rPr lang="de-DE" sz="1200" baseline="0">
                <a:latin typeface="+mn-lt"/>
              </a:rPr>
              <a:t> %)</a:t>
            </a:r>
            <a:endParaRPr lang="de-DE" sz="1200">
              <a:latin typeface="+mn-lt"/>
            </a:endParaRPr>
          </a:p>
        </c:rich>
      </c:tx>
      <c:layout>
        <c:manualLayout>
          <c:xMode val="edge"/>
          <c:yMode val="edge"/>
          <c:x val="0.14660951048740894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483397190433"/>
          <c:y val="0.21960599415205556"/>
          <c:w val="0.80153799489140998"/>
          <c:h val="0.680864766081871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7989531394535109E-2"/>
                  <c:y val="-3.57872265966754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19-4E62-9A85-31A866B130EB}"/>
                </c:ext>
              </c:extLst>
            </c:dLbl>
            <c:dLbl>
              <c:idx val="1"/>
              <c:layout>
                <c:manualLayout>
                  <c:x val="-9.3003933247599063E-2"/>
                  <c:y val="-4.9349431321084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19-4E62-9A85-31A866B130EB}"/>
                </c:ext>
              </c:extLst>
            </c:dLbl>
            <c:dLbl>
              <c:idx val="2"/>
              <c:layout>
                <c:manualLayout>
                  <c:x val="-6.7454519474463973E-2"/>
                  <c:y val="-3.7959405074366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19-4E62-9A85-31A866B130EB}"/>
                </c:ext>
              </c:extLst>
            </c:dLbl>
            <c:dLbl>
              <c:idx val="3"/>
              <c:layout>
                <c:manualLayout>
                  <c:x val="-5.7306590257885461E-2"/>
                  <c:y val="-5.3333333333334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19-4E62-9A85-31A866B130E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BTV!$B$5:$E$5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BTV!$B$6:$E$6</c:f>
              <c:numCache>
                <c:formatCode>0.0%</c:formatCode>
                <c:ptCount val="4"/>
                <c:pt idx="0">
                  <c:v>5.9363194819212088E-2</c:v>
                </c:pt>
                <c:pt idx="1">
                  <c:v>6.5986802639472111E-2</c:v>
                </c:pt>
                <c:pt idx="2">
                  <c:v>6.7237163814180934E-2</c:v>
                </c:pt>
                <c:pt idx="3">
                  <c:v>6.8792995622263917E-2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9-4E62-9A85-31A866B130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791616"/>
        <c:axId val="77794304"/>
      </c:lineChart>
      <c:catAx>
        <c:axId val="777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79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794304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791616"/>
        <c:crosses val="autoZero"/>
        <c:crossBetween val="between"/>
        <c:majorUnit val="0.25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Entwicklung des Jahresergebnisses </a:t>
            </a:r>
          </a:p>
          <a:p>
            <a:pPr>
              <a:defRPr sz="1200"/>
            </a:pPr>
            <a:r>
              <a:rPr lang="de-DE" sz="1200"/>
              <a:t>(in T€)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'WSW345'!$B$2:$E$2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'WSW345'!$B$3:$E$3</c:f>
              <c:numCache>
                <c:formatCode>#,##0</c:formatCode>
                <c:ptCount val="4"/>
                <c:pt idx="0">
                  <c:v>-484</c:v>
                </c:pt>
                <c:pt idx="1">
                  <c:v>-980</c:v>
                </c:pt>
                <c:pt idx="2">
                  <c:v>-954</c:v>
                </c:pt>
                <c:pt idx="3">
                  <c:v>-1330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E-45EC-A12A-ABE30B6D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40384"/>
        <c:axId val="77841920"/>
      </c:barChart>
      <c:catAx>
        <c:axId val="778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77841920"/>
        <c:crosses val="autoZero"/>
        <c:auto val="1"/>
        <c:lblAlgn val="ctr"/>
        <c:lblOffset val="100"/>
        <c:noMultiLvlLbl val="0"/>
      </c:catAx>
      <c:valAx>
        <c:axId val="77841920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78403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409724409448819"/>
          <c:y val="3.47299029481779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15846456693943"/>
          <c:y val="0.27259842519686567"/>
          <c:w val="0.7432335958005245"/>
          <c:h val="0.602021607764188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805191017789443E-3"/>
                  <c:y val="-1.6762262515350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72B-4DDD-9CD8-2CB25BF5A3CA}"/>
                </c:ext>
              </c:extLst>
            </c:dLbl>
            <c:dLbl>
              <c:idx val="1"/>
              <c:layout>
                <c:manualLayout>
                  <c:x val="7.175716247272858E-3"/>
                  <c:y val="1.19015546684645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72B-4DDD-9CD8-2CB25BF5A3C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'WSW GmbH'!$B$2:$E$2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GmbH'!$B$3:$E$3</c:f>
              <c:numCache>
                <c:formatCode>#,##0</c:formatCode>
                <c:ptCount val="4"/>
                <c:pt idx="0">
                  <c:v>5676</c:v>
                </c:pt>
                <c:pt idx="1">
                  <c:v>382</c:v>
                </c:pt>
                <c:pt idx="2">
                  <c:v>799</c:v>
                </c:pt>
                <c:pt idx="3">
                  <c:v>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B-4DDD-9CD8-2CB25BF5A3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373504"/>
        <c:axId val="174556672"/>
      </c:barChart>
      <c:catAx>
        <c:axId val="1743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455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556672"/>
        <c:scaling>
          <c:orientation val="minMax"/>
          <c:min val="-20000"/>
        </c:scaling>
        <c:delete val="0"/>
        <c:axPos val="l"/>
        <c:numFmt formatCode="#,##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4373504"/>
        <c:crosses val="autoZero"/>
        <c:crossBetween val="between"/>
        <c:majorUnit val="10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12191358024692"/>
          <c:y val="0.25839513888888876"/>
          <c:w val="0.76590293742020465"/>
          <c:h val="0.5677686403509000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</a:ln>
          </c:spPr>
          <c:marker>
            <c:symbol val="diamond"/>
            <c:size val="5"/>
            <c:spPr>
              <a:solidFill>
                <a:schemeClr val="accent2"/>
              </a:solidFill>
            </c:spPr>
          </c:marker>
          <c:dLbls>
            <c:dLbl>
              <c:idx val="0"/>
              <c:layout>
                <c:manualLayout>
                  <c:x val="-3.7557098765432097E-2"/>
                  <c:y val="-4.165451388888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99-4D31-A338-EED5CF91FE0B}"/>
                </c:ext>
              </c:extLst>
            </c:dLbl>
            <c:dLbl>
              <c:idx val="1"/>
              <c:layout>
                <c:manualLayout>
                  <c:x val="-5.0440740740740737E-2"/>
                  <c:y val="-3.7327083333333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99-4D31-A338-EED5CF91FE0B}"/>
                </c:ext>
              </c:extLst>
            </c:dLbl>
            <c:dLbl>
              <c:idx val="2"/>
              <c:layout>
                <c:manualLayout>
                  <c:x val="-6.1634876543209857E-2"/>
                  <c:y val="-5.1060069444444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99-4D31-A338-EED5CF91FE0B}"/>
                </c:ext>
              </c:extLst>
            </c:dLbl>
            <c:dLbl>
              <c:idx val="3"/>
              <c:layout>
                <c:manualLayout>
                  <c:x val="-5.6092901234567914E-2"/>
                  <c:y val="-4.2240624999999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99-4D31-A338-EED5CF91FE0B}"/>
                </c:ext>
              </c:extLst>
            </c:dLbl>
            <c:spPr>
              <a:ln>
                <a:noFill/>
              </a:ln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'WSW345'!$B$5:$E$5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'WSW345'!$B$6:$E$6</c:f>
              <c:numCache>
                <c:formatCode>0.0%</c:formatCode>
                <c:ptCount val="4"/>
                <c:pt idx="0">
                  <c:v>5.0520965692503174E-2</c:v>
                </c:pt>
                <c:pt idx="1">
                  <c:v>4.1179882343193308E-2</c:v>
                </c:pt>
                <c:pt idx="2">
                  <c:v>5.2107360033550008E-2</c:v>
                </c:pt>
                <c:pt idx="3">
                  <c:v>4.978962131837307E-2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9-4D31-A338-EED5CF91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8784"/>
        <c:axId val="77880704"/>
      </c:lineChart>
      <c:catAx>
        <c:axId val="778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  <a:cs typeface="Arial" pitchFamily="34" charset="0"/>
                  </a:defRPr>
                </a:pPr>
                <a:r>
                  <a:rPr lang="de-DE" sz="1200">
                    <a:latin typeface="+mn-lt"/>
                    <a:cs typeface="Arial" pitchFamily="34" charset="0"/>
                  </a:rPr>
                  <a:t>Entwicklung</a:t>
                </a:r>
                <a:r>
                  <a:rPr lang="de-DE" sz="1200" baseline="0">
                    <a:latin typeface="+mn-lt"/>
                    <a:cs typeface="Arial" pitchFamily="34" charset="0"/>
                  </a:rPr>
                  <a:t> der Eigenkapitalquote </a:t>
                </a:r>
              </a:p>
              <a:p>
                <a:pPr>
                  <a:defRPr sz="1200">
                    <a:latin typeface="+mn-lt"/>
                    <a:cs typeface="Arial" pitchFamily="34" charset="0"/>
                  </a:defRPr>
                </a:pPr>
                <a:r>
                  <a:rPr lang="de-DE" sz="1200" baseline="0">
                    <a:latin typeface="+mn-lt"/>
                    <a:cs typeface="Arial" pitchFamily="34" charset="0"/>
                  </a:rPr>
                  <a:t>(in %)</a:t>
                </a:r>
                <a:endParaRPr lang="de-DE" sz="12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12839444444444911"/>
              <c:y val="4.3861805555555557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  <a:cs typeface="Arial" pitchFamily="34" charset="0"/>
              </a:defRPr>
            </a:pPr>
            <a:endParaRPr lang="de-DE"/>
          </a:p>
        </c:txPr>
        <c:crossAx val="77880704"/>
        <c:crosses val="autoZero"/>
        <c:auto val="1"/>
        <c:lblAlgn val="ctr"/>
        <c:lblOffset val="100"/>
        <c:noMultiLvlLbl val="0"/>
      </c:catAx>
      <c:valAx>
        <c:axId val="77880704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  <a:cs typeface="Arial" pitchFamily="34" charset="0"/>
              </a:defRPr>
            </a:pPr>
            <a:endParaRPr lang="de-DE"/>
          </a:p>
        </c:txPr>
        <c:crossAx val="77878784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6330842911877388"/>
          <c:y val="2.7777777777780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58461047254154"/>
          <c:y val="0.1933340643274854"/>
          <c:w val="0.81307024265646965"/>
          <c:h val="0.665360380116929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Energielösungen'!$B$2:$E$2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Energielösungen'!$B$3:$E$3</c:f>
              <c:numCache>
                <c:formatCode>#,##0</c:formatCode>
                <c:ptCount val="4"/>
                <c:pt idx="0">
                  <c:v>5</c:v>
                </c:pt>
                <c:pt idx="1">
                  <c:v>-35</c:v>
                </c:pt>
                <c:pt idx="2">
                  <c:v>-16</c:v>
                </c:pt>
                <c:pt idx="3">
                  <c:v>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A-4CFC-B81D-60FB390D22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757632"/>
        <c:axId val="76785152"/>
      </c:barChart>
      <c:catAx>
        <c:axId val="767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678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85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6757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5743518518520438"/>
          <c:y val="3.20248538011696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7720306513441"/>
          <c:y val="0.23511038011697191"/>
          <c:w val="0.75629533844191565"/>
          <c:h val="0.6421513157895077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3959731543624206E-2"/>
                  <c:y val="4.8888888888888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B2-4C7E-97F2-DF91CB0EC90F}"/>
                </c:ext>
              </c:extLst>
            </c:dLbl>
            <c:dLbl>
              <c:idx val="1"/>
              <c:layout>
                <c:manualLayout>
                  <c:x val="-6.618992298093887E-2"/>
                  <c:y val="7.2633454982442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B2-4C7E-97F2-DF91CB0EC90F}"/>
                </c:ext>
              </c:extLst>
            </c:dLbl>
            <c:dLbl>
              <c:idx val="2"/>
              <c:layout>
                <c:manualLayout>
                  <c:x val="-4.4604086845467024E-2"/>
                  <c:y val="4.6418128654970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B2-4C7E-97F2-DF91CB0EC90F}"/>
                </c:ext>
              </c:extLst>
            </c:dLbl>
            <c:dLbl>
              <c:idx val="3"/>
              <c:layout>
                <c:manualLayout>
                  <c:x val="-7.2988505747126439E-2"/>
                  <c:y val="4.1776315789473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B2-4C7E-97F2-DF91CB0EC90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Energielösungen'!$B$5:$E$5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Energielösungen'!$B$6:$E$6</c:f>
              <c:numCache>
                <c:formatCode>0.0%</c:formatCode>
                <c:ptCount val="4"/>
                <c:pt idx="0">
                  <c:v>0.96871628910463858</c:v>
                </c:pt>
                <c:pt idx="1">
                  <c:v>0.94420131291028442</c:v>
                </c:pt>
                <c:pt idx="2">
                  <c:v>0.99064327485380121</c:v>
                </c:pt>
                <c:pt idx="3">
                  <c:v>0.99266503667481665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2-4C7E-97F2-DF91CB0EC9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910784"/>
        <c:axId val="77913472"/>
      </c:lineChart>
      <c:catAx>
        <c:axId val="779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91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91347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791078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95342037941494"/>
          <c:y val="0.20417833187518244"/>
          <c:w val="0.76149107943785665"/>
          <c:h val="0.647434383202099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'GDF SUEZ Kraftwerk. 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'GDF SUEZ Kraftwerk. '!$B$3:$E$3</c:f>
              <c:numCache>
                <c:formatCode>#,##0</c:formatCode>
                <c:ptCount val="4"/>
                <c:pt idx="0">
                  <c:v>88953</c:v>
                </c:pt>
                <c:pt idx="1">
                  <c:v>10409</c:v>
                </c:pt>
                <c:pt idx="2">
                  <c:v>-531448</c:v>
                </c:pt>
                <c:pt idx="3">
                  <c:v>39070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D-4C7E-BB26-614995135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14624"/>
        <c:axId val="82716544"/>
      </c:barChart>
      <c:catAx>
        <c:axId val="827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des Jahresergebnisses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 T€) </a:t>
                </a:r>
              </a:p>
            </c:rich>
          </c:tx>
          <c:layout>
            <c:manualLayout>
              <c:xMode val="edge"/>
              <c:yMode val="edge"/>
              <c:x val="0.17909135802469675"/>
              <c:y val="2.2418750000000001E-2"/>
            </c:manualLayout>
          </c:layout>
          <c:overlay val="0"/>
          <c:spPr>
            <a:noFill/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2716544"/>
        <c:crosses val="autoZero"/>
        <c:auto val="1"/>
        <c:lblAlgn val="ctr"/>
        <c:lblOffset val="100"/>
        <c:noMultiLvlLbl val="0"/>
      </c:catAx>
      <c:valAx>
        <c:axId val="82716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27146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81142129961025"/>
          <c:y val="0.20417833187518244"/>
          <c:w val="0.75267318857873189"/>
          <c:h val="0.676114756488835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9.9447513812154609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0C-4D72-9170-6642D6FAA014}"/>
                </c:ext>
              </c:extLst>
            </c:dLbl>
            <c:dLbl>
              <c:idx val="1"/>
              <c:layout>
                <c:manualLayout>
                  <c:x val="-9.20810313075504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0C-4D72-9170-6642D6FAA014}"/>
                </c:ext>
              </c:extLst>
            </c:dLbl>
            <c:dLbl>
              <c:idx val="2"/>
              <c:layout>
                <c:manualLayout>
                  <c:x val="-9.0154320987662628E-2"/>
                  <c:y val="-3.968749999999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0C-4D72-9170-6642D6FAA014}"/>
                </c:ext>
              </c:extLst>
            </c:dLbl>
            <c:dLbl>
              <c:idx val="3"/>
              <c:layout>
                <c:manualLayout>
                  <c:x val="-4.7037037037040846E-2"/>
                  <c:y val="-4.409722222222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0C-4D72-9170-6642D6FAA0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'GDF SUEZ Kraftwerk. 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'GDF SUEZ Kraftwerk. '!$B$6:$E$6</c:f>
              <c:numCache>
                <c:formatCode>0.0%</c:formatCode>
                <c:ptCount val="4"/>
                <c:pt idx="0">
                  <c:v>0.94397512525978311</c:v>
                </c:pt>
                <c:pt idx="1">
                  <c:v>0.96424508865388769</c:v>
                </c:pt>
                <c:pt idx="2">
                  <c:v>0.95064501561910797</c:v>
                </c:pt>
                <c:pt idx="3">
                  <c:v>0.9187751731655377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C-4D72-9170-6642D6FA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44832"/>
        <c:axId val="82746752"/>
      </c:lineChart>
      <c:catAx>
        <c:axId val="827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der Eigenkapitalquote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</a:t>
                </a:r>
                <a:r>
                  <a:rPr lang="en-US" sz="1200" baseline="0">
                    <a:latin typeface="+mn-lt"/>
                  </a:rPr>
                  <a:t> %)</a:t>
                </a:r>
                <a:endParaRPr lang="en-US" sz="12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17499021713195778"/>
              <c:y val="1.47914843977840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2746752"/>
        <c:crosses val="autoZero"/>
        <c:auto val="1"/>
        <c:lblAlgn val="ctr"/>
        <c:lblOffset val="100"/>
        <c:noMultiLvlLbl val="0"/>
      </c:catAx>
      <c:valAx>
        <c:axId val="8274675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2744832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9783950617959"/>
          <c:y val="0.20417847222222221"/>
          <c:w val="0.76149107943785665"/>
          <c:h val="0.647434383202099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'ENGIE Windpark GmbH'!$B$2:$E$2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'ENGIE Windpark GmbH'!$B$3:$E$3</c:f>
              <c:numCache>
                <c:formatCode>#,##0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C-404A-A99C-B76DE264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0000"/>
        <c:axId val="82830848"/>
      </c:barChart>
      <c:catAx>
        <c:axId val="828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des Jahresergebnisses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 T€) </a:t>
                </a:r>
              </a:p>
            </c:rich>
          </c:tx>
          <c:layout>
            <c:manualLayout>
              <c:xMode val="edge"/>
              <c:yMode val="edge"/>
              <c:x val="0.10853575989782886"/>
              <c:y val="2.6828581871345028E-2"/>
            </c:manualLayout>
          </c:layout>
          <c:overlay val="0"/>
          <c:spPr>
            <a:noFill/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2830848"/>
        <c:crosses val="autoZero"/>
        <c:auto val="1"/>
        <c:lblAlgn val="ctr"/>
        <c:lblOffset val="100"/>
        <c:noMultiLvlLbl val="0"/>
      </c:catAx>
      <c:valAx>
        <c:axId val="82830848"/>
        <c:scaling>
          <c:orientation val="minMax"/>
          <c:max val="700"/>
          <c:min val="-1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28000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7438271605682"/>
          <c:y val="0.20417847222222221"/>
          <c:w val="0.75267318857873255"/>
          <c:h val="0.67611475648883657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accent2"/>
              </a:solidFill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9.9447513812154609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91-429C-90B0-C29B8009A349}"/>
                </c:ext>
              </c:extLst>
            </c:dLbl>
            <c:dLbl>
              <c:idx val="1"/>
              <c:layout>
                <c:manualLayout>
                  <c:x val="-9.20810313075504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91-429C-90B0-C29B8009A349}"/>
                </c:ext>
              </c:extLst>
            </c:dLbl>
            <c:dLbl>
              <c:idx val="2"/>
              <c:layout>
                <c:manualLayout>
                  <c:x val="-7.4963108706345302E-2"/>
                  <c:y val="5.2916666666666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91-429C-90B0-C29B8009A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'ENGIE Windpark GmbH'!$B$5:$E$5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'ENGIE Windpark GmbH'!$B$6:$E$6</c:f>
              <c:numCache>
                <c:formatCode>0.0%</c:formatCode>
                <c:ptCount val="4"/>
                <c:pt idx="0">
                  <c:v>0.79411764705882348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1-429C-90B0-C29B8009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0576"/>
        <c:axId val="82922496"/>
      </c:lineChart>
      <c:catAx>
        <c:axId val="829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der Eigenkapitalquote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</a:t>
                </a:r>
                <a:r>
                  <a:rPr lang="en-US" sz="1200" baseline="0">
                    <a:latin typeface="+mn-lt"/>
                  </a:rPr>
                  <a:t> %)</a:t>
                </a:r>
                <a:endParaRPr lang="en-US" sz="12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17499021713195795"/>
              <c:y val="1.47914843977840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2922496"/>
        <c:crosses val="autoZero"/>
        <c:auto val="1"/>
        <c:lblAlgn val="ctr"/>
        <c:lblOffset val="100"/>
        <c:noMultiLvlLbl val="0"/>
      </c:catAx>
      <c:valAx>
        <c:axId val="82922496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2920576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9783950617954"/>
          <c:y val="0.20417847222222221"/>
          <c:w val="0.76149107943785665"/>
          <c:h val="0.647434383202099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'ENGIE Windpark GmbH &amp; Co. KG'!$B$2:$E$2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'ENGIE Windpark GmbH &amp; Co. KG'!$B$3:$E$3</c:f>
              <c:numCache>
                <c:formatCode>#,##0</c:formatCode>
                <c:ptCount val="4"/>
                <c:pt idx="0">
                  <c:v>471</c:v>
                </c:pt>
                <c:pt idx="1">
                  <c:v>127</c:v>
                </c:pt>
                <c:pt idx="2">
                  <c:v>110</c:v>
                </c:pt>
                <c:pt idx="3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3-4528-8B60-55F4CF5E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47072"/>
        <c:axId val="83170432"/>
      </c:barChart>
      <c:catAx>
        <c:axId val="829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des Jahresergebnisses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 T€) </a:t>
                </a:r>
              </a:p>
            </c:rich>
          </c:tx>
          <c:layout>
            <c:manualLayout>
              <c:xMode val="edge"/>
              <c:yMode val="edge"/>
              <c:x val="0.10853575989782886"/>
              <c:y val="2.6828581871345028E-2"/>
            </c:manualLayout>
          </c:layout>
          <c:overlay val="0"/>
          <c:spPr>
            <a:noFill/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3170432"/>
        <c:crosses val="autoZero"/>
        <c:auto val="1"/>
        <c:lblAlgn val="ctr"/>
        <c:lblOffset val="100"/>
        <c:noMultiLvlLbl val="0"/>
      </c:catAx>
      <c:valAx>
        <c:axId val="83170432"/>
        <c:scaling>
          <c:orientation val="minMax"/>
          <c:max val="700"/>
          <c:min val="-1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294707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7438271605676"/>
          <c:y val="0.20417847222222221"/>
          <c:w val="0.75267318857873233"/>
          <c:h val="0.6761147564888361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accent2"/>
              </a:solidFill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9.9447513812154609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DD-49AD-8194-2CFA36DFE948}"/>
                </c:ext>
              </c:extLst>
            </c:dLbl>
            <c:dLbl>
              <c:idx val="1"/>
              <c:layout>
                <c:manualLayout>
                  <c:x val="-9.20810313075504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DD-49AD-8194-2CFA36DFE948}"/>
                </c:ext>
              </c:extLst>
            </c:dLbl>
            <c:dLbl>
              <c:idx val="2"/>
              <c:layout>
                <c:manualLayout>
                  <c:x val="-7.4963108706345302E-2"/>
                  <c:y val="5.2916666666666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DD-49AD-8194-2CFA36DFE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'ENGIE Windpark GmbH &amp; Co. KG'!$B$5:$E$5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'ENGIE Windpark GmbH &amp; Co. KG'!$B$6:$E$6</c:f>
              <c:numCache>
                <c:formatCode>0.0%</c:formatCode>
                <c:ptCount val="4"/>
                <c:pt idx="0">
                  <c:v>0.987474922734913</c:v>
                </c:pt>
                <c:pt idx="1">
                  <c:v>0.98539843934736349</c:v>
                </c:pt>
                <c:pt idx="2">
                  <c:v>0.973722351754994</c:v>
                </c:pt>
                <c:pt idx="3">
                  <c:v>0.98068984817742955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D-49AD-8194-2CFA36DF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19200"/>
        <c:axId val="83221120"/>
      </c:lineChart>
      <c:catAx>
        <c:axId val="832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der Eigenkapitalquote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</a:t>
                </a:r>
                <a:r>
                  <a:rPr lang="en-US" sz="1200" baseline="0">
                    <a:latin typeface="+mn-lt"/>
                  </a:rPr>
                  <a:t> %)</a:t>
                </a:r>
                <a:endParaRPr lang="en-US" sz="12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17499021713195789"/>
              <c:y val="1.47914843977840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3221120"/>
        <c:crosses val="autoZero"/>
        <c:auto val="1"/>
        <c:lblAlgn val="ctr"/>
        <c:lblOffset val="100"/>
        <c:noMultiLvlLbl val="0"/>
      </c:catAx>
      <c:valAx>
        <c:axId val="83221120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3219200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9783950617954"/>
          <c:y val="0.20417847222222221"/>
          <c:w val="0.76149107943785665"/>
          <c:h val="0.647434383202099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dLbl>
              <c:idx val="0"/>
              <c:layout>
                <c:manualLayout>
                  <c:x val="9.4604223344992869E-2"/>
                  <c:y val="5.2916666666666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DE-4037-BD81-0DA5F2168B52}"/>
                </c:ext>
              </c:extLst>
            </c:dLbl>
            <c:dLbl>
              <c:idx val="1"/>
              <c:layout>
                <c:manualLayout>
                  <c:x val="4.1132271019562121E-2"/>
                  <c:y val="1.3229166666666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DE-4037-BD81-0DA5F2168B52}"/>
                </c:ext>
              </c:extLst>
            </c:dLbl>
            <c:dLbl>
              <c:idx val="2"/>
              <c:layout>
                <c:manualLayout>
                  <c:x val="-0.32083171395258459"/>
                  <c:y val="0.14111111111111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-1.179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DE-4037-BD81-0DA5F2168B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Binnenwind!$B$2:$E$2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Binnenwind!$B$3:$E$3</c:f>
              <c:numCache>
                <c:formatCode>#,##0</c:formatCode>
                <c:ptCount val="4"/>
                <c:pt idx="0">
                  <c:v>-1179</c:v>
                </c:pt>
                <c:pt idx="1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E-4037-BD81-0DA5F216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44000"/>
        <c:axId val="83378944"/>
      </c:barChart>
      <c:catAx>
        <c:axId val="833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des Jahresergebnisses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 T€) </a:t>
                </a:r>
              </a:p>
            </c:rich>
          </c:tx>
          <c:layout>
            <c:manualLayout>
              <c:xMode val="edge"/>
              <c:yMode val="edge"/>
              <c:x val="0.10853575989782886"/>
              <c:y val="2.6828581871345028E-2"/>
            </c:manualLayout>
          </c:layout>
          <c:overlay val="0"/>
          <c:spPr>
            <a:noFill/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3378944"/>
        <c:crosses val="autoZero"/>
        <c:auto val="1"/>
        <c:lblAlgn val="ctr"/>
        <c:lblOffset val="100"/>
        <c:noMultiLvlLbl val="0"/>
      </c:catAx>
      <c:valAx>
        <c:axId val="83378944"/>
        <c:scaling>
          <c:orientation val="minMax"/>
          <c:max val="700"/>
          <c:min val="-12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33440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749452496781851"/>
          <c:y val="4.282407407407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74263169334196"/>
          <c:y val="0.24421369203850021"/>
          <c:w val="0.735451125934099"/>
          <c:h val="0.590279965004374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292397660818722"/>
                  <c:y val="-6.9444444444444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5D1-4340-983E-2EB9643BE5E9}"/>
                </c:ext>
              </c:extLst>
            </c:dLbl>
            <c:dLbl>
              <c:idx val="1"/>
              <c:layout>
                <c:manualLayout>
                  <c:x val="-0.10804144218814762"/>
                  <c:y val="-5.6272965879265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5D1-4340-983E-2EB9643BE5E9}"/>
                </c:ext>
              </c:extLst>
            </c:dLbl>
            <c:dLbl>
              <c:idx val="2"/>
              <c:layout>
                <c:manualLayout>
                  <c:x val="-7.4415434912750586E-2"/>
                  <c:y val="-4.9872411781860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5D1-4340-983E-2EB9643BE5E9}"/>
                </c:ext>
              </c:extLst>
            </c:dLbl>
            <c:dLbl>
              <c:idx val="3"/>
              <c:layout>
                <c:manualLayout>
                  <c:x val="-1.4186268117759164E-2"/>
                  <c:y val="-4.5763706620005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5D1-4340-983E-2EB9643BE5E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GmbH'!$B$5:$E$5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GmbH'!$B$6:$E$6</c:f>
              <c:numCache>
                <c:formatCode>0.0%</c:formatCode>
                <c:ptCount val="4"/>
                <c:pt idx="0">
                  <c:v>0.63088316837338143</c:v>
                </c:pt>
                <c:pt idx="1">
                  <c:v>0.61404381203061431</c:v>
                </c:pt>
                <c:pt idx="2">
                  <c:v>0.60708170798156957</c:v>
                </c:pt>
                <c:pt idx="3">
                  <c:v>0.5850880122953056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1-4340-983E-2EB9643BE5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653824"/>
        <c:axId val="174656512"/>
      </c:lineChart>
      <c:catAx>
        <c:axId val="17465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465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656512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465382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7438271605676"/>
          <c:y val="0.20417847222222221"/>
          <c:w val="0.75267318857873233"/>
          <c:h val="0.6761147564888361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accent2"/>
              </a:solidFill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9.9447513812154609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AF-4024-9637-6C16EFCC7A80}"/>
                </c:ext>
              </c:extLst>
            </c:dLbl>
            <c:dLbl>
              <c:idx val="1"/>
              <c:layout>
                <c:manualLayout>
                  <c:x val="-9.20810313075504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AF-4024-9637-6C16EFCC7A80}"/>
                </c:ext>
              </c:extLst>
            </c:dLbl>
            <c:dLbl>
              <c:idx val="2"/>
              <c:layout>
                <c:manualLayout>
                  <c:x val="-7.4963108706345302E-2"/>
                  <c:y val="5.2916666666666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AF-4024-9637-6C16EFCC7A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Binnenwind!$B$5:$E$5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Binnenwind!$B$6:$E$6</c:f>
              <c:numCache>
                <c:formatCode>0.0%</c:formatCode>
                <c:ptCount val="4"/>
                <c:pt idx="0">
                  <c:v>1.6897081413210445E-3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F-4024-9637-6C16EFCC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3136"/>
        <c:axId val="83405056"/>
      </c:lineChart>
      <c:catAx>
        <c:axId val="834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der Eigenkapitalquote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</a:t>
                </a:r>
                <a:r>
                  <a:rPr lang="en-US" sz="1200" baseline="0">
                    <a:latin typeface="+mn-lt"/>
                  </a:rPr>
                  <a:t> %)</a:t>
                </a:r>
                <a:endParaRPr lang="en-US" sz="12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17499021713195789"/>
              <c:y val="1.47914843977840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3405056"/>
        <c:crosses val="autoZero"/>
        <c:auto val="1"/>
        <c:lblAlgn val="ctr"/>
        <c:lblOffset val="100"/>
        <c:noMultiLvlLbl val="0"/>
      </c:catAx>
      <c:valAx>
        <c:axId val="83405056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3403136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9783950617954"/>
          <c:y val="0.20417847222222221"/>
          <c:w val="0.76149107943785665"/>
          <c:h val="0.647434383202099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'Binnenwind Verw GmbH'!$B$2:$E$2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'Binnenwind Verw GmbH'!$B$3:$E$3</c:f>
              <c:numCache>
                <c:formatCode>#,##0</c:formatCode>
                <c:ptCount val="4"/>
                <c:pt idx="0">
                  <c:v>-1179</c:v>
                </c:pt>
                <c:pt idx="1">
                  <c:v>-60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9-4C6C-B3DC-8F55C7AD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34624"/>
        <c:axId val="84644992"/>
      </c:barChart>
      <c:catAx>
        <c:axId val="846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des Jahresergebnisses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 T€) </a:t>
                </a:r>
              </a:p>
            </c:rich>
          </c:tx>
          <c:layout>
            <c:manualLayout>
              <c:xMode val="edge"/>
              <c:yMode val="edge"/>
              <c:x val="0.10853575989782886"/>
              <c:y val="2.6828581871345028E-2"/>
            </c:manualLayout>
          </c:layout>
          <c:overlay val="0"/>
          <c:spPr>
            <a:noFill/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4644992"/>
        <c:crosses val="autoZero"/>
        <c:auto val="1"/>
        <c:lblAlgn val="ctr"/>
        <c:lblOffset val="100"/>
        <c:noMultiLvlLbl val="0"/>
      </c:catAx>
      <c:valAx>
        <c:axId val="84644992"/>
        <c:scaling>
          <c:orientation val="minMax"/>
          <c:max val="700"/>
          <c:min val="-1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46346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7438271605676"/>
          <c:y val="0.20417847222222221"/>
          <c:w val="0.75267318857873233"/>
          <c:h val="0.6761147564888361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accent2"/>
              </a:solidFill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9.9447513812154609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F9-4B9A-A4A1-6CF5A09A9696}"/>
                </c:ext>
              </c:extLst>
            </c:dLbl>
            <c:dLbl>
              <c:idx val="1"/>
              <c:layout>
                <c:manualLayout>
                  <c:x val="-9.20810313075504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F9-4B9A-A4A1-6CF5A09A9696}"/>
                </c:ext>
              </c:extLst>
            </c:dLbl>
            <c:dLbl>
              <c:idx val="2"/>
              <c:layout>
                <c:manualLayout>
                  <c:x val="-7.4963108706345302E-2"/>
                  <c:y val="5.2916666666666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F9-4B9A-A4A1-6CF5A09A96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'Binnenwind Verw GmbH'!$B$5:$E$5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'Binnenwind Verw GmbH'!$B$6:$E$6</c:f>
              <c:numCache>
                <c:formatCode>0.0%</c:formatCode>
                <c:ptCount val="4"/>
                <c:pt idx="0">
                  <c:v>1.6897081413210445E-3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9-4B9A-A4A1-6CF5A09A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8800"/>
        <c:axId val="84670720"/>
      </c:lineChart>
      <c:catAx>
        <c:axId val="8466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der Eigenkapitalquote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</a:t>
                </a:r>
                <a:r>
                  <a:rPr lang="en-US" sz="1200" baseline="0">
                    <a:latin typeface="+mn-lt"/>
                  </a:rPr>
                  <a:t> %)</a:t>
                </a:r>
                <a:endParaRPr lang="en-US" sz="12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17499021713195789"/>
              <c:y val="1.47914843977840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4670720"/>
        <c:crosses val="autoZero"/>
        <c:auto val="1"/>
        <c:lblAlgn val="ctr"/>
        <c:lblOffset val="100"/>
        <c:noMultiLvlLbl val="0"/>
      </c:catAx>
      <c:valAx>
        <c:axId val="84670720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4668800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9783950617954"/>
          <c:y val="0.20417847222222221"/>
          <c:w val="0.76149107943785665"/>
          <c:h val="0.647434383202099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dLbl>
              <c:idx val="0"/>
              <c:layout>
                <c:manualLayout>
                  <c:x val="4.1132271019562123E-3"/>
                  <c:y val="3.9687847222222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A8-4833-AC12-306B96751C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'Kahlenberg II'!$B$2:$E$2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'Kahlenberg II'!$B$3:$E$3</c:f>
              <c:numCache>
                <c:formatCode>#,##0</c:formatCode>
                <c:ptCount val="4"/>
                <c:pt idx="0">
                  <c:v>-106</c:v>
                </c:pt>
                <c:pt idx="1">
                  <c:v>-62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8-4833-AC12-306B9675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82656"/>
        <c:axId val="84492672"/>
      </c:barChart>
      <c:catAx>
        <c:axId val="781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des Jahresergebnisses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 T€) </a:t>
                </a:r>
              </a:p>
            </c:rich>
          </c:tx>
          <c:layout>
            <c:manualLayout>
              <c:xMode val="edge"/>
              <c:yMode val="edge"/>
              <c:x val="0.10853575989782886"/>
              <c:y val="2.6828581871345028E-2"/>
            </c:manualLayout>
          </c:layout>
          <c:overlay val="0"/>
          <c:spPr>
            <a:noFill/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4492672"/>
        <c:crosses val="autoZero"/>
        <c:auto val="1"/>
        <c:lblAlgn val="ctr"/>
        <c:lblOffset val="100"/>
        <c:noMultiLvlLbl val="0"/>
      </c:catAx>
      <c:valAx>
        <c:axId val="84492672"/>
        <c:scaling>
          <c:orientation val="minMax"/>
          <c:max val="700"/>
          <c:min val="-11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7818265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7438271605676"/>
          <c:y val="0.20417847222222221"/>
          <c:w val="0.75267318857873233"/>
          <c:h val="0.6761147564888361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accent2"/>
              </a:solidFill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9.9447513812154609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56-474F-B49A-40B6CD580F1C}"/>
                </c:ext>
              </c:extLst>
            </c:dLbl>
            <c:dLbl>
              <c:idx val="1"/>
              <c:layout>
                <c:manualLayout>
                  <c:x val="-9.20810313075504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56-474F-B49A-40B6CD580F1C}"/>
                </c:ext>
              </c:extLst>
            </c:dLbl>
            <c:dLbl>
              <c:idx val="2"/>
              <c:layout>
                <c:manualLayout>
                  <c:x val="-7.4963108706345302E-2"/>
                  <c:y val="5.2916666666666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56-474F-B49A-40B6CD580F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'Kahlenberg II'!$B$5:$E$5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'Kahlenberg II'!$B$6:$E$6</c:f>
              <c:numCache>
                <c:formatCode>0.0%</c:formatCode>
                <c:ptCount val="4"/>
                <c:pt idx="0">
                  <c:v>0</c:v>
                </c:pt>
                <c:pt idx="1">
                  <c:v>0.17970049916805325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6-474F-B49A-40B6CD58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3248"/>
        <c:axId val="84535168"/>
      </c:lineChart>
      <c:catAx>
        <c:axId val="845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der Eigenkapitalquote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</a:t>
                </a:r>
                <a:r>
                  <a:rPr lang="en-US" sz="1200" baseline="0">
                    <a:latin typeface="+mn-lt"/>
                  </a:rPr>
                  <a:t> %)</a:t>
                </a:r>
                <a:endParaRPr lang="en-US" sz="12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17499021713195789"/>
              <c:y val="1.47914843977840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4535168"/>
        <c:crosses val="autoZero"/>
        <c:auto val="1"/>
        <c:lblAlgn val="ctr"/>
        <c:lblOffset val="100"/>
        <c:noMultiLvlLbl val="0"/>
      </c:catAx>
      <c:valAx>
        <c:axId val="8453516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4533248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39783950617954"/>
          <c:y val="0.20417847222222221"/>
          <c:w val="0.76149107943785665"/>
          <c:h val="0.647434383202099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'Kahlenberg III'!$B$2:$E$2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'Kahlenberg III'!$B$3:$E$3</c:f>
              <c:numCache>
                <c:formatCode>#,##0</c:formatCode>
                <c:ptCount val="4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F-4E1D-9F14-ACEBBC39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76128"/>
        <c:axId val="84578304"/>
      </c:barChart>
      <c:catAx>
        <c:axId val="845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des Jahresergebnisses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 T€) </a:t>
                </a:r>
              </a:p>
            </c:rich>
          </c:tx>
          <c:layout>
            <c:manualLayout>
              <c:xMode val="edge"/>
              <c:yMode val="edge"/>
              <c:x val="0.10853575989782886"/>
              <c:y val="2.6828581871345028E-2"/>
            </c:manualLayout>
          </c:layout>
          <c:overlay val="0"/>
          <c:spPr>
            <a:noFill/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4578304"/>
        <c:crosses val="autoZero"/>
        <c:auto val="1"/>
        <c:lblAlgn val="ctr"/>
        <c:lblOffset val="100"/>
        <c:noMultiLvlLbl val="0"/>
      </c:catAx>
      <c:valAx>
        <c:axId val="84578304"/>
        <c:scaling>
          <c:orientation val="minMax"/>
          <c:max val="700"/>
          <c:min val="-1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845761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7438271605676"/>
          <c:y val="0.20417847222222221"/>
          <c:w val="0.75267318857873233"/>
          <c:h val="0.6761147564888361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accent2"/>
              </a:solidFill>
            </a:ln>
          </c:spPr>
          <c:marker>
            <c:spPr>
              <a:solidFill>
                <a:srgbClr val="C0504D"/>
              </a:solidFill>
            </c:spPr>
          </c:marker>
          <c:dLbls>
            <c:dLbl>
              <c:idx val="0"/>
              <c:layout>
                <c:manualLayout>
                  <c:x val="-9.9447513812154609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C1-48FF-836B-38B34F6619A9}"/>
                </c:ext>
              </c:extLst>
            </c:dLbl>
            <c:dLbl>
              <c:idx val="1"/>
              <c:layout>
                <c:manualLayout>
                  <c:x val="-9.2081031307550479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C1-48FF-836B-38B34F6619A9}"/>
                </c:ext>
              </c:extLst>
            </c:dLbl>
            <c:dLbl>
              <c:idx val="2"/>
              <c:layout>
                <c:manualLayout>
                  <c:x val="-7.4963108706345302E-2"/>
                  <c:y val="5.2916666666666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C1-48FF-836B-38B34F6619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'Kahlenberg III'!$B$5:$E$5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'Kahlenberg III'!$B$6:$E$6</c:f>
              <c:numCache>
                <c:formatCode>0.0%</c:formatCode>
                <c:ptCount val="4"/>
                <c:pt idx="0">
                  <c:v>3.7641154328732745E-2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1-48FF-836B-38B34F66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24416"/>
        <c:axId val="97334784"/>
      </c:lineChart>
      <c:catAx>
        <c:axId val="973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Entwicklung der Eigenkapitalquote </a:t>
                </a:r>
              </a:p>
              <a:p>
                <a:pPr>
                  <a:defRPr sz="1200">
                    <a:latin typeface="+mn-lt"/>
                  </a:defRPr>
                </a:pPr>
                <a:r>
                  <a:rPr lang="en-US" sz="1200">
                    <a:latin typeface="+mn-lt"/>
                  </a:rPr>
                  <a:t>(in</a:t>
                </a:r>
                <a:r>
                  <a:rPr lang="en-US" sz="1200" baseline="0">
                    <a:latin typeface="+mn-lt"/>
                  </a:rPr>
                  <a:t> %)</a:t>
                </a:r>
                <a:endParaRPr lang="en-US" sz="12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17499021713195789"/>
              <c:y val="1.47914843977840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97334784"/>
        <c:crosses val="autoZero"/>
        <c:auto val="1"/>
        <c:lblAlgn val="ctr"/>
        <c:lblOffset val="100"/>
        <c:noMultiLvlLbl val="0"/>
      </c:catAx>
      <c:valAx>
        <c:axId val="97334784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97324416"/>
        <c:crosses val="autoZero"/>
        <c:crossBetween val="between"/>
        <c:majorUnit val="0.2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080363984674329"/>
          <c:y val="1.9480994152046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78959131545344"/>
          <c:y val="0.25219371345029229"/>
          <c:w val="0.78497541507024271"/>
          <c:h val="0.5915592105263157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3696604938275548E-2"/>
                  <c:y val="-4.1666666666666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4F-4831-AF9E-668C47B2398F}"/>
                </c:ext>
              </c:extLst>
            </c:dLbl>
            <c:dLbl>
              <c:idx val="1"/>
              <c:layout>
                <c:manualLayout>
                  <c:x val="-7.7759259259259264E-2"/>
                  <c:y val="-4.51673611111111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4F-4831-AF9E-668C47B2398F}"/>
                </c:ext>
              </c:extLst>
            </c:dLbl>
            <c:dLbl>
              <c:idx val="2"/>
              <c:layout>
                <c:manualLayout>
                  <c:x val="-4.9872839506172863E-2"/>
                  <c:y val="-4.2433680555557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4F-4831-AF9E-668C47B2398F}"/>
                </c:ext>
              </c:extLst>
            </c:dLbl>
            <c:dLbl>
              <c:idx val="3"/>
              <c:layout>
                <c:manualLayout>
                  <c:x val="-6.482407407407409E-2"/>
                  <c:y val="-4.9365972222222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4F-4831-AF9E-668C47B2398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mobil'!$B$5:$E$5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mobil'!$B$6:$E$6</c:f>
              <c:numCache>
                <c:formatCode>0.0%</c:formatCode>
                <c:ptCount val="4"/>
                <c:pt idx="0">
                  <c:v>0.15013248696968814</c:v>
                </c:pt>
                <c:pt idx="1">
                  <c:v>0.25984788284708821</c:v>
                </c:pt>
                <c:pt idx="2">
                  <c:v>0.25940910481759766</c:v>
                </c:pt>
                <c:pt idx="3">
                  <c:v>0.2361973160803009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4F-4831-AF9E-668C47B239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419648"/>
        <c:axId val="97422336"/>
      </c:lineChart>
      <c:catAx>
        <c:axId val="9741964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742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42233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741964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7246424010218603"/>
          <c:y val="2.78910818713450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9501915708824"/>
          <c:y val="0.25249342105263156"/>
          <c:w val="0.77986813537675603"/>
          <c:h val="0.58022039473680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1066458695194772E-3"/>
                  <c:y val="3.79240699001843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BF-42CF-B08D-64033B434D7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'WSW mobil'!$B$2:$E$2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'WSW mobil'!$B$3:$E$3</c:f>
              <c:numCache>
                <c:formatCode>#,##0</c:formatCode>
                <c:ptCount val="4"/>
                <c:pt idx="0">
                  <c:v>-46026</c:v>
                </c:pt>
                <c:pt idx="1">
                  <c:v>-44514</c:v>
                </c:pt>
                <c:pt idx="2">
                  <c:v>-51867</c:v>
                </c:pt>
                <c:pt idx="3">
                  <c:v>-53495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F-42CF-B08D-64033B434D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447296"/>
        <c:axId val="84173568"/>
      </c:barChart>
      <c:catAx>
        <c:axId val="974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8417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173568"/>
        <c:scaling>
          <c:orientation val="minMax"/>
          <c:max val="10000"/>
          <c:min val="-7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7447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464399744572267"/>
          <c:y val="3.20248538011696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1801801801803"/>
          <c:y val="0.23333403324584426"/>
          <c:w val="0.80968468468471477"/>
          <c:h val="0.630002099737532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Regiobahn!$B$2:$E$2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Regiobahn!$B$3:$E$3</c:f>
              <c:numCache>
                <c:formatCode>#,##0</c:formatCode>
                <c:ptCount val="4"/>
                <c:pt idx="0">
                  <c:v>122</c:v>
                </c:pt>
                <c:pt idx="1">
                  <c:v>104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C00-A517-9A7722D2CD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4242816"/>
        <c:axId val="84245504"/>
      </c:barChart>
      <c:catAx>
        <c:axId val="842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842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245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84242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(in %)</a:t>
            </a:r>
          </a:p>
        </c:rich>
      </c:tx>
      <c:layout>
        <c:manualLayout>
          <c:xMode val="edge"/>
          <c:yMode val="edge"/>
          <c:x val="0.19595371333300318"/>
          <c:y val="2.4390243902439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32980075604147"/>
          <c:y val="0.23112659698025537"/>
          <c:w val="0.78826193895574359"/>
          <c:h val="0.6353077816492450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777540864307212E-2"/>
                  <c:y val="-5.7644379818376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14-4461-B9F9-41A81335A958}"/>
                </c:ext>
              </c:extLst>
            </c:dLbl>
            <c:dLbl>
              <c:idx val="1"/>
              <c:layout>
                <c:manualLayout>
                  <c:x val="-2.1488342527812693E-2"/>
                  <c:y val="-6.383458165290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14-4461-B9F9-41A81335A958}"/>
                </c:ext>
              </c:extLst>
            </c:dLbl>
            <c:dLbl>
              <c:idx val="2"/>
              <c:layout>
                <c:manualLayout>
                  <c:x val="-2.1488141534219896E-2"/>
                  <c:y val="-6.6532049347489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4-4461-B9F9-41A81335A958}"/>
                </c:ext>
              </c:extLst>
            </c:dLbl>
            <c:dLbl>
              <c:idx val="3"/>
              <c:layout>
                <c:manualLayout>
                  <c:x val="-1.1779305287788783E-2"/>
                  <c:y val="-6.0074807722205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4-4461-B9F9-41A81335A95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GWH!$B$4:$E$4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GWH!$B$5:$E$5</c:f>
              <c:numCache>
                <c:formatCode>0.0%</c:formatCode>
                <c:ptCount val="4"/>
                <c:pt idx="0">
                  <c:v>8.4354246586643561E-2</c:v>
                </c:pt>
                <c:pt idx="1">
                  <c:v>8.9434094288463217E-2</c:v>
                </c:pt>
                <c:pt idx="2">
                  <c:v>9.7931232640551674E-2</c:v>
                </c:pt>
                <c:pt idx="3">
                  <c:v>0.10246004308833108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4-4461-B9F9-41A81335A9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430208"/>
        <c:axId val="100432896"/>
      </c:lineChart>
      <c:catAx>
        <c:axId val="100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0043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432896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0043020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6059770114943336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20083014049951"/>
          <c:y val="0.24535891812865487"/>
          <c:w val="0.7911819923371648"/>
          <c:h val="0.661565058479569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7056128293241747E-2"/>
                  <c:y val="-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12-4ED4-AEA0-CD5DC0EBD950}"/>
                </c:ext>
              </c:extLst>
            </c:dLbl>
            <c:dLbl>
              <c:idx val="1"/>
              <c:layout>
                <c:manualLayout>
                  <c:x val="-0.10538373424971363"/>
                  <c:y val="-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12-4ED4-AEA0-CD5DC0EBD950}"/>
                </c:ext>
              </c:extLst>
            </c:dLbl>
            <c:dLbl>
              <c:idx val="2"/>
              <c:layout>
                <c:manualLayout>
                  <c:x val="-0.13745704467353953"/>
                  <c:y val="-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12-4ED4-AEA0-CD5DC0EBD950}"/>
                </c:ext>
              </c:extLst>
            </c:dLbl>
            <c:dLbl>
              <c:idx val="3"/>
              <c:layout>
                <c:manualLayout>
                  <c:x val="-1.8327605956471937E-2"/>
                  <c:y val="-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12-4ED4-AEA0-CD5DC0EBD95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Regiobahn!$B$5:$E$5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Regiobahn!$B$6:$E$6</c:f>
              <c:numCache>
                <c:formatCode>0.0%</c:formatCode>
                <c:ptCount val="4"/>
                <c:pt idx="0">
                  <c:v>0.13094660194174756</c:v>
                </c:pt>
                <c:pt idx="1">
                  <c:v>0.1229767129797881</c:v>
                </c:pt>
                <c:pt idx="2">
                  <c:v>0.10473035581912528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2-4ED4-AEA0-CD5DC0EBD9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216"/>
        <c:axId val="84304640"/>
      </c:lineChart>
      <c:catAx>
        <c:axId val="842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8430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304640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8428121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988839161063044"/>
          <c:y val="2.4390243902439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05491698595138"/>
          <c:y val="0.2171933479532164"/>
          <c:w val="0.78728512132822459"/>
          <c:h val="0.6294967105263158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1248354593973643E-2"/>
                  <c:y val="-4.9823406220563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13-4041-A12F-B9BB0B1810B0}"/>
                </c:ext>
              </c:extLst>
            </c:dLbl>
            <c:dLbl>
              <c:idx val="1"/>
              <c:layout>
                <c:manualLayout>
                  <c:x val="-6.7634449376547473E-2"/>
                  <c:y val="-5.4483433473254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13-4041-A12F-B9BB0B1810B0}"/>
                </c:ext>
              </c:extLst>
            </c:dLbl>
            <c:dLbl>
              <c:idx val="2"/>
              <c:layout>
                <c:manualLayout>
                  <c:x val="-6.7002554278416532E-2"/>
                  <c:y val="5.10599415204677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13-4041-A12F-B9BB0B1810B0}"/>
                </c:ext>
              </c:extLst>
            </c:dLbl>
            <c:dLbl>
              <c:idx val="3"/>
              <c:layout>
                <c:manualLayout>
                  <c:x val="-3.1168582375478926E-2"/>
                  <c:y val="4.4380847953219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13-4041-A12F-B9BB0B1810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VSG!$B$5:$E$5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VSG!$B$6:$E$6</c:f>
              <c:numCache>
                <c:formatCode>0.0%</c:formatCode>
                <c:ptCount val="4"/>
                <c:pt idx="0">
                  <c:v>0.52664067576348284</c:v>
                </c:pt>
                <c:pt idx="1">
                  <c:v>0.3663535439795047</c:v>
                </c:pt>
                <c:pt idx="2">
                  <c:v>0.41832669322709165</c:v>
                </c:pt>
                <c:pt idx="3">
                  <c:v>0.35600335852225024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3-4041-A12F-B9BB0B181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058240"/>
        <c:axId val="78060928"/>
      </c:lineChart>
      <c:catAx>
        <c:axId val="780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806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060928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805824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4406809318327793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79629629630514"/>
          <c:y val="0.22164249639250044"/>
          <c:w val="0.820152735145395"/>
          <c:h val="0.638792102206738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VSG!$B$2:$E$2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VSG!$B$3:$E$3</c:f>
              <c:numCache>
                <c:formatCode>#,##0</c:formatCode>
                <c:ptCount val="4"/>
                <c:pt idx="0">
                  <c:v>410</c:v>
                </c:pt>
                <c:pt idx="1">
                  <c:v>-18</c:v>
                </c:pt>
                <c:pt idx="2">
                  <c:v>-10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5-40B0-98A0-7716E7A9B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088448"/>
        <c:axId val="78099584"/>
      </c:barChart>
      <c:catAx>
        <c:axId val="780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809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09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8088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</a:t>
            </a:r>
            <a:r>
              <a:rPr lang="de-DE" sz="1200" baseline="0">
                <a:latin typeface="+mn-lt"/>
              </a:rPr>
              <a:t> (in T€)</a:t>
            </a:r>
            <a:endParaRPr lang="de-DE" sz="1200">
              <a:latin typeface="+mn-lt"/>
            </a:endParaRPr>
          </a:p>
        </c:rich>
      </c:tx>
      <c:layout>
        <c:manualLayout>
          <c:xMode val="edge"/>
          <c:yMode val="edge"/>
          <c:x val="0.11764705882352942"/>
          <c:y val="3.2222222222222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7410666803904"/>
          <c:y val="0.2022229221347332"/>
          <c:w val="0.79847734719434549"/>
          <c:h val="0.661113210848643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GKE!$B$2:$E$2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GKE!$B$3:$E$3</c:f>
              <c:numCache>
                <c:formatCode>#,##0</c:formatCode>
                <c:ptCount val="4"/>
                <c:pt idx="0">
                  <c:v>85</c:v>
                </c:pt>
                <c:pt idx="1">
                  <c:v>90</c:v>
                </c:pt>
                <c:pt idx="2">
                  <c:v>80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7-465E-ADD4-E71A283ADF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394880"/>
        <c:axId val="98397568"/>
      </c:barChart>
      <c:catAx>
        <c:axId val="9839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39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397568"/>
        <c:scaling>
          <c:orientation val="minMax"/>
          <c:max val="2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39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(in %)</a:t>
            </a:r>
          </a:p>
        </c:rich>
      </c:tx>
      <c:layout>
        <c:manualLayout>
          <c:xMode val="edge"/>
          <c:yMode val="edge"/>
          <c:x val="0.13392139708027573"/>
          <c:y val="3.2222222222222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57837133103459"/>
          <c:y val="0.22444514435696558"/>
          <c:w val="0.7886730825313506"/>
          <c:h val="0.6388909886264517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348618187432457"/>
                  <c:y val="-5.1362379702537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92-48D9-AD25-9797836FC3E3}"/>
                </c:ext>
              </c:extLst>
            </c:dLbl>
            <c:dLbl>
              <c:idx val="1"/>
              <c:layout>
                <c:manualLayout>
                  <c:x val="-0.11220043572984748"/>
                  <c:y val="-5.7317585301837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92-48D9-AD25-9797836FC3E3}"/>
                </c:ext>
              </c:extLst>
            </c:dLbl>
            <c:dLbl>
              <c:idx val="2"/>
              <c:layout>
                <c:manualLayout>
                  <c:x val="-0.11437942806168842"/>
                  <c:y val="-5.5591251093613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92-48D9-AD25-9797836FC3E3}"/>
                </c:ext>
              </c:extLst>
            </c:dLbl>
            <c:dLbl>
              <c:idx val="3"/>
              <c:layout>
                <c:manualLayout>
                  <c:x val="-0.10592318117098529"/>
                  <c:y val="-5.8131583552055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92-48D9-AD25-9797836FC3E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GKE!$B$5:$E$5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GKE!$B$6:$E$6</c:f>
              <c:numCache>
                <c:formatCode>0.0%</c:formatCode>
                <c:ptCount val="4"/>
                <c:pt idx="0">
                  <c:v>0.21935483870967742</c:v>
                </c:pt>
                <c:pt idx="1">
                  <c:v>0.25659978880675821</c:v>
                </c:pt>
                <c:pt idx="2">
                  <c:v>0.3046875</c:v>
                </c:pt>
                <c:pt idx="3">
                  <c:v>0.33285302593659943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2-48D9-AD25-9797836FC3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8704"/>
        <c:axId val="98423936"/>
      </c:lineChart>
      <c:catAx>
        <c:axId val="984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42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42393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40870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8996934865901619"/>
          <c:y val="2.73633040935672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62420178800004"/>
          <c:y val="0.27727412280701752"/>
          <c:w val="0.7371443167305588"/>
          <c:h val="0.5734736842105266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6319636666576979E-2"/>
                  <c:y val="-4.8842793904493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F6-41B7-B626-01B410C90ED7}"/>
                </c:ext>
              </c:extLst>
            </c:dLbl>
            <c:dLbl>
              <c:idx val="1"/>
              <c:layout>
                <c:manualLayout>
                  <c:x val="-0.10196232296901472"/>
                  <c:y val="-4.7639362243898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F6-41B7-B626-01B410C90ED7}"/>
                </c:ext>
              </c:extLst>
            </c:dLbl>
            <c:dLbl>
              <c:idx val="2"/>
              <c:layout>
                <c:manualLayout>
                  <c:x val="-9.0301613322225499E-2"/>
                  <c:y val="-5.2445645786813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F6-41B7-B626-01B410C90ED7}"/>
                </c:ext>
              </c:extLst>
            </c:dLbl>
            <c:dLbl>
              <c:idx val="3"/>
              <c:layout>
                <c:manualLayout>
                  <c:x val="-3.6405005688285703E-2"/>
                  <c:y val="-5.4726759901282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F6-41B7-B626-01B410C90ED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AWG!$B$5:$E$5</c:f>
              <c:numCache>
                <c:formatCode>General</c:formatCode>
                <c:ptCount val="4"/>
                <c:pt idx="0" formatCode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AWG!$B$6:$E$6</c:f>
              <c:numCache>
                <c:formatCode>0.0%</c:formatCode>
                <c:ptCount val="4"/>
                <c:pt idx="0">
                  <c:v>0.17451702413570444</c:v>
                </c:pt>
                <c:pt idx="1">
                  <c:v>0.16314012104996983</c:v>
                </c:pt>
                <c:pt idx="2">
                  <c:v>0.16879346431706163</c:v>
                </c:pt>
                <c:pt idx="3">
                  <c:v>0.17966384893863582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6-41B7-B626-01B410C90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050816"/>
        <c:axId val="98053504"/>
      </c:lineChart>
      <c:catAx>
        <c:axId val="980508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05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053504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05081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Jahresergebnisses*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5454980842911994"/>
          <c:y val="2.3300073099415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19017318136582"/>
          <c:y val="0.25951644736842538"/>
          <c:w val="0.72992911877394662"/>
          <c:h val="0.617713450292402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AWG!$B$2:$E$2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AWG!$B$3:$E$3</c:f>
              <c:numCache>
                <c:formatCode>#,##0</c:formatCode>
                <c:ptCount val="4"/>
                <c:pt idx="0">
                  <c:v>5275</c:v>
                </c:pt>
                <c:pt idx="1">
                  <c:v>5342</c:v>
                </c:pt>
                <c:pt idx="2">
                  <c:v>7538</c:v>
                </c:pt>
                <c:pt idx="3">
                  <c:v>6222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4-4537-8FBE-221A6F5B82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081024"/>
        <c:axId val="98174080"/>
      </c:barChart>
      <c:catAx>
        <c:axId val="980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17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174080"/>
        <c:scaling>
          <c:orientation val="minMax"/>
          <c:max val="25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081024"/>
        <c:crosses val="autoZero"/>
        <c:crossBetween val="between"/>
        <c:maj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2872381864623245"/>
          <c:y val="3.20248538011696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550446998723"/>
          <c:y val="0.27614839181288042"/>
          <c:w val="0.86935695538059365"/>
          <c:h val="0.596668766404199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WVW!$B$3:$E$3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WVW!$B$4:$E$4</c:f>
              <c:numCache>
                <c:formatCode>#,##0</c:formatCode>
                <c:ptCount val="4"/>
                <c:pt idx="0">
                  <c:v>215</c:v>
                </c:pt>
                <c:pt idx="1">
                  <c:v>314</c:v>
                </c:pt>
                <c:pt idx="2">
                  <c:v>385</c:v>
                </c:pt>
                <c:pt idx="3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8-4C86-8584-81AB8D3DF8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214656"/>
        <c:axId val="98217344"/>
      </c:barChart>
      <c:catAx>
        <c:axId val="982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21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217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214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7101527871930094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00510855683544"/>
          <c:y val="0.230125"/>
          <c:w val="0.7606685091516"/>
          <c:h val="0.610002099737532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9468286662842678E-2"/>
                  <c:y val="4.2662817147856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3B-4A10-BE7A-D7FD047EAE22}"/>
                </c:ext>
              </c:extLst>
            </c:dLbl>
            <c:dLbl>
              <c:idx val="1"/>
              <c:layout>
                <c:manualLayout>
                  <c:x val="-0.10326189358780492"/>
                  <c:y val="5.5464216972878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3B-4A10-BE7A-D7FD047EAE22}"/>
                </c:ext>
              </c:extLst>
            </c:dLbl>
            <c:dLbl>
              <c:idx val="2"/>
              <c:layout>
                <c:manualLayout>
                  <c:x val="-5.0830682588517494E-2"/>
                  <c:y val="5.6101487314085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3B-4A10-BE7A-D7FD047EAE22}"/>
                </c:ext>
              </c:extLst>
            </c:dLbl>
            <c:dLbl>
              <c:idx val="3"/>
              <c:layout>
                <c:manualLayout>
                  <c:x val="-2.6727503432931798E-2"/>
                  <c:y val="4.9268591426072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3B-4A10-BE7A-D7FD047EAE2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WVW!$B$6:$E$6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WVW!$B$7:$E$7</c:f>
              <c:numCache>
                <c:formatCode>0.0%</c:formatCode>
                <c:ptCount val="4"/>
                <c:pt idx="0">
                  <c:v>0.43421052631578949</c:v>
                </c:pt>
                <c:pt idx="1">
                  <c:v>0.4403470715835141</c:v>
                </c:pt>
                <c:pt idx="2">
                  <c:v>0.34097158570119157</c:v>
                </c:pt>
                <c:pt idx="3">
                  <c:v>0.34202682563338299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B-4A10-BE7A-D7FD047EAE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741760"/>
        <c:axId val="174752896"/>
      </c:lineChart>
      <c:catAx>
        <c:axId val="1747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475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75289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474176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</a:t>
            </a:r>
            <a:r>
              <a:rPr lang="de-DE" sz="1200" baseline="0">
                <a:latin typeface="+mn-lt"/>
              </a:rPr>
              <a:t> T€)</a:t>
            </a:r>
            <a:endParaRPr lang="de-DE" sz="1200">
              <a:latin typeface="+mn-lt"/>
            </a:endParaRPr>
          </a:p>
        </c:rich>
      </c:tx>
      <c:layout>
        <c:manualLayout>
          <c:xMode val="edge"/>
          <c:yMode val="edge"/>
          <c:x val="0.19431113483695894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7375328083988"/>
          <c:y val="0.21111181102362206"/>
          <c:w val="0.81553414297789051"/>
          <c:h val="0.65222432195975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WLG!$B$3:$E$3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WLG!$B$4:$E$4</c:f>
              <c:numCache>
                <c:formatCode>#,##0</c:formatCode>
                <c:ptCount val="4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6-4471-A80B-C6CCDE194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808192"/>
        <c:axId val="98810880"/>
      </c:barChart>
      <c:catAx>
        <c:axId val="988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81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8108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808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t" anchorCtr="1"/>
          <a:lstStyle/>
          <a:p>
            <a:pPr algn="ctr">
              <a:defRPr/>
            </a:pPr>
            <a:r>
              <a:rPr lang="de-DE" sz="1200" b="1" i="0" baseline="0"/>
              <a:t>Entwicklung des Jahresergebnisses</a:t>
            </a:r>
            <a:endParaRPr lang="de-DE" sz="1200"/>
          </a:p>
          <a:p>
            <a:pPr algn="ctr">
              <a:defRPr/>
            </a:pPr>
            <a:r>
              <a:rPr lang="de-DE" sz="1200" b="1" i="0" baseline="0"/>
              <a:t>(in T€) *</a:t>
            </a:r>
            <a:endParaRPr lang="de-DE" sz="1200"/>
          </a:p>
        </c:rich>
      </c:tx>
      <c:layout>
        <c:manualLayout>
          <c:xMode val="edge"/>
          <c:yMode val="edge"/>
          <c:x val="0.17634408602150553"/>
          <c:y val="2.167020789068037E-2"/>
        </c:manualLayout>
      </c:layout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0.1738593885728732"/>
          <c:y val="0.22666916635420573"/>
          <c:w val="0.81353281382172749"/>
          <c:h val="0.65858601008207363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dLbls>
            <c:dLbl>
              <c:idx val="0"/>
              <c:layout>
                <c:manualLayout>
                  <c:x val="0"/>
                  <c:y val="0.137339055793991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73-4AFA-BDC8-BE93DFD7C41A}"/>
                </c:ext>
              </c:extLst>
            </c:dLbl>
            <c:dLbl>
              <c:idx val="1"/>
              <c:layout>
                <c:manualLayout>
                  <c:x val="4.6294422589979144E-3"/>
                  <c:y val="-5.92657677446972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73-4AFA-BDC8-BE93DFD7C4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GWH!$B$1:$E$1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GWH!$B$2:$E$2</c:f>
              <c:numCache>
                <c:formatCode>#,##0</c:formatCode>
                <c:ptCount val="4"/>
                <c:pt idx="0">
                  <c:v>-1293</c:v>
                </c:pt>
                <c:pt idx="1">
                  <c:v>-189</c:v>
                </c:pt>
                <c:pt idx="2">
                  <c:v>-506</c:v>
                </c:pt>
                <c:pt idx="3">
                  <c:v>-685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3-4AFA-BDC8-BE93DFD7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61952"/>
        <c:axId val="100463744"/>
      </c:barChart>
      <c:catAx>
        <c:axId val="1004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00463744"/>
        <c:crosses val="autoZero"/>
        <c:auto val="1"/>
        <c:lblAlgn val="ctr"/>
        <c:lblOffset val="100"/>
        <c:noMultiLvlLbl val="0"/>
      </c:catAx>
      <c:valAx>
        <c:axId val="100463744"/>
        <c:scaling>
          <c:orientation val="minMax"/>
          <c:min val="-1600"/>
        </c:scaling>
        <c:delete val="0"/>
        <c:axPos val="l"/>
        <c:numFmt formatCode="#,##0" sourceLinked="1"/>
        <c:majorTickMark val="out"/>
        <c:minorTickMark val="none"/>
        <c:tickLblPos val="nextTo"/>
        <c:crossAx val="1004619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60140485313062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39495530012771"/>
          <c:y val="0.26444517543859625"/>
          <c:w val="0.75401851851856172"/>
          <c:h val="0.5896074561403509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6551724137931005E-2"/>
                  <c:y val="5.3333333333334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37-470B-89CB-D7E77B38296A}"/>
                </c:ext>
              </c:extLst>
            </c:dLbl>
            <c:dLbl>
              <c:idx val="1"/>
              <c:layout>
                <c:manualLayout>
                  <c:x val="-9.1954022988505746E-2"/>
                  <c:y val="5.7777427821529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37-470B-89CB-D7E77B38296A}"/>
                </c:ext>
              </c:extLst>
            </c:dLbl>
            <c:dLbl>
              <c:idx val="2"/>
              <c:layout>
                <c:manualLayout>
                  <c:x val="-9.6551724137931005E-2"/>
                  <c:y val="4.8888888888888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37-470B-89CB-D7E77B38296A}"/>
                </c:ext>
              </c:extLst>
            </c:dLbl>
            <c:dLbl>
              <c:idx val="3"/>
              <c:layout>
                <c:manualLayout>
                  <c:x val="-3.6781609195402298E-2"/>
                  <c:y val="5.333333333333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37-470B-89CB-D7E77B38296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WLG!$B$6:$E$6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WLG!$B$7:$E$7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0.93103448275862066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70B-89CB-D7E77B3829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350848"/>
        <c:axId val="84357888"/>
      </c:lineChart>
      <c:catAx>
        <c:axId val="843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8435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357888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8435084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3260947644702994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68980522171569"/>
          <c:y val="0.24768591426071737"/>
          <c:w val="0.7494961320624397"/>
          <c:h val="0.5960670020414113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460629921259842"/>
                  <c:y val="-5.0581437736949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81-41E9-9BAB-5AA48C5646E0}"/>
                </c:ext>
              </c:extLst>
            </c:dLbl>
            <c:dLbl>
              <c:idx val="1"/>
              <c:layout>
                <c:manualLayout>
                  <c:x val="-0.10085612653681462"/>
                  <c:y val="-4.6525590551181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81-41E9-9BAB-5AA48C5646E0}"/>
                </c:ext>
              </c:extLst>
            </c:dLbl>
            <c:dLbl>
              <c:idx val="2"/>
              <c:layout>
                <c:manualLayout>
                  <c:x val="-8.2867108716673868E-2"/>
                  <c:y val="-5.4761956838735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81-41E9-9BAB-5AA48C5646E0}"/>
                </c:ext>
              </c:extLst>
            </c:dLbl>
            <c:dLbl>
              <c:idx val="3"/>
              <c:layout>
                <c:manualLayout>
                  <c:x val="-3.9473684210526355E-2"/>
                  <c:y val="-5.5222732575094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81-41E9-9BAB-5AA48C5646E0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ESW!$B$5:$E$5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ESW!$B$6:$E$6</c:f>
              <c:numCache>
                <c:formatCode>0.0%</c:formatCode>
                <c:ptCount val="4"/>
                <c:pt idx="0">
                  <c:v>0.40769126424308194</c:v>
                </c:pt>
                <c:pt idx="1">
                  <c:v>0.30647269420924023</c:v>
                </c:pt>
                <c:pt idx="2">
                  <c:v>0.14304730970953916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1-41E9-9BAB-5AA48C5646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2064"/>
        <c:axId val="98634752"/>
      </c:lineChart>
      <c:catAx>
        <c:axId val="986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6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63475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632064"/>
        <c:crosses val="autoZero"/>
        <c:crossBetween val="between"/>
        <c:majorUnit val="0.2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2476404853129895"/>
          <c:y val="2.4305555555555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65289789595969"/>
          <c:y val="0.23379702537183294"/>
          <c:w val="0.7632005507508286"/>
          <c:h val="0.609955890930320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ESW!$B$2:$E$2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ESW!$B$3:$E$3</c:f>
              <c:numCache>
                <c:formatCode>#,##0</c:formatCode>
                <c:ptCount val="4"/>
                <c:pt idx="0">
                  <c:v>-1682</c:v>
                </c:pt>
                <c:pt idx="1">
                  <c:v>-619</c:v>
                </c:pt>
                <c:pt idx="2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4-4423-BBF9-0CAF5D6B20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654080"/>
        <c:axId val="98669312"/>
      </c:barChart>
      <c:catAx>
        <c:axId val="986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66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669312"/>
        <c:scaling>
          <c:orientation val="minMax"/>
          <c:max val="12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65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3260947644702994"/>
          <c:y val="4.51388888888888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68980522171569"/>
          <c:y val="0.24768591426071737"/>
          <c:w val="0.7494961320624397"/>
          <c:h val="0.5960670020414113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460629921259842"/>
                  <c:y val="-5.0581437736949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5D-4BEB-9DF7-385836B9A7B1}"/>
                </c:ext>
              </c:extLst>
            </c:dLbl>
            <c:dLbl>
              <c:idx val="1"/>
              <c:layout>
                <c:manualLayout>
                  <c:x val="-0.10085612653681462"/>
                  <c:y val="-4.6525590551181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5D-4BEB-9DF7-385836B9A7B1}"/>
                </c:ext>
              </c:extLst>
            </c:dLbl>
            <c:dLbl>
              <c:idx val="2"/>
              <c:layout>
                <c:manualLayout>
                  <c:x val="-8.2867108716673868E-2"/>
                  <c:y val="-5.4761956838735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5D-4BEB-9DF7-385836B9A7B1}"/>
                </c:ext>
              </c:extLst>
            </c:dLbl>
            <c:dLbl>
              <c:idx val="3"/>
              <c:layout>
                <c:manualLayout>
                  <c:x val="-3.9473684210526355E-2"/>
                  <c:y val="-5.5222732575094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5D-4BEB-9DF7-385836B9A7B1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WAW!$B$5:$E$5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WAW!$B$6:$E$6</c:f>
              <c:numCache>
                <c:formatCode>0.0%</c:formatCode>
                <c:ptCount val="4"/>
                <c:pt idx="0">
                  <c:v>6.5896627590056808E-2</c:v>
                </c:pt>
                <c:pt idx="1">
                  <c:v>7.3263330711085276E-2</c:v>
                </c:pt>
                <c:pt idx="2">
                  <c:v>7.2313766138743657E-2</c:v>
                </c:pt>
                <c:pt idx="3">
                  <c:v>8.2893072401220333E-2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D-4BEB-9DF7-385836B9A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54560"/>
        <c:axId val="98757248"/>
      </c:lineChart>
      <c:catAx>
        <c:axId val="987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75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75724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8754560"/>
        <c:crosses val="autoZero"/>
        <c:crossBetween val="between"/>
        <c:majorUnit val="0.2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2476404853129902"/>
          <c:y val="2.4305555555555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65289789595969"/>
          <c:y val="0.23379702537183294"/>
          <c:w val="0.7632005507508286"/>
          <c:h val="0.609955890930320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WAW!$B$2:$E$2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WAW!$B$3:$E$3</c:f>
              <c:numCache>
                <c:formatCode>#,##0</c:formatCode>
                <c:ptCount val="4"/>
                <c:pt idx="0">
                  <c:v>5615</c:v>
                </c:pt>
                <c:pt idx="1">
                  <c:v>7012</c:v>
                </c:pt>
                <c:pt idx="2">
                  <c:v>5322</c:v>
                </c:pt>
                <c:pt idx="3">
                  <c:v>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4-48DB-B73B-6B313E2055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806528"/>
        <c:axId val="174825856"/>
      </c:barChart>
      <c:catAx>
        <c:axId val="1748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482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48258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4806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401053639847144"/>
          <c:y val="2.77613304093579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2343550447176"/>
          <c:y val="0.26584247076023398"/>
          <c:w val="0.80997956577263408"/>
          <c:h val="0.5813826754385964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647177081588229"/>
                  <c:y val="-5.7233904585456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A7-4DA4-A231-363168C6A422}"/>
                </c:ext>
              </c:extLst>
            </c:dLbl>
            <c:dLbl>
              <c:idx val="1"/>
              <c:layout>
                <c:manualLayout>
                  <c:x val="-9.5045512927905279E-2"/>
                  <c:y val="-4.3939684010087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A7-4DA4-A231-363168C6A422}"/>
                </c:ext>
              </c:extLst>
            </c:dLbl>
            <c:dLbl>
              <c:idx val="2"/>
              <c:layout>
                <c:manualLayout>
                  <c:x val="-6.8857615739696884E-2"/>
                  <c:y val="-5.5032558449585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A7-4DA4-A231-363168C6A422}"/>
                </c:ext>
              </c:extLst>
            </c:dLbl>
            <c:dLbl>
              <c:idx val="3"/>
              <c:layout>
                <c:manualLayout>
                  <c:x val="-5.9467985250717184E-2"/>
                  <c:y val="-5.9330835023617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A7-4DA4-A231-363168C6A42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'GWG Konzern'!$B$5:$E$5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2015</c:v>
                </c:pt>
                <c:pt idx="3">
                  <c:v>2018</c:v>
                </c:pt>
              </c:numCache>
            </c:numRef>
          </c:cat>
          <c:val>
            <c:numRef>
              <c:f>'GWG Konzern'!$B$6:$E$6</c:f>
              <c:numCache>
                <c:formatCode>0.0%</c:formatCode>
                <c:ptCount val="4"/>
                <c:pt idx="0">
                  <c:v>6.3553573826560961E-2</c:v>
                </c:pt>
                <c:pt idx="1">
                  <c:v>7.4880119031895481E-2</c:v>
                </c:pt>
                <c:pt idx="2">
                  <c:v>0.23190662948977139</c:v>
                </c:pt>
                <c:pt idx="3">
                  <c:v>0.25014837298424702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A7-4DA4-A231-363168C6A4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116288"/>
        <c:axId val="175118976"/>
      </c:lineChart>
      <c:catAx>
        <c:axId val="1751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511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118976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511628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748243933588762"/>
          <c:y val="2.04630847953216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532567050004"/>
          <c:y val="0.24208991228070176"/>
          <c:w val="0.79294891443170601"/>
          <c:h val="0.621265716374269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'GWG Konzern'!$B$2:$E$2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2015</c:v>
                </c:pt>
                <c:pt idx="3">
                  <c:v>2018</c:v>
                </c:pt>
              </c:numCache>
            </c:numRef>
          </c:cat>
          <c:val>
            <c:numRef>
              <c:f>'GWG Konzern'!$B$3:$E$3</c:f>
              <c:numCache>
                <c:formatCode>#,##0</c:formatCode>
                <c:ptCount val="4"/>
                <c:pt idx="0">
                  <c:v>-2926</c:v>
                </c:pt>
                <c:pt idx="1">
                  <c:v>-2598</c:v>
                </c:pt>
                <c:pt idx="2">
                  <c:v>-3746</c:v>
                </c:pt>
                <c:pt idx="3">
                  <c:v>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4-4065-AE2B-711A55A0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68128"/>
        <c:axId val="175169920"/>
      </c:barChart>
      <c:catAx>
        <c:axId val="1751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5169920"/>
        <c:crosses val="autoZero"/>
        <c:auto val="1"/>
        <c:lblAlgn val="ctr"/>
        <c:lblOffset val="100"/>
        <c:noMultiLvlLbl val="0"/>
      </c:catAx>
      <c:valAx>
        <c:axId val="175169920"/>
        <c:scaling>
          <c:orientation val="minMax"/>
          <c:max val="5000"/>
          <c:min val="-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5168128"/>
        <c:crosses val="autoZero"/>
        <c:crossBetween val="between"/>
        <c:majorUnit val="2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29678842228055113"/>
          <c:y val="2.7761330409357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2343550447182"/>
          <c:y val="0.26584247076023398"/>
          <c:w val="0.80997956577263386"/>
          <c:h val="0.5813826754385964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647177081588229"/>
                  <c:y val="-5.72339045854562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E2-435B-A4DA-7327BE1B5E88}"/>
                </c:ext>
              </c:extLst>
            </c:dLbl>
            <c:dLbl>
              <c:idx val="1"/>
              <c:layout>
                <c:manualLayout>
                  <c:x val="-9.5045512927905279E-2"/>
                  <c:y val="-4.39396840100870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E2-435B-A4DA-7327BE1B5E88}"/>
                </c:ext>
              </c:extLst>
            </c:dLbl>
            <c:dLbl>
              <c:idx val="2"/>
              <c:layout>
                <c:manualLayout>
                  <c:x val="-6.8857615739696884E-2"/>
                  <c:y val="-5.5032558449585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E2-435B-A4DA-7327BE1B5E88}"/>
                </c:ext>
              </c:extLst>
            </c:dLbl>
            <c:dLbl>
              <c:idx val="3"/>
              <c:layout>
                <c:manualLayout>
                  <c:x val="-5.9467985250717212E-2"/>
                  <c:y val="-5.9330835023617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E2-435B-A4DA-7327BE1B5E8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'GWG GmbH'!$B$5:$E$5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'GWG GmbH'!$B$6:$E$6</c:f>
              <c:numCache>
                <c:formatCode>0.0%</c:formatCode>
                <c:ptCount val="4"/>
                <c:pt idx="0">
                  <c:v>9.5562856604629029E-2</c:v>
                </c:pt>
                <c:pt idx="1">
                  <c:v>0.10788762188481807</c:v>
                </c:pt>
                <c:pt idx="2">
                  <c:v>0.28598710171843184</c:v>
                </c:pt>
                <c:pt idx="3">
                  <c:v>0.30263614566782465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2-435B-A4DA-7327BE1B5E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062400"/>
        <c:axId val="176564480"/>
      </c:lineChart>
      <c:catAx>
        <c:axId val="1750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56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564480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506240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748243933588762"/>
          <c:y val="2.04630847953216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6532567050004"/>
          <c:y val="0.24208991228070176"/>
          <c:w val="0.79294891443170623"/>
          <c:h val="0.621265716374269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'GWG GmbH'!$B$2:$E$2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'GWG GmbH'!$B$3:$E$3</c:f>
              <c:numCache>
                <c:formatCode>#,##0</c:formatCode>
                <c:ptCount val="4"/>
                <c:pt idx="0">
                  <c:v>-2960</c:v>
                </c:pt>
                <c:pt idx="1">
                  <c:v>-2642</c:v>
                </c:pt>
                <c:pt idx="2">
                  <c:v>-3812</c:v>
                </c:pt>
                <c:pt idx="3">
                  <c:v>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F-423E-B38F-C92A23BC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5440"/>
        <c:axId val="176607232"/>
      </c:barChart>
      <c:catAx>
        <c:axId val="1766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60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07232"/>
        <c:scaling>
          <c:orientation val="minMax"/>
          <c:max val="5000"/>
          <c:min val="-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605440"/>
        <c:crosses val="autoZero"/>
        <c:crossBetween val="between"/>
        <c:majorUnit val="25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818595146871009"/>
          <c:y val="2.43176169590643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84546615581141"/>
          <c:y val="0.24890423976608786"/>
          <c:w val="0.79007694763729241"/>
          <c:h val="0.5983209064327484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600653011157112"/>
                  <c:y val="-4.7895158938466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84-473F-90FE-E1593AEF8063}"/>
                </c:ext>
              </c:extLst>
            </c:dLbl>
            <c:dLbl>
              <c:idx val="1"/>
              <c:layout>
                <c:manualLayout>
                  <c:x val="-0.10369492473234662"/>
                  <c:y val="-4.8428842228053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84-473F-90FE-E1593AEF8063}"/>
                </c:ext>
              </c:extLst>
            </c:dLbl>
            <c:dLbl>
              <c:idx val="2"/>
              <c:layout>
                <c:manualLayout>
                  <c:x val="-0.10681242164317092"/>
                  <c:y val="-4.5517279090113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84-473F-90FE-E1593AEF8063}"/>
                </c:ext>
              </c:extLst>
            </c:dLbl>
            <c:dLbl>
              <c:idx val="3"/>
              <c:layout>
                <c:manualLayout>
                  <c:x val="-2.536713838605226E-2"/>
                  <c:y val="-4.6924394867308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84-473F-90FE-E1593AEF806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'GWG SPE'!$B$5:$E$5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'GWG SPE'!$B$6:$E$6</c:f>
              <c:numCache>
                <c:formatCode>0.0%</c:formatCode>
                <c:ptCount val="4"/>
                <c:pt idx="0">
                  <c:v>0.1865815135283615</c:v>
                </c:pt>
                <c:pt idx="1">
                  <c:v>0.18074773815859499</c:v>
                </c:pt>
                <c:pt idx="2">
                  <c:v>0.1695608081753647</c:v>
                </c:pt>
                <c:pt idx="3">
                  <c:v>0.18308008490279978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4-473F-90FE-E1593AEF80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854592"/>
        <c:axId val="176614784"/>
      </c:lineChart>
      <c:catAx>
        <c:axId val="978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61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14784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97854592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(</a:t>
            </a:r>
            <a:r>
              <a:rPr lang="de-DE" sz="1200" baseline="0">
                <a:latin typeface="+mn-lt"/>
              </a:rPr>
              <a:t>in %)</a:t>
            </a:r>
            <a:endParaRPr lang="de-DE" sz="1200">
              <a:latin typeface="+mn-lt"/>
            </a:endParaRPr>
          </a:p>
        </c:rich>
      </c:tx>
      <c:layout>
        <c:manualLayout>
          <c:xMode val="edge"/>
          <c:yMode val="edge"/>
          <c:x val="0.14477086530317887"/>
          <c:y val="1.04529616724738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4733214260284"/>
          <c:y val="0.26829268292682928"/>
          <c:w val="0.75106840079494852"/>
          <c:h val="0.6016260162602190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947203028192903E-2"/>
                  <c:y val="-6.0253321993287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25-423A-8F47-B9D88229A6E2}"/>
                </c:ext>
              </c:extLst>
            </c:dLbl>
            <c:dLbl>
              <c:idx val="1"/>
              <c:layout>
                <c:manualLayout>
                  <c:x val="-9.8830146231721067E-2"/>
                  <c:y val="-5.7744611191894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25-423A-8F47-B9D88229A6E2}"/>
                </c:ext>
              </c:extLst>
            </c:dLbl>
            <c:dLbl>
              <c:idx val="2"/>
              <c:layout>
                <c:manualLayout>
                  <c:x val="-0.10145981752280935"/>
                  <c:y val="-5.9405379205648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25-423A-8F47-B9D88229A6E2}"/>
                </c:ext>
              </c:extLst>
            </c:dLbl>
            <c:dLbl>
              <c:idx val="3"/>
              <c:layout>
                <c:manualLayout>
                  <c:x val="-3.1527487635474145E-2"/>
                  <c:y val="-5.4723037669072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25-423A-8F47-B9D88229A6E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'Neue Effizienz'!$B$5:$E$5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'Neue Effizienz'!$B$6:$E$6</c:f>
              <c:numCache>
                <c:formatCode>0.0%</c:formatCode>
                <c:ptCount val="4"/>
                <c:pt idx="0">
                  <c:v>0.77368421052631575</c:v>
                </c:pt>
                <c:pt idx="1">
                  <c:v>0.21818181818181817</c:v>
                </c:pt>
                <c:pt idx="2">
                  <c:v>7.7720207253886009E-2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5-423A-8F47-B9D88229A6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95872"/>
        <c:axId val="72498560"/>
      </c:lineChart>
      <c:catAx>
        <c:axId val="724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249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98560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2495872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8698914431673838"/>
          <c:y val="2.7777777777779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80363984674328"/>
          <c:y val="0.24427448830409762"/>
          <c:w val="0.76340996168582465"/>
          <c:h val="0.599478435672514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'GWG SPE'!$B$2:$E$2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'GWG SPE'!$B$3:$E$3</c:f>
              <c:numCache>
                <c:formatCode>#,##0</c:formatCode>
                <c:ptCount val="4"/>
                <c:pt idx="0">
                  <c:v>-1389</c:v>
                </c:pt>
                <c:pt idx="1">
                  <c:v>-1814</c:v>
                </c:pt>
                <c:pt idx="2">
                  <c:v>-2492</c:v>
                </c:pt>
                <c:pt idx="3">
                  <c:v>-1090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B-41F5-B16C-14FEDC4EF9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493696"/>
        <c:axId val="176500736"/>
      </c:barChart>
      <c:catAx>
        <c:axId val="1764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50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5007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49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>
                <a:latin typeface="+mn-lt"/>
              </a:defRPr>
            </a:pPr>
            <a:r>
              <a:rPr lang="de-DE" b="1">
                <a:latin typeface="+mn-lt"/>
              </a:rPr>
              <a:t>Entwicklung der Eigenkapitalquote</a:t>
            </a:r>
          </a:p>
          <a:p>
            <a:pPr>
              <a:defRPr b="1">
                <a:latin typeface="+mn-lt"/>
              </a:defRPr>
            </a:pPr>
            <a:r>
              <a:rPr lang="de-DE" b="1">
                <a:latin typeface="+mn-lt"/>
              </a:rPr>
              <a:t>(in</a:t>
            </a:r>
            <a:r>
              <a:rPr lang="de-DE" b="1" baseline="0">
                <a:latin typeface="+mn-lt"/>
              </a:rPr>
              <a:t> %)</a:t>
            </a:r>
            <a:endParaRPr lang="de-DE" b="1">
              <a:latin typeface="+mn-lt"/>
            </a:endParaRPr>
          </a:p>
        </c:rich>
      </c:tx>
      <c:layout>
        <c:manualLayout>
          <c:xMode val="edge"/>
          <c:yMode val="edge"/>
          <c:x val="0.14953799449768598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74886614136601"/>
          <c:y val="0.1948078505112234"/>
          <c:w val="0.74497991967877042"/>
          <c:h val="0.61805774278215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6385542168675245E-2"/>
                  <c:y val="6.0984251968504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A5-4A76-AFAE-855C7938C657}"/>
                </c:ext>
              </c:extLst>
            </c:dLbl>
            <c:dLbl>
              <c:idx val="1"/>
              <c:layout>
                <c:manualLayout>
                  <c:x val="-9.8393574297188729E-2"/>
                  <c:y val="5.4224992709244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A5-4A76-AFAE-855C7938C657}"/>
                </c:ext>
              </c:extLst>
            </c:dLbl>
            <c:dLbl>
              <c:idx val="2"/>
              <c:layout>
                <c:manualLayout>
                  <c:x val="-8.6345381526104423E-2"/>
                  <c:y val="5.6407844852727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A5-4A76-AFAE-855C7938C657}"/>
                </c:ext>
              </c:extLst>
            </c:dLbl>
            <c:dLbl>
              <c:idx val="3"/>
              <c:layout>
                <c:manualLayout>
                  <c:x val="-3.614457831325301E-2"/>
                  <c:y val="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A5-4A76-AFAE-855C7938C65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GMW!$B$5:$E$5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GMW!$B$6:$E$6</c:f>
              <c:numCache>
                <c:formatCode>0.0%</c:formatCode>
                <c:ptCount val="4"/>
                <c:pt idx="0">
                  <c:v>0.43356203967134749</c:v>
                </c:pt>
                <c:pt idx="1">
                  <c:v>0.418112734537193</c:v>
                </c:pt>
                <c:pt idx="2">
                  <c:v>0.41914868201003425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5-4A76-AFAE-855C7938C6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270720"/>
        <c:axId val="176298240"/>
      </c:lineChart>
      <c:catAx>
        <c:axId val="1762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17629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298240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17627072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2121212121212571"/>
          <c:y val="4.282407407407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4003022350001"/>
          <c:y val="0.23958406240886559"/>
          <c:w val="0.77171939871152473"/>
          <c:h val="0.667584208224002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121212121212118E-2"/>
                  <c:y val="8.487556272016498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94-4CB1-8AC1-42EEC7C881FF}"/>
                </c:ext>
              </c:extLst>
            </c:dLbl>
            <c:dLbl>
              <c:idx val="1"/>
              <c:layout>
                <c:manualLayout>
                  <c:x val="-7.9783663405717971E-3"/>
                  <c:y val="3.22324292796758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94-4CB1-8AC1-42EEC7C881FF}"/>
                </c:ext>
              </c:extLst>
            </c:dLbl>
            <c:dLbl>
              <c:idx val="2"/>
              <c:layout>
                <c:manualLayout>
                  <c:x val="5.153264932792492E-3"/>
                  <c:y val="-9.984324876057170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94-4CB1-8AC1-42EEC7C881F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94-4CB1-8AC1-42EEC7C881F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GMW!$B$2:$E$2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GMW!$B$3:$E$3</c:f>
              <c:numCache>
                <c:formatCode>#,##0</c:formatCode>
                <c:ptCount val="4"/>
                <c:pt idx="0">
                  <c:v>8073</c:v>
                </c:pt>
                <c:pt idx="1">
                  <c:v>7036</c:v>
                </c:pt>
                <c:pt idx="2">
                  <c:v>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4-4CB1-8AC1-42EEC7C88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321664"/>
        <c:axId val="176349184"/>
      </c:barChart>
      <c:catAx>
        <c:axId val="1763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34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349184"/>
        <c:scaling>
          <c:orientation val="minMax"/>
          <c:max val="2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321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*</a:t>
            </a:r>
          </a:p>
        </c:rich>
      </c:tx>
      <c:layout>
        <c:manualLayout>
          <c:xMode val="edge"/>
          <c:yMode val="edge"/>
          <c:x val="0.15860472541507026"/>
          <c:y val="1.404970760233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78944792918636"/>
          <c:y val="0.25333438320210488"/>
          <c:w val="0.80555042484092987"/>
          <c:h val="0.59666841644794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Stadthalle!$B$3:$E$3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Stadthalle!$B$4:$E$4</c:f>
              <c:numCache>
                <c:formatCode>#,##0</c:formatCode>
                <c:ptCount val="4"/>
                <c:pt idx="0">
                  <c:v>181</c:v>
                </c:pt>
                <c:pt idx="1">
                  <c:v>184</c:v>
                </c:pt>
                <c:pt idx="2">
                  <c:v>344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D-4EA0-9E45-8A092F1610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204032"/>
        <c:axId val="178227456"/>
      </c:barChart>
      <c:catAx>
        <c:axId val="1782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22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274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204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2169473731037862"/>
          <c:y val="3.2222222222222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04885057471274"/>
          <c:y val="0.23064400584795341"/>
          <c:w val="0.76113136705370465"/>
          <c:h val="0.582224321959717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788371368832248E-2"/>
                  <c:y val="-4.70785651793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93-477E-8CF8-BAF32E9BA73C}"/>
                </c:ext>
              </c:extLst>
            </c:dLbl>
            <c:dLbl>
              <c:idx val="1"/>
              <c:layout>
                <c:manualLayout>
                  <c:x val="-0.10416691133947242"/>
                  <c:y val="-4.76951881014872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93-477E-8CF8-BAF32E9BA73C}"/>
                </c:ext>
              </c:extLst>
            </c:dLbl>
            <c:dLbl>
              <c:idx val="2"/>
              <c:layout>
                <c:manualLayout>
                  <c:x val="-0.12022883580230437"/>
                  <c:y val="-4.8999825021872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93-477E-8CF8-BAF32E9BA73C}"/>
                </c:ext>
              </c:extLst>
            </c:dLbl>
            <c:dLbl>
              <c:idx val="3"/>
              <c:layout>
                <c:manualLayout>
                  <c:x val="-8.9853767560664266E-2"/>
                  <c:y val="-4.9219663742690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93-477E-8CF8-BAF32E9BA73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Stadthalle!$B$6:$E$6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Stadthalle!$B$7:$E$7</c:f>
              <c:numCache>
                <c:formatCode>0.0%</c:formatCode>
                <c:ptCount val="4"/>
                <c:pt idx="0">
                  <c:v>0.67766323024054986</c:v>
                </c:pt>
                <c:pt idx="1">
                  <c:v>0.71823204419889508</c:v>
                </c:pt>
                <c:pt idx="2">
                  <c:v>0.72315035799522676</c:v>
                </c:pt>
                <c:pt idx="3">
                  <c:v>0.73628993800667619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93-477E-8CF8-BAF32E9BA7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267264"/>
        <c:axId val="178278400"/>
      </c:lineChart>
      <c:catAx>
        <c:axId val="1782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27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78400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26726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*</a:t>
            </a:r>
          </a:p>
        </c:rich>
      </c:tx>
      <c:layout>
        <c:manualLayout>
          <c:xMode val="edge"/>
          <c:yMode val="edge"/>
          <c:x val="0.15623307790550001"/>
          <c:y val="2.817251461988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4989990657949"/>
          <c:y val="0.28000104986876639"/>
          <c:w val="0.81458997286356161"/>
          <c:h val="0.570001749781277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'Stadth.Service GmbH'!$B$2:$E$2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'Stadth.Service GmbH'!$B$3:$E$3</c:f>
              <c:numCache>
                <c:formatCode>#,##0</c:formatCode>
                <c:ptCount val="4"/>
                <c:pt idx="0">
                  <c:v>19</c:v>
                </c:pt>
                <c:pt idx="1">
                  <c:v>55</c:v>
                </c:pt>
                <c:pt idx="2">
                  <c:v>55</c:v>
                </c:pt>
                <c:pt idx="3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B-4698-B951-65AC27B919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326912"/>
        <c:axId val="178346240"/>
      </c:barChart>
      <c:catAx>
        <c:axId val="1783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34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346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326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429360736687574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3767560664113"/>
          <c:y val="0.25948172514619883"/>
          <c:w val="0.78313665389527454"/>
          <c:h val="0.5905211988303955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8.8844165665734248E-2"/>
                  <c:y val="-4.70785651793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CD-4D19-816D-7A69B5554A16}"/>
                </c:ext>
              </c:extLst>
            </c:dLbl>
            <c:dLbl>
              <c:idx val="1"/>
              <c:layout>
                <c:manualLayout>
                  <c:x val="-6.8008719249076921E-2"/>
                  <c:y val="-4.76951881014872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CD-4D19-816D-7A69B5554A16}"/>
                </c:ext>
              </c:extLst>
            </c:dLbl>
            <c:dLbl>
              <c:idx val="2"/>
              <c:layout>
                <c:manualLayout>
                  <c:x val="-7.9550869700609456E-2"/>
                  <c:y val="-5.3444269466316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CD-4D19-816D-7A69B5554A16}"/>
                </c:ext>
              </c:extLst>
            </c:dLbl>
            <c:dLbl>
              <c:idx val="3"/>
              <c:layout>
                <c:manualLayout>
                  <c:x val="-1.8079096045197745E-4"/>
                  <c:y val="-4.4577777777777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CD-4D19-816D-7A69B5554A1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'Stadth.Service GmbH'!$B$5:$E$5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'Stadth.Service GmbH'!$B$6:$E$6</c:f>
              <c:numCache>
                <c:formatCode>0.0%</c:formatCode>
                <c:ptCount val="4"/>
                <c:pt idx="0">
                  <c:v>0.16025641025641027</c:v>
                </c:pt>
                <c:pt idx="1">
                  <c:v>0.17006802721088435</c:v>
                </c:pt>
                <c:pt idx="2">
                  <c:v>0.16891891891891891</c:v>
                </c:pt>
                <c:pt idx="3">
                  <c:v>0.15151515151515152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D-4D19-816D-7A69B5554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455680"/>
        <c:axId val="178458624"/>
      </c:lineChart>
      <c:catAx>
        <c:axId val="1784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45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458624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45568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3333333333333341"/>
          <c:y val="2.91375291375291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6869867073069"/>
          <c:y val="0.23543160251821671"/>
          <c:w val="0.83889763779530924"/>
          <c:h val="0.607227208487051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BSWG!$B$2:$E$2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BSWG!$B$3:$E$3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1A8-878E-C1145295A7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474368"/>
        <c:axId val="178518272"/>
      </c:barChart>
      <c:catAx>
        <c:axId val="17847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51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18272"/>
        <c:scaling>
          <c:orientation val="minMax"/>
          <c:max val="1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474368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264092631507879"/>
          <c:y val="3.9784946236559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8089221966218"/>
          <c:y val="0.25483904834476334"/>
          <c:w val="0.80640588736697305"/>
          <c:h val="0.6000010160020653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823581537838319"/>
                  <c:y val="4.263957327914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F1-41C9-B0BE-9F70A84F2666}"/>
                </c:ext>
              </c:extLst>
            </c:dLbl>
            <c:dLbl>
              <c:idx val="1"/>
              <c:layout>
                <c:manualLayout>
                  <c:x val="-8.9671620629414944E-2"/>
                  <c:y val="4.6279231225129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F1-41C9-B0BE-9F70A84F2666}"/>
                </c:ext>
              </c:extLst>
            </c:dLbl>
            <c:dLbl>
              <c:idx val="2"/>
              <c:layout>
                <c:manualLayout>
                  <c:x val="-0.10289389067524107"/>
                  <c:y val="4.30107526881720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F1-41C9-B0BE-9F70A84F2666}"/>
                </c:ext>
              </c:extLst>
            </c:dLbl>
            <c:dLbl>
              <c:idx val="3"/>
              <c:layout>
                <c:manualLayout>
                  <c:x val="-1.8543103448275863E-2"/>
                  <c:y val="-7.36769005847953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F1-41C9-B0BE-9F70A84F266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BSWG!$B$5:$E$5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BSWG!$B$6:$E$6</c:f>
              <c:numCache>
                <c:formatCode>0.0%</c:formatCode>
                <c:ptCount val="4"/>
                <c:pt idx="0">
                  <c:v>0.157</c:v>
                </c:pt>
                <c:pt idx="1">
                  <c:v>0.19</c:v>
                </c:pt>
                <c:pt idx="2">
                  <c:v>0.13400000000000001</c:v>
                </c:pt>
                <c:pt idx="3">
                  <c:v>0.10891304347826088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1-41C9-B0BE-9F70A84F2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972352"/>
        <c:axId val="177979392"/>
      </c:lineChart>
      <c:catAx>
        <c:axId val="1779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797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79392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7972352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20788314176246131"/>
          <c:y val="4.7526681286550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408684547824"/>
          <c:y val="0.24769809941521376"/>
          <c:w val="0.73583908045981383"/>
          <c:h val="0.5960548245614036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5692986293380064E-2"/>
                  <c:y val="-4.6695829687955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D1-4A72-8E00-36B08969C820}"/>
                </c:ext>
              </c:extLst>
            </c:dLbl>
            <c:dLbl>
              <c:idx val="1"/>
              <c:layout>
                <c:manualLayout>
                  <c:x val="-0.10185185185185186"/>
                  <c:y val="-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D1-4A72-8E00-36B08969C820}"/>
                </c:ext>
              </c:extLst>
            </c:dLbl>
            <c:dLbl>
              <c:idx val="2"/>
              <c:layout>
                <c:manualLayout>
                  <c:x val="-7.407407407407407E-2"/>
                  <c:y val="-5.5555555555555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D1-4A72-8E00-36B08969C820}"/>
                </c:ext>
              </c:extLst>
            </c:dLbl>
            <c:dLbl>
              <c:idx val="3"/>
              <c:layout>
                <c:manualLayout>
                  <c:x val="-3.7037037037037056E-2"/>
                  <c:y val="-5.5555555555555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D1-4A72-8E00-36B08969C82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'Delphin GmbH &amp; Co. KG'!$B$5:$E$5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'Delphin GmbH &amp; Co. KG'!$B$6:$E$6</c:f>
              <c:numCache>
                <c:formatCode>0.0%</c:formatCode>
                <c:ptCount val="4"/>
                <c:pt idx="0">
                  <c:v>0.22918478260869565</c:v>
                </c:pt>
                <c:pt idx="1">
                  <c:v>0.24738934534852902</c:v>
                </c:pt>
                <c:pt idx="2">
                  <c:v>0.61285835248578691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1-4A72-8E00-36B08969C8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027904"/>
        <c:axId val="178043136"/>
      </c:lineChart>
      <c:catAx>
        <c:axId val="1780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04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4313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02790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Jahresergebnisses (in T€)</a:t>
            </a:r>
          </a:p>
        </c:rich>
      </c:tx>
      <c:layout>
        <c:manualLayout>
          <c:xMode val="edge"/>
          <c:yMode val="edge"/>
          <c:x val="0.10125665601704002"/>
          <c:y val="1.161440185830432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89840087881181"/>
          <c:y val="0.24970963995354239"/>
          <c:w val="0.7953913109104177"/>
          <c:h val="0.596980255516840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'Neue Effizienz'!$B$2:$E$2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'Neue Effizienz'!$B$3:$E$3</c:f>
              <c:numCache>
                <c:formatCode>#,##0</c:formatCode>
                <c:ptCount val="4"/>
                <c:pt idx="0">
                  <c:v>-372</c:v>
                </c:pt>
                <c:pt idx="1">
                  <c:v>-385</c:v>
                </c:pt>
                <c:pt idx="2">
                  <c:v>-272</c:v>
                </c:pt>
                <c:pt idx="3">
                  <c:v>-272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7-470B-9DA6-9F7316B042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21984"/>
        <c:axId val="72540160"/>
      </c:barChart>
      <c:catAx>
        <c:axId val="725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254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540160"/>
        <c:scaling>
          <c:orientation val="minMax"/>
          <c:max val="1000"/>
          <c:min val="-12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72521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DE" b="1"/>
              <a:t>Enwicklung des Jahresergebnisses </a:t>
            </a:r>
          </a:p>
          <a:p>
            <a:pPr>
              <a:defRPr b="1"/>
            </a:pPr>
            <a:r>
              <a:rPr lang="de-DE" b="1"/>
              <a:t>(in T€)</a:t>
            </a:r>
          </a:p>
        </c:rich>
      </c:tx>
      <c:layout>
        <c:manualLayout>
          <c:xMode val="edge"/>
          <c:yMode val="edge"/>
          <c:x val="0.13536547657570241"/>
          <c:y val="3.0092592592592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1366538952738"/>
          <c:y val="0.26157492690058481"/>
          <c:w val="0.82785783626366005"/>
          <c:h val="0.582178113152522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'Delphin GmbH &amp; Co. KG'!$B$2:$E$2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'Delphin GmbH &amp; Co. KG'!$B$3:$E$3</c:f>
              <c:numCache>
                <c:formatCode>#,##0</c:formatCode>
                <c:ptCount val="4"/>
                <c:pt idx="0">
                  <c:v>308</c:v>
                </c:pt>
                <c:pt idx="1">
                  <c:v>449</c:v>
                </c:pt>
                <c:pt idx="2">
                  <c:v>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F86-9260-AED2809062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505856"/>
        <c:axId val="178003968"/>
      </c:barChart>
      <c:catAx>
        <c:axId val="985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780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003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9850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20788314176246145"/>
          <c:y val="4.7526681286550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408684547832"/>
          <c:y val="0.24769809941521381"/>
          <c:w val="0.73583908045981405"/>
          <c:h val="0.5960548245614036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5692986293380064E-2"/>
                  <c:y val="-4.6695829687955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AA-49B9-9314-BC267BC1B5A7}"/>
                </c:ext>
              </c:extLst>
            </c:dLbl>
            <c:dLbl>
              <c:idx val="1"/>
              <c:layout>
                <c:manualLayout>
                  <c:x val="-0.10185185185185186"/>
                  <c:y val="-5.0925925925925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AA-49B9-9314-BC267BC1B5A7}"/>
                </c:ext>
              </c:extLst>
            </c:dLbl>
            <c:dLbl>
              <c:idx val="2"/>
              <c:layout>
                <c:manualLayout>
                  <c:x val="-7.407407407407407E-2"/>
                  <c:y val="-5.5555555555555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AA-49B9-9314-BC267BC1B5A7}"/>
                </c:ext>
              </c:extLst>
            </c:dLbl>
            <c:dLbl>
              <c:idx val="3"/>
              <c:layout>
                <c:manualLayout>
                  <c:x val="-3.7037037037037056E-2"/>
                  <c:y val="-5.55555555555554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AA-49B9-9314-BC267BC1B5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'Delphin GmbH'!$B$4:$E$4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'Delphin GmbH'!$B$5:$E$5</c:f>
              <c:numCache>
                <c:formatCode>0.0%</c:formatCode>
                <c:ptCount val="4"/>
                <c:pt idx="0">
                  <c:v>0.98</c:v>
                </c:pt>
                <c:pt idx="1">
                  <c:v>0.98076923076923073</c:v>
                </c:pt>
                <c:pt idx="2">
                  <c:v>0.98148148148148151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A-49B9-9314-BC267BC1B5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775936"/>
        <c:axId val="176777088"/>
      </c:lineChart>
      <c:catAx>
        <c:axId val="1767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77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777088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77593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DE" b="1"/>
              <a:t>Enwicklung des Jahresergebnisses </a:t>
            </a:r>
          </a:p>
          <a:p>
            <a:pPr>
              <a:defRPr b="1"/>
            </a:pPr>
            <a:r>
              <a:rPr lang="de-DE" b="1"/>
              <a:t>(in T€)</a:t>
            </a:r>
          </a:p>
        </c:rich>
      </c:tx>
      <c:layout>
        <c:manualLayout>
          <c:xMode val="edge"/>
          <c:yMode val="edge"/>
          <c:x val="0.13536547657570241"/>
          <c:y val="3.0092592592592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6851831877167"/>
          <c:y val="0.26157480314963544"/>
          <c:w val="0.82785783626366038"/>
          <c:h val="0.58217811315252255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'Delphin GmbH'!$B$1:$E$1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'Delphin GmbH'!$B$2:$E$2</c:f>
              <c:numCache>
                <c:formatCode>#,##0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44A7-A160-23A1F4C18D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797952"/>
        <c:axId val="176807936"/>
      </c:barChart>
      <c:catAx>
        <c:axId val="1767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7680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8079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7679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1991155810983398"/>
          <c:y val="2.8935307017545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64739295648514"/>
          <c:y val="0.25000072907553222"/>
          <c:w val="0.77586085321428078"/>
          <c:h val="0.5972244094488189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3891538143283752E-2"/>
                  <c:y val="-6.2442517621355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31-47DC-A341-61469B21E374}"/>
                </c:ext>
              </c:extLst>
            </c:dLbl>
            <c:dLbl>
              <c:idx val="1"/>
              <c:layout>
                <c:manualLayout>
                  <c:x val="-5.2232828842479533E-2"/>
                  <c:y val="-6.0525778047135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31-47DC-A341-61469B21E374}"/>
                </c:ext>
              </c:extLst>
            </c:dLbl>
            <c:dLbl>
              <c:idx val="2"/>
              <c:layout>
                <c:manualLayout>
                  <c:x val="-6.5789424957289136E-2"/>
                  <c:y val="-5.8609038472915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31-47DC-A341-61469B21E374}"/>
                </c:ext>
              </c:extLst>
            </c:dLbl>
            <c:dLbl>
              <c:idx val="3"/>
              <c:layout>
                <c:manualLayout>
                  <c:x val="-6.3681592039800991E-2"/>
                  <c:y val="-5.5555555555555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31-47DC-A341-61469B21E374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'WF AöR'!$B$5:$E$5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'WF AöR'!$B$6:$E$6</c:f>
              <c:numCache>
                <c:formatCode>0.0%</c:formatCode>
                <c:ptCount val="4"/>
                <c:pt idx="0">
                  <c:v>0.40140845070422537</c:v>
                </c:pt>
                <c:pt idx="1">
                  <c:v>0.29432013769363169</c:v>
                </c:pt>
                <c:pt idx="2">
                  <c:v>0.24981738495252009</c:v>
                </c:pt>
                <c:pt idx="3">
                  <c:v>0.2289156626506024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31-47DC-A341-61469B21E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097536"/>
        <c:axId val="178133248"/>
      </c:lineChart>
      <c:catAx>
        <c:axId val="1780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13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33248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09753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8433506989873999"/>
          <c:y val="3.6666666666666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3344038188679"/>
          <c:y val="0.24888958880141149"/>
          <c:w val="0.85085488181046853"/>
          <c:h val="0.61444654418197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'WF AöR'!$B$2:$E$2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'WF AöR'!$B$3:$E$3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0-4D18-A3FD-A6F781AC0A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177152"/>
        <c:axId val="178184192"/>
      </c:barChart>
      <c:catAx>
        <c:axId val="17817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18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184192"/>
        <c:scaling>
          <c:orientation val="minMax"/>
          <c:max val="2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177152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3219337905342476"/>
          <c:y val="1.50463624479373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97349928033194"/>
          <c:y val="0.21424173329685794"/>
          <c:w val="0.73341596816526256"/>
          <c:h val="0.643400115526104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9292185251037168E-2"/>
                  <c:y val="-4.2253572470107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9E-42D7-93D3-6433BA420352}"/>
                </c:ext>
              </c:extLst>
            </c:dLbl>
            <c:dLbl>
              <c:idx val="1"/>
              <c:layout>
                <c:manualLayout>
                  <c:x val="-0.10755770044873426"/>
                  <c:y val="-5.0367818606007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9E-42D7-93D3-6433BA420352}"/>
                </c:ext>
              </c:extLst>
            </c:dLbl>
            <c:dLbl>
              <c:idx val="2"/>
              <c:layout>
                <c:manualLayout>
                  <c:x val="-9.1946490559647764E-2"/>
                  <c:y val="-5.3908938466024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9E-42D7-93D3-6433BA420352}"/>
                </c:ext>
              </c:extLst>
            </c:dLbl>
            <c:dLbl>
              <c:idx val="3"/>
              <c:layout>
                <c:manualLayout>
                  <c:x val="-3.3476134492016751E-2"/>
                  <c:y val="-5.2684030003272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9E-42D7-93D3-6433BA42035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Wtec!$B$5:$E$5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Wtec!$B$6:$E$6</c:f>
              <c:numCache>
                <c:formatCode>0.0%</c:formatCode>
                <c:ptCount val="4"/>
                <c:pt idx="0">
                  <c:v>0.23979957050823192</c:v>
                </c:pt>
                <c:pt idx="1">
                  <c:v>0.25272282729495443</c:v>
                </c:pt>
                <c:pt idx="2">
                  <c:v>0.26958789775691183</c:v>
                </c:pt>
                <c:pt idx="3">
                  <c:v>0.30999370144866678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9E-42D7-93D3-6433BA4203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589056"/>
        <c:axId val="178620672"/>
      </c:lineChart>
      <c:catAx>
        <c:axId val="17858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62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20672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58905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1037527593819429"/>
          <c:y val="2.89351851851851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6563765623029"/>
          <c:y val="0.23842665500145821"/>
          <c:w val="0.80692739566494587"/>
          <c:h val="0.619215150189559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3.5494891443167411E-3"/>
                  <c:y val="1.7214912280701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3B-46CC-9003-0AE0B67B0DB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Wtec!$B$2:$E$2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Wtec!$B$3:$E$3</c:f>
              <c:numCache>
                <c:formatCode>#,##0</c:formatCode>
                <c:ptCount val="4"/>
                <c:pt idx="0">
                  <c:v>249</c:v>
                </c:pt>
                <c:pt idx="1">
                  <c:v>264</c:v>
                </c:pt>
                <c:pt idx="2">
                  <c:v>309</c:v>
                </c:pt>
                <c:pt idx="3" formatCode="General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B-46CC-9003-0AE0B67B0D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734208"/>
        <c:axId val="178737152"/>
      </c:barChart>
      <c:catAx>
        <c:axId val="17873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73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37152"/>
        <c:scaling>
          <c:orientation val="minMax"/>
          <c:max val="5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73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4643997445722323"/>
          <c:y val="1.108552631579013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4394967870392"/>
          <c:y val="0.22222295129775438"/>
          <c:w val="0.81710308625214967"/>
          <c:h val="0.635418853893263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'Marketing 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'Marketing '!$B$3:$E$3</c:f>
              <c:numCache>
                <c:formatCode>#,##0</c:formatCode>
                <c:ptCount val="4"/>
                <c:pt idx="0">
                  <c:v>18</c:v>
                </c:pt>
                <c:pt idx="1">
                  <c:v>44</c:v>
                </c:pt>
                <c:pt idx="2">
                  <c:v>-96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9-4A0A-A73E-B750652A4F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785664"/>
        <c:axId val="178813184"/>
      </c:barChart>
      <c:catAx>
        <c:axId val="1787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81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131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785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Einkapitalquote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9043997445721594"/>
          <c:y val="2.4305555555555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86440427340954"/>
          <c:y val="0.26736184018664338"/>
          <c:w val="0.7992395844885587"/>
          <c:h val="0.5798632983377077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1261124995331759"/>
                  <c:y val="-4.7505468066491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20-4DF9-A63A-09C07CB7DA29}"/>
                </c:ext>
              </c:extLst>
            </c:dLbl>
            <c:dLbl>
              <c:idx val="1"/>
              <c:layout>
                <c:manualLayout>
                  <c:x val="-0.15113637203800229"/>
                  <c:y val="-3.0483741615631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20-4DF9-A63A-09C07CB7DA29}"/>
                </c:ext>
              </c:extLst>
            </c:dLbl>
            <c:dLbl>
              <c:idx val="2"/>
              <c:layout>
                <c:manualLayout>
                  <c:x val="-0.10350868278776593"/>
                  <c:y val="-4.12893700787401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20-4DF9-A63A-09C07CB7DA29}"/>
                </c:ext>
              </c:extLst>
            </c:dLbl>
            <c:dLbl>
              <c:idx val="3"/>
              <c:layout>
                <c:manualLayout>
                  <c:x val="-2.0204933106175816E-2"/>
                  <c:y val="-4.2358923884514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20-4DF9-A63A-09C07CB7DA2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'Marketing '!$B$5:$E$5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'Marketing '!$B$6:$E$6</c:f>
              <c:numCache>
                <c:formatCode>0.0%</c:formatCode>
                <c:ptCount val="4"/>
                <c:pt idx="0">
                  <c:v>0.62287104622871048</c:v>
                </c:pt>
                <c:pt idx="1">
                  <c:v>0.60240963855421692</c:v>
                </c:pt>
                <c:pt idx="2">
                  <c:v>0.45533769063180829</c:v>
                </c:pt>
                <c:pt idx="3">
                  <c:v>0.46406570841889117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0-4DF9-A63A-09C07CB7DA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824320"/>
        <c:axId val="179650560"/>
      </c:lineChart>
      <c:catAx>
        <c:axId val="1788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965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650560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882432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2179487179487179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6998294622682"/>
          <c:y val="0.26177704678362573"/>
          <c:w val="0.81657715862440272"/>
          <c:h val="0.64333543307091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WQG!$B$2:$E$2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WQG!$B$3:$E$3</c:f>
              <c:numCache>
                <c:formatCode>#,##0</c:formatCode>
                <c:ptCount val="4"/>
                <c:pt idx="0">
                  <c:v>-103</c:v>
                </c:pt>
                <c:pt idx="1">
                  <c:v>-76</c:v>
                </c:pt>
                <c:pt idx="2">
                  <c:v>4</c:v>
                </c:pt>
                <c:pt idx="3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AF8-A3B2-E086E2C58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666304"/>
        <c:axId val="179689728"/>
      </c:barChart>
      <c:catAx>
        <c:axId val="1796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968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6897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9666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>
                <a:latin typeface="+mn-lt"/>
              </a:defRPr>
            </a:pPr>
            <a:r>
              <a:rPr lang="de-DE" sz="1200" b="1">
                <a:latin typeface="+mn-lt"/>
              </a:rPr>
              <a:t>Entwicklung des Jahresergebnisses </a:t>
            </a:r>
          </a:p>
          <a:p>
            <a:pPr>
              <a:defRPr sz="1200" b="1">
                <a:latin typeface="+mn-lt"/>
              </a:defRPr>
            </a:pPr>
            <a:r>
              <a:rPr lang="de-DE" sz="1200" b="1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5667718191377497"/>
          <c:y val="3.2222222222222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6064896462074"/>
          <c:y val="0.20213823272090994"/>
          <c:w val="0.80156221797192517"/>
          <c:h val="0.6400024496938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'BEG Ents.'!$B$2:$E$2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'BEG Ents.'!$B$3:$E$3</c:f>
              <c:numCache>
                <c:formatCode>#,##0</c:formatCode>
                <c:ptCount val="4"/>
                <c:pt idx="0">
                  <c:v>261</c:v>
                </c:pt>
                <c:pt idx="1">
                  <c:v>280</c:v>
                </c:pt>
                <c:pt idx="2">
                  <c:v>309</c:v>
                </c:pt>
                <c:pt idx="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7-4138-ABF5-D592EBAFCB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616832"/>
        <c:axId val="100640256"/>
      </c:barChart>
      <c:catAx>
        <c:axId val="1006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10064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640256"/>
        <c:scaling>
          <c:orientation val="minMax"/>
          <c:max val="8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latin typeface="+mn-lt"/>
              </a:defRPr>
            </a:pPr>
            <a:endParaRPr lang="de-DE"/>
          </a:p>
        </c:txPr>
        <c:crossAx val="100616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784549037480776"/>
          <c:y val="2.7777777777780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50809183290015"/>
          <c:y val="0.20163084795321637"/>
          <c:w val="0.75419669004396961"/>
          <c:h val="0.6477798775153783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870338441890515"/>
                  <c:y val="-4.6184210526315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70-4BC0-BED5-BC4F8FA2DFEB}"/>
                </c:ext>
              </c:extLst>
            </c:dLbl>
            <c:dLbl>
              <c:idx val="1"/>
              <c:layout>
                <c:manualLayout>
                  <c:x val="-0.19496675448500816"/>
                  <c:y val="-5.1697368421052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70-4BC0-BED5-BC4F8FA2DFEB}"/>
                </c:ext>
              </c:extLst>
            </c:dLbl>
            <c:dLbl>
              <c:idx val="2"/>
              <c:layout>
                <c:manualLayout>
                  <c:x val="-1.7969472671768495E-2"/>
                  <c:y val="-5.8717105263157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70-4BC0-BED5-BC4F8FA2DFEB}"/>
                </c:ext>
              </c:extLst>
            </c:dLbl>
            <c:dLbl>
              <c:idx val="3"/>
              <c:layout>
                <c:manualLayout>
                  <c:x val="-1.3024111535897241E-2"/>
                  <c:y val="-5.4228871391076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70-4BC0-BED5-BC4F8FA2DFE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WQG!$B$5:$E$5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WQG!$B$6:$E$6</c:f>
              <c:numCache>
                <c:formatCode>0.0%</c:formatCode>
                <c:ptCount val="4"/>
                <c:pt idx="0">
                  <c:v>0</c:v>
                </c:pt>
                <c:pt idx="1">
                  <c:v>8.0808080808080815E-2</c:v>
                </c:pt>
                <c:pt idx="2">
                  <c:v>0.10714285714285714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70-4BC0-BED5-BC4F8FA2D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641536"/>
        <c:axId val="176644480"/>
      </c:lineChart>
      <c:catAx>
        <c:axId val="1766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64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44480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64153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3219337905342476"/>
          <c:y val="1.50463624479373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97349928033194"/>
          <c:y val="0.21424173329685794"/>
          <c:w val="0.73341596816526256"/>
          <c:h val="0.643400115526104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9292185251037168E-2"/>
                  <c:y val="-4.2253572470107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AC-467E-BAD4-8C4259DB1B04}"/>
                </c:ext>
              </c:extLst>
            </c:dLbl>
            <c:dLbl>
              <c:idx val="1"/>
              <c:layout>
                <c:manualLayout>
                  <c:x val="-2.1812627119359277E-2"/>
                  <c:y val="-5.0367967719862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AC-467E-BAD4-8C4259DB1B04}"/>
                </c:ext>
              </c:extLst>
            </c:dLbl>
            <c:dLbl>
              <c:idx val="2"/>
              <c:layout>
                <c:manualLayout>
                  <c:x val="-9.1946490559647764E-2"/>
                  <c:y val="-5.3908938466024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AC-467E-BAD4-8C4259DB1B04}"/>
                </c:ext>
              </c:extLst>
            </c:dLbl>
            <c:dLbl>
              <c:idx val="3"/>
              <c:layout>
                <c:manualLayout>
                  <c:x val="-3.3476134492016751E-2"/>
                  <c:y val="-5.2684030003272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AC-467E-BAD4-8C4259DB1B0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'NRW Urban'!$B$5:$E$5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'NRW Urban'!$B$6:$E$6</c:f>
              <c:numCache>
                <c:formatCode>0.0%</c:formatCode>
                <c:ptCount val="4"/>
                <c:pt idx="0">
                  <c:v>0.88659793814432986</c:v>
                </c:pt>
                <c:pt idx="1">
                  <c:v>0.25617283950617287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C-467E-BAD4-8C4259DB1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655744"/>
        <c:axId val="179620096"/>
      </c:lineChart>
      <c:catAx>
        <c:axId val="1766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962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620096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665574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1037527593819429"/>
          <c:y val="2.89351851851851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6558109833975"/>
          <c:y val="0.26627741228070173"/>
          <c:w val="0.80692739566494587"/>
          <c:h val="0.619215150189559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3.5494891443167411E-3"/>
                  <c:y val="1.7214912280701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5E-40A2-86D3-EF394C4123C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'NRW Urban'!$B$2:$E$2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'NRW Urban'!$B$3:$E$3</c:f>
              <c:numCache>
                <c:formatCode>#,##0</c:formatCode>
                <c:ptCount val="4"/>
                <c:pt idx="0">
                  <c:v>-5</c:v>
                </c:pt>
                <c:pt idx="1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E-40A2-86D3-EF394C412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930240"/>
        <c:axId val="179933184"/>
      </c:barChart>
      <c:catAx>
        <c:axId val="1799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9933184"/>
        <c:crosses val="autoZero"/>
        <c:auto val="1"/>
        <c:lblAlgn val="ctr"/>
        <c:lblOffset val="10"/>
        <c:tickLblSkip val="1"/>
        <c:tickMarkSkip val="1"/>
        <c:noMultiLvlLbl val="0"/>
      </c:catAx>
      <c:valAx>
        <c:axId val="179933184"/>
        <c:scaling>
          <c:orientation val="minMax"/>
          <c:max val="5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993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3219337905342476"/>
          <c:y val="1.50463624479373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297349928033194"/>
          <c:y val="0.21424173329685794"/>
          <c:w val="0.73341596816526256"/>
          <c:h val="0.643400115526104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9292185251037168E-2"/>
                  <c:y val="-4.2253572470107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69-43BF-B88E-E8E752FEA2B7}"/>
                </c:ext>
              </c:extLst>
            </c:dLbl>
            <c:dLbl>
              <c:idx val="1"/>
              <c:layout>
                <c:manualLayout>
                  <c:x val="-2.1812627119359277E-2"/>
                  <c:y val="-5.0367967719862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69-43BF-B88E-E8E752FEA2B7}"/>
                </c:ext>
              </c:extLst>
            </c:dLbl>
            <c:dLbl>
              <c:idx val="2"/>
              <c:layout>
                <c:manualLayout>
                  <c:x val="-9.1946490559647764E-2"/>
                  <c:y val="-5.3908938466024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69-43BF-B88E-E8E752FEA2B7}"/>
                </c:ext>
              </c:extLst>
            </c:dLbl>
            <c:dLbl>
              <c:idx val="3"/>
              <c:layout>
                <c:manualLayout>
                  <c:x val="-3.3476134492016751E-2"/>
                  <c:y val="-5.2684030003272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69-43BF-B88E-E8E752FEA2B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PD!$B$5:$E$5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PD!$B$6:$E$6</c:f>
              <c:numCache>
                <c:formatCode>0.0%</c:formatCode>
                <c:ptCount val="4"/>
                <c:pt idx="0">
                  <c:v>0.50808595480726626</c:v>
                </c:pt>
                <c:pt idx="1">
                  <c:v>0.4541389546462255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69-43BF-B88E-E8E752FEA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944448"/>
        <c:axId val="181286784"/>
      </c:lineChart>
      <c:catAx>
        <c:axId val="1799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28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86784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7994444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1037527593819429"/>
          <c:y val="2.89351851851851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6558109833975"/>
          <c:y val="0.26627741228070173"/>
          <c:w val="0.80692739566494587"/>
          <c:h val="0.619215150189559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3.5494891443167411E-3"/>
                  <c:y val="1.7214912280701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F2-4FE3-A291-4FF447D8E63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PD!$B$2:$E$2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PD!$B$3:$E$3</c:f>
              <c:numCache>
                <c:formatCode>#,##0</c:formatCode>
                <c:ptCount val="4"/>
                <c:pt idx="0">
                  <c:v>2839</c:v>
                </c:pt>
                <c:pt idx="1">
                  <c:v>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2-4FE3-A291-4FF447D8E6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326592"/>
        <c:axId val="181329280"/>
      </c:barChart>
      <c:catAx>
        <c:axId val="1813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329280"/>
        <c:crosses val="autoZero"/>
        <c:auto val="1"/>
        <c:lblAlgn val="ctr"/>
        <c:lblOffset val="10"/>
        <c:tickLblSkip val="1"/>
        <c:tickMarkSkip val="1"/>
        <c:noMultiLvlLbl val="0"/>
      </c:catAx>
      <c:valAx>
        <c:axId val="181329280"/>
        <c:scaling>
          <c:orientation val="minMax"/>
          <c:max val="5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326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</a:t>
            </a:r>
          </a:p>
        </c:rich>
      </c:tx>
      <c:layout>
        <c:manualLayout>
          <c:xMode val="edge"/>
          <c:yMode val="edge"/>
          <c:x val="0.12179487179487179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6998294622682"/>
          <c:y val="0.26177704678362573"/>
          <c:w val="0.81657715862440272"/>
          <c:h val="0.64333543307091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d_NRW!$B$2:$E$2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d_NRW!$B$3:$E$3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5-4FDA-84E9-A7A7DCBEF9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030080"/>
        <c:axId val="180037120"/>
      </c:barChart>
      <c:catAx>
        <c:axId val="1800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003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037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003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784549037480776"/>
          <c:y val="2.7777777777780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50809183290015"/>
          <c:y val="0.20163084795321637"/>
          <c:w val="0.75419669004396961"/>
          <c:h val="0.6477798775153783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870338441890515"/>
                  <c:y val="-4.6184210526315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4B-4E34-A0F8-6BDBFC6EF0A7}"/>
                </c:ext>
              </c:extLst>
            </c:dLbl>
            <c:dLbl>
              <c:idx val="1"/>
              <c:layout>
                <c:manualLayout>
                  <c:x val="-9.2997114540208259E-2"/>
                  <c:y val="-6.5622807017543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4B-4E34-A0F8-6BDBFC6EF0A7}"/>
                </c:ext>
              </c:extLst>
            </c:dLbl>
            <c:dLbl>
              <c:idx val="2"/>
              <c:layout>
                <c:manualLayout>
                  <c:x val="-1.7969472671768495E-2"/>
                  <c:y val="-5.8717105263157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4B-4E34-A0F8-6BDBFC6EF0A7}"/>
                </c:ext>
              </c:extLst>
            </c:dLbl>
            <c:dLbl>
              <c:idx val="3"/>
              <c:layout>
                <c:manualLayout>
                  <c:x val="-1.3024111535897241E-2"/>
                  <c:y val="-5.4228871391076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4B-4E34-A0F8-6BDBFC6EF0A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d_NRW!$B$5:$E$5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</c:numCache>
            </c:numRef>
          </c:cat>
          <c:val>
            <c:numRef>
              <c:f>d_NRW!$B$6:$E$6</c:f>
              <c:numCache>
                <c:formatCode>0.0%</c:formatCode>
                <c:ptCount val="4"/>
                <c:pt idx="0">
                  <c:v>0.49666606595783025</c:v>
                </c:pt>
                <c:pt idx="1">
                  <c:v>0.40183646698731962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B-4E34-A0F8-6BDBFC6EF0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056832"/>
        <c:axId val="180059520"/>
      </c:lineChart>
      <c:catAx>
        <c:axId val="1800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005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059520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0056832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1407955295910592"/>
          <c:y val="3.35648148148148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92100584201191"/>
          <c:y val="0.23726924759406173"/>
          <c:w val="0.77085022436714801"/>
          <c:h val="0.620372557596967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9.9039200745068168E-2"/>
                  <c:y val="4.9546150481189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15-4411-B64C-7BF290CCEE9D}"/>
                </c:ext>
              </c:extLst>
            </c:dLbl>
            <c:dLbl>
              <c:idx val="1"/>
              <c:layout>
                <c:manualLayout>
                  <c:x val="-7.4365930065194139E-2"/>
                  <c:y val="4.2185403907844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15-4411-B64C-7BF290CCEE9D}"/>
                </c:ext>
              </c:extLst>
            </c:dLbl>
            <c:dLbl>
              <c:idx val="2"/>
              <c:layout>
                <c:manualLayout>
                  <c:x val="-9.9628143256297944E-2"/>
                  <c:y val="5.0734179060950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15-4411-B64C-7BF290CCEE9D}"/>
                </c:ext>
              </c:extLst>
            </c:dLbl>
            <c:dLbl>
              <c:idx val="3"/>
              <c:layout>
                <c:manualLayout>
                  <c:x val="-2.9677758022182716E-2"/>
                  <c:y val="4.503973461650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15-4411-B64C-7BF290CCEE9D}"/>
                </c:ext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15-4411-B64C-7BF290CCEE9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APH!$B$5:$E$5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APH!$B$6:$E$6</c:f>
              <c:numCache>
                <c:formatCode>0.0%</c:formatCode>
                <c:ptCount val="4"/>
                <c:pt idx="0">
                  <c:v>0.14527807733785242</c:v>
                </c:pt>
                <c:pt idx="1">
                  <c:v>0.18094755743818777</c:v>
                </c:pt>
                <c:pt idx="2">
                  <c:v>0.18762996062469584</c:v>
                </c:pt>
                <c:pt idx="3">
                  <c:v>0.10880016193512473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5-4411-B64C-7BF290CCEE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104192"/>
        <c:axId val="180123520"/>
      </c:lineChart>
      <c:catAx>
        <c:axId val="1801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012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123520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0104192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des Jahresergebnisses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T€) </a:t>
            </a:r>
          </a:p>
        </c:rich>
      </c:tx>
      <c:layout>
        <c:manualLayout>
          <c:xMode val="edge"/>
          <c:yMode val="edge"/>
          <c:x val="0.15326902465166892"/>
          <c:y val="1.9675925925925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4553679183496"/>
          <c:y val="0.22800998833479191"/>
          <c:w val="0.81883383548120003"/>
          <c:h val="0.63889107611556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9.383004814372761E-4"/>
                  <c:y val="-6.30119922053596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CE-4512-B3AC-CBBDF7A8F76D}"/>
                </c:ext>
              </c:extLst>
            </c:dLbl>
            <c:dLbl>
              <c:idx val="1"/>
              <c:layout>
                <c:manualLayout>
                  <c:x val="3.9999662421621E-3"/>
                  <c:y val="-5.6856955380577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CE-4512-B3AC-CBBDF7A8F76D}"/>
                </c:ext>
              </c:extLst>
            </c:dLbl>
            <c:dLbl>
              <c:idx val="2"/>
              <c:layout>
                <c:manualLayout>
                  <c:x val="5.1767231590550133E-3"/>
                  <c:y val="-9.251771948895691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CE-4512-B3AC-CBBDF7A8F76D}"/>
                </c:ext>
              </c:extLst>
            </c:dLbl>
            <c:dLbl>
              <c:idx val="3"/>
              <c:layout>
                <c:manualLayout>
                  <c:x val="1.5309561807199041E-3"/>
                  <c:y val="1.18208081726244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CE-4512-B3AC-CBBDF7A8F76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CE-4512-B3AC-CBBDF7A8F76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APH!$B$2:$E$2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APH!$B$3:$E$3</c:f>
              <c:numCache>
                <c:formatCode>#,##0</c:formatCode>
                <c:ptCount val="4"/>
                <c:pt idx="0">
                  <c:v>-3729</c:v>
                </c:pt>
                <c:pt idx="1">
                  <c:v>1101</c:v>
                </c:pt>
                <c:pt idx="2">
                  <c:v>311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CE-4512-B3AC-CBBDF7A8F7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617408"/>
        <c:axId val="181620096"/>
      </c:barChart>
      <c:catAx>
        <c:axId val="1816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62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20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61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3175">
      <a:noFill/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Entwicklung der Eigenkapitalquote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r>
              <a:rPr lang="de-DE" sz="1200">
                <a:latin typeface="+mn-lt"/>
              </a:rPr>
              <a:t>(in %)</a:t>
            </a:r>
          </a:p>
        </c:rich>
      </c:tx>
      <c:layout>
        <c:manualLayout>
          <c:xMode val="edge"/>
          <c:yMode val="edge"/>
          <c:x val="0.23008817829457365"/>
          <c:y val="4.28241959064328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77882764654419"/>
          <c:y val="0.22106554389034724"/>
          <c:w val="0.73555765529312089"/>
          <c:h val="0.63657626130067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0083359580052494"/>
                  <c:y val="-4.461759988335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0A-4F0E-84F4-1A6DF5897E1A}"/>
                </c:ext>
              </c:extLst>
            </c:dLbl>
            <c:dLbl>
              <c:idx val="1"/>
              <c:layout>
                <c:manualLayout>
                  <c:x val="-0.13361119860017498"/>
                  <c:y val="5.3507217847769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0A-4F0E-84F4-1A6DF5897E1A}"/>
                </c:ext>
              </c:extLst>
            </c:dLbl>
            <c:dLbl>
              <c:idx val="2"/>
              <c:layout>
                <c:manualLayout>
                  <c:x val="-0.10638915135608062"/>
                  <c:y val="4.9479440069991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0A-4F0E-84F4-1A6DF5897E1A}"/>
                </c:ext>
              </c:extLst>
            </c:dLbl>
            <c:dLbl>
              <c:idx val="3"/>
              <c:layout>
                <c:manualLayout>
                  <c:x val="-3.2486089238845148E-2"/>
                  <c:y val="5.0972586759988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0A-4F0E-84F4-1A6DF5897E1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+mn-lt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'APH Service'!$B$5:$E$5</c:f>
              <c:numCache>
                <c:formatCode>General</c:formatCode>
                <c:ptCount val="4"/>
                <c:pt idx="0" formatCode="#,##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'APH Service'!$B$6:$E$6</c:f>
              <c:numCache>
                <c:formatCode>0.0%</c:formatCode>
                <c:ptCount val="4"/>
                <c:pt idx="0">
                  <c:v>0.392018779342723</c:v>
                </c:pt>
                <c:pt idx="1">
                  <c:v>0.3925233644859813</c:v>
                </c:pt>
                <c:pt idx="2">
                  <c:v>0.50171037628278226</c:v>
                </c:pt>
                <c:pt idx="3">
                  <c:v>0.40963855421686746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A-4F0E-84F4-1A6DF5897E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652480"/>
        <c:axId val="181663616"/>
      </c:lineChart>
      <c:catAx>
        <c:axId val="18165248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66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63616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de-DE"/>
          </a:p>
        </c:txPr>
        <c:crossAx val="18165248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0.xml"/><Relationship Id="rId1" Type="http://schemas.openxmlformats.org/officeDocument/2006/relationships/chart" Target="../charts/chart119.xml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4.xml"/><Relationship Id="rId1" Type="http://schemas.openxmlformats.org/officeDocument/2006/relationships/chart" Target="../charts/chart123.xml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6.xml"/><Relationship Id="rId1" Type="http://schemas.openxmlformats.org/officeDocument/2006/relationships/chart" Target="../charts/chart12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6</xdr:row>
      <xdr:rowOff>66675</xdr:rowOff>
    </xdr:from>
    <xdr:to>
      <xdr:col>0</xdr:col>
      <xdr:colOff>3038475</xdr:colOff>
      <xdr:row>22</xdr:row>
      <xdr:rowOff>59475</xdr:rowOff>
    </xdr:to>
    <xdr:graphicFrame macro="">
      <xdr:nvGraphicFramePr>
        <xdr:cNvPr id="3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114301</xdr:colOff>
      <xdr:row>6</xdr:row>
      <xdr:rowOff>104775</xdr:rowOff>
    </xdr:from>
    <xdr:to>
      <xdr:col>5</xdr:col>
      <xdr:colOff>161925</xdr:colOff>
      <xdr:row>22</xdr:row>
      <xdr:rowOff>38100</xdr:rowOff>
    </xdr:to>
    <xdr:graphicFrame macro="">
      <xdr:nvGraphicFramePr>
        <xdr:cNvPr id="35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6</xdr:row>
      <xdr:rowOff>19050</xdr:rowOff>
    </xdr:from>
    <xdr:to>
      <xdr:col>6</xdr:col>
      <xdr:colOff>352425</xdr:colOff>
      <xdr:row>23</xdr:row>
      <xdr:rowOff>146325</xdr:rowOff>
    </xdr:to>
    <xdr:graphicFrame macro="">
      <xdr:nvGraphicFramePr>
        <xdr:cNvPr id="55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57150</xdr:rowOff>
    </xdr:from>
    <xdr:to>
      <xdr:col>2</xdr:col>
      <xdr:colOff>39600</xdr:colOff>
      <xdr:row>24</xdr:row>
      <xdr:rowOff>22500</xdr:rowOff>
    </xdr:to>
    <xdr:graphicFrame macro="">
      <xdr:nvGraphicFramePr>
        <xdr:cNvPr id="55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9525</xdr:rowOff>
    </xdr:from>
    <xdr:to>
      <xdr:col>1</xdr:col>
      <xdr:colOff>571501</xdr:colOff>
      <xdr:row>23</xdr:row>
      <xdr:rowOff>0</xdr:rowOff>
    </xdr:to>
    <xdr:graphicFrame macro="">
      <xdr:nvGraphicFramePr>
        <xdr:cNvPr id="6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47624</xdr:colOff>
      <xdr:row>7</xdr:row>
      <xdr:rowOff>9525</xdr:rowOff>
    </xdr:from>
    <xdr:to>
      <xdr:col>5</xdr:col>
      <xdr:colOff>742950</xdr:colOff>
      <xdr:row>23</xdr:row>
      <xdr:rowOff>38100</xdr:rowOff>
    </xdr:to>
    <xdr:graphicFrame macro="">
      <xdr:nvGraphicFramePr>
        <xdr:cNvPr id="65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6</xdr:row>
      <xdr:rowOff>161924</xdr:rowOff>
    </xdr:from>
    <xdr:to>
      <xdr:col>6</xdr:col>
      <xdr:colOff>350700</xdr:colOff>
      <xdr:row>23</xdr:row>
      <xdr:rowOff>145199</xdr:rowOff>
    </xdr:to>
    <xdr:graphicFrame macro="">
      <xdr:nvGraphicFramePr>
        <xdr:cNvPr id="76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6</xdr:row>
      <xdr:rowOff>161924</xdr:rowOff>
    </xdr:from>
    <xdr:to>
      <xdr:col>2</xdr:col>
      <xdr:colOff>17324</xdr:colOff>
      <xdr:row>23</xdr:row>
      <xdr:rowOff>145199</xdr:rowOff>
    </xdr:to>
    <xdr:graphicFrame macro="">
      <xdr:nvGraphicFramePr>
        <xdr:cNvPr id="76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152400</xdr:rowOff>
    </xdr:from>
    <xdr:to>
      <xdr:col>2</xdr:col>
      <xdr:colOff>17324</xdr:colOff>
      <xdr:row>23</xdr:row>
      <xdr:rowOff>135675</xdr:rowOff>
    </xdr:to>
    <xdr:graphicFrame macro="">
      <xdr:nvGraphicFramePr>
        <xdr:cNvPr id="86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6</xdr:row>
      <xdr:rowOff>114300</xdr:rowOff>
    </xdr:from>
    <xdr:to>
      <xdr:col>6</xdr:col>
      <xdr:colOff>436425</xdr:colOff>
      <xdr:row>23</xdr:row>
      <xdr:rowOff>97575</xdr:rowOff>
    </xdr:to>
    <xdr:graphicFrame macro="">
      <xdr:nvGraphicFramePr>
        <xdr:cNvPr id="86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133350</xdr:rowOff>
    </xdr:from>
    <xdr:to>
      <xdr:col>2</xdr:col>
      <xdr:colOff>106275</xdr:colOff>
      <xdr:row>24</xdr:row>
      <xdr:rowOff>98700</xdr:rowOff>
    </xdr:to>
    <xdr:graphicFrame macro="">
      <xdr:nvGraphicFramePr>
        <xdr:cNvPr id="96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6</xdr:row>
      <xdr:rowOff>142875</xdr:rowOff>
    </xdr:from>
    <xdr:to>
      <xdr:col>6</xdr:col>
      <xdr:colOff>341175</xdr:colOff>
      <xdr:row>23</xdr:row>
      <xdr:rowOff>126150</xdr:rowOff>
    </xdr:to>
    <xdr:graphicFrame macro="">
      <xdr:nvGraphicFramePr>
        <xdr:cNvPr id="966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</xdr:col>
      <xdr:colOff>630150</xdr:colOff>
      <xdr:row>24</xdr:row>
      <xdr:rowOff>127275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6</xdr:row>
      <xdr:rowOff>142875</xdr:rowOff>
    </xdr:from>
    <xdr:to>
      <xdr:col>6</xdr:col>
      <xdr:colOff>77700</xdr:colOff>
      <xdr:row>24</xdr:row>
      <xdr:rowOff>108225</xdr:rowOff>
    </xdr:to>
    <xdr:graphicFrame macro="">
      <xdr:nvGraphicFramePr>
        <xdr:cNvPr id="5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1</xdr:col>
      <xdr:colOff>645975</xdr:colOff>
      <xdr:row>23</xdr:row>
      <xdr:rowOff>97575</xdr:rowOff>
    </xdr:to>
    <xdr:graphicFrame macro="">
      <xdr:nvGraphicFramePr>
        <xdr:cNvPr id="209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6</xdr:row>
      <xdr:rowOff>76200</xdr:rowOff>
    </xdr:from>
    <xdr:to>
      <xdr:col>6</xdr:col>
      <xdr:colOff>38100</xdr:colOff>
      <xdr:row>23</xdr:row>
      <xdr:rowOff>76201</xdr:rowOff>
    </xdr:to>
    <xdr:graphicFrame macro="">
      <xdr:nvGraphicFramePr>
        <xdr:cNvPr id="209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38100</xdr:rowOff>
    </xdr:from>
    <xdr:to>
      <xdr:col>1</xdr:col>
      <xdr:colOff>239625</xdr:colOff>
      <xdr:row>24</xdr:row>
      <xdr:rowOff>3450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6</xdr:row>
      <xdr:rowOff>76200</xdr:rowOff>
    </xdr:from>
    <xdr:to>
      <xdr:col>5</xdr:col>
      <xdr:colOff>534900</xdr:colOff>
      <xdr:row>24</xdr:row>
      <xdr:rowOff>41550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161925</xdr:rowOff>
    </xdr:from>
    <xdr:to>
      <xdr:col>1</xdr:col>
      <xdr:colOff>277725</xdr:colOff>
      <xdr:row>21</xdr:row>
      <xdr:rowOff>41550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6</xdr:row>
      <xdr:rowOff>152400</xdr:rowOff>
    </xdr:from>
    <xdr:to>
      <xdr:col>6</xdr:col>
      <xdr:colOff>1500</xdr:colOff>
      <xdr:row>21</xdr:row>
      <xdr:rowOff>32025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161925</xdr:rowOff>
    </xdr:from>
    <xdr:to>
      <xdr:col>1</xdr:col>
      <xdr:colOff>277725</xdr:colOff>
      <xdr:row>21</xdr:row>
      <xdr:rowOff>41550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6</xdr:row>
      <xdr:rowOff>152400</xdr:rowOff>
    </xdr:from>
    <xdr:to>
      <xdr:col>6</xdr:col>
      <xdr:colOff>1500</xdr:colOff>
      <xdr:row>21</xdr:row>
      <xdr:rowOff>32025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133350</xdr:rowOff>
    </xdr:from>
    <xdr:to>
      <xdr:col>1</xdr:col>
      <xdr:colOff>636450</xdr:colOff>
      <xdr:row>23</xdr:row>
      <xdr:rowOff>116625</xdr:rowOff>
    </xdr:to>
    <xdr:graphicFrame macro="">
      <xdr:nvGraphicFramePr>
        <xdr:cNvPr id="45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723900</xdr:colOff>
      <xdr:row>6</xdr:row>
      <xdr:rowOff>66675</xdr:rowOff>
    </xdr:from>
    <xdr:to>
      <xdr:col>6</xdr:col>
      <xdr:colOff>74475</xdr:colOff>
      <xdr:row>23</xdr:row>
      <xdr:rowOff>49950</xdr:rowOff>
    </xdr:to>
    <xdr:graphicFrame macro="">
      <xdr:nvGraphicFramePr>
        <xdr:cNvPr id="45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161925</xdr:rowOff>
    </xdr:from>
    <xdr:to>
      <xdr:col>1</xdr:col>
      <xdr:colOff>277725</xdr:colOff>
      <xdr:row>21</xdr:row>
      <xdr:rowOff>41550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6</xdr:row>
      <xdr:rowOff>152400</xdr:rowOff>
    </xdr:from>
    <xdr:to>
      <xdr:col>6</xdr:col>
      <xdr:colOff>1500</xdr:colOff>
      <xdr:row>21</xdr:row>
      <xdr:rowOff>32025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571500</xdr:colOff>
      <xdr:row>16</xdr:row>
      <xdr:rowOff>123826</xdr:rowOff>
    </xdr:from>
    <xdr:ext cx="495300" cy="233205"/>
    <xdr:sp macro="" textlink="">
      <xdr:nvSpPr>
        <xdr:cNvPr id="6" name="Textfeld 5"/>
        <xdr:cNvSpPr txBox="1"/>
      </xdr:nvSpPr>
      <xdr:spPr>
        <a:xfrm>
          <a:off x="571500" y="3095626"/>
          <a:ext cx="4953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900"/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161925</xdr:rowOff>
    </xdr:from>
    <xdr:to>
      <xdr:col>1</xdr:col>
      <xdr:colOff>277725</xdr:colOff>
      <xdr:row>21</xdr:row>
      <xdr:rowOff>41550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6</xdr:row>
      <xdr:rowOff>152400</xdr:rowOff>
    </xdr:from>
    <xdr:to>
      <xdr:col>6</xdr:col>
      <xdr:colOff>1500</xdr:colOff>
      <xdr:row>21</xdr:row>
      <xdr:rowOff>32025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</xdr:row>
      <xdr:rowOff>161925</xdr:rowOff>
    </xdr:from>
    <xdr:to>
      <xdr:col>1</xdr:col>
      <xdr:colOff>325350</xdr:colOff>
      <xdr:row>21</xdr:row>
      <xdr:rowOff>41550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6</xdr:row>
      <xdr:rowOff>152400</xdr:rowOff>
    </xdr:from>
    <xdr:to>
      <xdr:col>6</xdr:col>
      <xdr:colOff>1500</xdr:colOff>
      <xdr:row>21</xdr:row>
      <xdr:rowOff>32025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161925</xdr:rowOff>
    </xdr:from>
    <xdr:to>
      <xdr:col>1</xdr:col>
      <xdr:colOff>277725</xdr:colOff>
      <xdr:row>21</xdr:row>
      <xdr:rowOff>41550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6</xdr:row>
      <xdr:rowOff>152400</xdr:rowOff>
    </xdr:from>
    <xdr:to>
      <xdr:col>6</xdr:col>
      <xdr:colOff>1500</xdr:colOff>
      <xdr:row>21</xdr:row>
      <xdr:rowOff>32025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6</xdr:row>
      <xdr:rowOff>57148</xdr:rowOff>
    </xdr:from>
    <xdr:to>
      <xdr:col>6</xdr:col>
      <xdr:colOff>372975</xdr:colOff>
      <xdr:row>24</xdr:row>
      <xdr:rowOff>22498</xdr:rowOff>
    </xdr:to>
    <xdr:graphicFrame macro="">
      <xdr:nvGraphicFramePr>
        <xdr:cNvPr id="106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47624</xdr:rowOff>
    </xdr:from>
    <xdr:to>
      <xdr:col>2</xdr:col>
      <xdr:colOff>30075</xdr:colOff>
      <xdr:row>24</xdr:row>
      <xdr:rowOff>12974</xdr:rowOff>
    </xdr:to>
    <xdr:graphicFrame macro="">
      <xdr:nvGraphicFramePr>
        <xdr:cNvPr id="106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28575</xdr:rowOff>
    </xdr:from>
    <xdr:to>
      <xdr:col>2</xdr:col>
      <xdr:colOff>103050</xdr:colOff>
      <xdr:row>24</xdr:row>
      <xdr:rowOff>11850</xdr:rowOff>
    </xdr:to>
    <xdr:graphicFrame macro="">
      <xdr:nvGraphicFramePr>
        <xdr:cNvPr id="147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219074</xdr:colOff>
      <xdr:row>7</xdr:row>
      <xdr:rowOff>47625</xdr:rowOff>
    </xdr:from>
    <xdr:to>
      <xdr:col>6</xdr:col>
      <xdr:colOff>303074</xdr:colOff>
      <xdr:row>24</xdr:row>
      <xdr:rowOff>30900</xdr:rowOff>
    </xdr:to>
    <xdr:graphicFrame macro="">
      <xdr:nvGraphicFramePr>
        <xdr:cNvPr id="147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7</xdr:row>
      <xdr:rowOff>9524</xdr:rowOff>
    </xdr:from>
    <xdr:to>
      <xdr:col>6</xdr:col>
      <xdr:colOff>264975</xdr:colOff>
      <xdr:row>23</xdr:row>
      <xdr:rowOff>154724</xdr:rowOff>
    </xdr:to>
    <xdr:graphicFrame macro="">
      <xdr:nvGraphicFramePr>
        <xdr:cNvPr id="117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7</xdr:row>
      <xdr:rowOff>19049</xdr:rowOff>
    </xdr:from>
    <xdr:to>
      <xdr:col>1</xdr:col>
      <xdr:colOff>750750</xdr:colOff>
      <xdr:row>24</xdr:row>
      <xdr:rowOff>38324</xdr:rowOff>
    </xdr:to>
    <xdr:graphicFrame macro="">
      <xdr:nvGraphicFramePr>
        <xdr:cNvPr id="117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9525</xdr:rowOff>
    </xdr:from>
    <xdr:to>
      <xdr:col>1</xdr:col>
      <xdr:colOff>514350</xdr:colOff>
      <xdr:row>23</xdr:row>
      <xdr:rowOff>114300</xdr:rowOff>
    </xdr:to>
    <xdr:graphicFrame macro="">
      <xdr:nvGraphicFramePr>
        <xdr:cNvPr id="13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6</xdr:row>
      <xdr:rowOff>66675</xdr:rowOff>
    </xdr:from>
    <xdr:to>
      <xdr:col>6</xdr:col>
      <xdr:colOff>85725</xdr:colOff>
      <xdr:row>24</xdr:row>
      <xdr:rowOff>9525</xdr:rowOff>
    </xdr:to>
    <xdr:graphicFrame macro="">
      <xdr:nvGraphicFramePr>
        <xdr:cNvPr id="137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</xdr:row>
      <xdr:rowOff>57150</xdr:rowOff>
    </xdr:from>
    <xdr:to>
      <xdr:col>2</xdr:col>
      <xdr:colOff>236400</xdr:colOff>
      <xdr:row>23</xdr:row>
      <xdr:rowOff>40425</xdr:rowOff>
    </xdr:to>
    <xdr:graphicFrame macro="">
      <xdr:nvGraphicFramePr>
        <xdr:cNvPr id="15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228601</xdr:colOff>
      <xdr:row>6</xdr:row>
      <xdr:rowOff>38098</xdr:rowOff>
    </xdr:from>
    <xdr:to>
      <xdr:col>6</xdr:col>
      <xdr:colOff>398326</xdr:colOff>
      <xdr:row>23</xdr:row>
      <xdr:rowOff>21373</xdr:rowOff>
    </xdr:to>
    <xdr:graphicFrame macro="">
      <xdr:nvGraphicFramePr>
        <xdr:cNvPr id="158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66675</xdr:rowOff>
    </xdr:from>
    <xdr:to>
      <xdr:col>1</xdr:col>
      <xdr:colOff>655500</xdr:colOff>
      <xdr:row>25</xdr:row>
      <xdr:rowOff>49950</xdr:rowOff>
    </xdr:to>
    <xdr:graphicFrame macro="">
      <xdr:nvGraphicFramePr>
        <xdr:cNvPr id="188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8</xdr:row>
      <xdr:rowOff>38100</xdr:rowOff>
    </xdr:from>
    <xdr:to>
      <xdr:col>7</xdr:col>
      <xdr:colOff>45900</xdr:colOff>
      <xdr:row>25</xdr:row>
      <xdr:rowOff>21375</xdr:rowOff>
    </xdr:to>
    <xdr:graphicFrame macro="">
      <xdr:nvGraphicFramePr>
        <xdr:cNvPr id="188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6</xdr:row>
      <xdr:rowOff>47625</xdr:rowOff>
    </xdr:from>
    <xdr:to>
      <xdr:col>5</xdr:col>
      <xdr:colOff>133350</xdr:colOff>
      <xdr:row>20</xdr:row>
      <xdr:rowOff>114300</xdr:rowOff>
    </xdr:to>
    <xdr:graphicFrame macro="">
      <xdr:nvGraphicFramePr>
        <xdr:cNvPr id="178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6</xdr:row>
      <xdr:rowOff>19050</xdr:rowOff>
    </xdr:from>
    <xdr:to>
      <xdr:col>1</xdr:col>
      <xdr:colOff>485775</xdr:colOff>
      <xdr:row>20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7</xdr:row>
      <xdr:rowOff>38100</xdr:rowOff>
    </xdr:from>
    <xdr:to>
      <xdr:col>2</xdr:col>
      <xdr:colOff>17324</xdr:colOff>
      <xdr:row>24</xdr:row>
      <xdr:rowOff>21375</xdr:rowOff>
    </xdr:to>
    <xdr:graphicFrame macro="">
      <xdr:nvGraphicFramePr>
        <xdr:cNvPr id="168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7</xdr:row>
      <xdr:rowOff>66675</xdr:rowOff>
    </xdr:from>
    <xdr:to>
      <xdr:col>6</xdr:col>
      <xdr:colOff>322125</xdr:colOff>
      <xdr:row>24</xdr:row>
      <xdr:rowOff>49950</xdr:rowOff>
    </xdr:to>
    <xdr:graphicFrame macro="">
      <xdr:nvGraphicFramePr>
        <xdr:cNvPr id="168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114300</xdr:rowOff>
    </xdr:from>
    <xdr:to>
      <xdr:col>6</xdr:col>
      <xdr:colOff>579300</xdr:colOff>
      <xdr:row>23</xdr:row>
      <xdr:rowOff>97575</xdr:rowOff>
    </xdr:to>
    <xdr:graphicFrame macro="">
      <xdr:nvGraphicFramePr>
        <xdr:cNvPr id="526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6</xdr:row>
      <xdr:rowOff>133350</xdr:rowOff>
    </xdr:from>
    <xdr:to>
      <xdr:col>2</xdr:col>
      <xdr:colOff>198299</xdr:colOff>
      <xdr:row>23</xdr:row>
      <xdr:rowOff>116625</xdr:rowOff>
    </xdr:to>
    <xdr:graphicFrame macro="">
      <xdr:nvGraphicFramePr>
        <xdr:cNvPr id="526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114300</xdr:rowOff>
    </xdr:from>
    <xdr:to>
      <xdr:col>6</xdr:col>
      <xdr:colOff>579300</xdr:colOff>
      <xdr:row>23</xdr:row>
      <xdr:rowOff>97575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6</xdr:row>
      <xdr:rowOff>133350</xdr:rowOff>
    </xdr:from>
    <xdr:to>
      <xdr:col>2</xdr:col>
      <xdr:colOff>198299</xdr:colOff>
      <xdr:row>23</xdr:row>
      <xdr:rowOff>116625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152399</xdr:rowOff>
    </xdr:from>
    <xdr:to>
      <xdr:col>6</xdr:col>
      <xdr:colOff>388800</xdr:colOff>
      <xdr:row>23</xdr:row>
      <xdr:rowOff>135674</xdr:rowOff>
    </xdr:to>
    <xdr:graphicFrame macro="">
      <xdr:nvGraphicFramePr>
        <xdr:cNvPr id="306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</xdr:row>
      <xdr:rowOff>38100</xdr:rowOff>
    </xdr:from>
    <xdr:to>
      <xdr:col>2</xdr:col>
      <xdr:colOff>7800</xdr:colOff>
      <xdr:row>23</xdr:row>
      <xdr:rowOff>21375</xdr:rowOff>
    </xdr:to>
    <xdr:graphicFrame macro="">
      <xdr:nvGraphicFramePr>
        <xdr:cNvPr id="306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152399</xdr:rowOff>
    </xdr:from>
    <xdr:to>
      <xdr:col>6</xdr:col>
      <xdr:colOff>0</xdr:colOff>
      <xdr:row>23</xdr:row>
      <xdr:rowOff>135674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</xdr:row>
      <xdr:rowOff>38100</xdr:rowOff>
    </xdr:from>
    <xdr:to>
      <xdr:col>2</xdr:col>
      <xdr:colOff>7800</xdr:colOff>
      <xdr:row>23</xdr:row>
      <xdr:rowOff>21375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6</xdr:row>
      <xdr:rowOff>152400</xdr:rowOff>
    </xdr:from>
    <xdr:to>
      <xdr:col>6</xdr:col>
      <xdr:colOff>160199</xdr:colOff>
      <xdr:row>23</xdr:row>
      <xdr:rowOff>135675</xdr:rowOff>
    </xdr:to>
    <xdr:graphicFrame macro="">
      <xdr:nvGraphicFramePr>
        <xdr:cNvPr id="311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57150</xdr:rowOff>
    </xdr:from>
    <xdr:to>
      <xdr:col>1</xdr:col>
      <xdr:colOff>703125</xdr:colOff>
      <xdr:row>23</xdr:row>
      <xdr:rowOff>40425</xdr:rowOff>
    </xdr:to>
    <xdr:graphicFrame macro="">
      <xdr:nvGraphicFramePr>
        <xdr:cNvPr id="311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6</xdr:row>
      <xdr:rowOff>57150</xdr:rowOff>
    </xdr:from>
    <xdr:to>
      <xdr:col>6</xdr:col>
      <xdr:colOff>247649</xdr:colOff>
      <xdr:row>22</xdr:row>
      <xdr:rowOff>19050</xdr:rowOff>
    </xdr:to>
    <xdr:graphicFrame macro="">
      <xdr:nvGraphicFramePr>
        <xdr:cNvPr id="516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152399</xdr:rowOff>
    </xdr:from>
    <xdr:to>
      <xdr:col>1</xdr:col>
      <xdr:colOff>760275</xdr:colOff>
      <xdr:row>20</xdr:row>
      <xdr:rowOff>161924</xdr:rowOff>
    </xdr:to>
    <xdr:graphicFrame macro="">
      <xdr:nvGraphicFramePr>
        <xdr:cNvPr id="516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114300</xdr:rowOff>
    </xdr:from>
    <xdr:to>
      <xdr:col>1</xdr:col>
      <xdr:colOff>617400</xdr:colOff>
      <xdr:row>24</xdr:row>
      <xdr:rowOff>97575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142874</xdr:colOff>
      <xdr:row>7</xdr:row>
      <xdr:rowOff>114300</xdr:rowOff>
    </xdr:from>
    <xdr:to>
      <xdr:col>6</xdr:col>
      <xdr:colOff>226874</xdr:colOff>
      <xdr:row>24</xdr:row>
      <xdr:rowOff>97575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6</xdr:row>
      <xdr:rowOff>95250</xdr:rowOff>
    </xdr:from>
    <xdr:to>
      <xdr:col>2</xdr:col>
      <xdr:colOff>64949</xdr:colOff>
      <xdr:row>23</xdr:row>
      <xdr:rowOff>78525</xdr:rowOff>
    </xdr:to>
    <xdr:graphicFrame macro="">
      <xdr:nvGraphicFramePr>
        <xdr:cNvPr id="373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133349</xdr:colOff>
      <xdr:row>6</xdr:row>
      <xdr:rowOff>114300</xdr:rowOff>
    </xdr:from>
    <xdr:to>
      <xdr:col>6</xdr:col>
      <xdr:colOff>217349</xdr:colOff>
      <xdr:row>23</xdr:row>
      <xdr:rowOff>97575</xdr:rowOff>
    </xdr:to>
    <xdr:graphicFrame macro="">
      <xdr:nvGraphicFramePr>
        <xdr:cNvPr id="373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76200</xdr:rowOff>
    </xdr:from>
    <xdr:to>
      <xdr:col>1</xdr:col>
      <xdr:colOff>655500</xdr:colOff>
      <xdr:row>23</xdr:row>
      <xdr:rowOff>78525</xdr:rowOff>
    </xdr:to>
    <xdr:graphicFrame macro="">
      <xdr:nvGraphicFramePr>
        <xdr:cNvPr id="444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76199</xdr:colOff>
      <xdr:row>7</xdr:row>
      <xdr:rowOff>19050</xdr:rowOff>
    </xdr:from>
    <xdr:to>
      <xdr:col>6</xdr:col>
      <xdr:colOff>160199</xdr:colOff>
      <xdr:row>23</xdr:row>
      <xdr:rowOff>21375</xdr:rowOff>
    </xdr:to>
    <xdr:graphicFrame macro="">
      <xdr:nvGraphicFramePr>
        <xdr:cNvPr id="444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7</xdr:row>
      <xdr:rowOff>38100</xdr:rowOff>
    </xdr:from>
    <xdr:to>
      <xdr:col>5</xdr:col>
      <xdr:colOff>628650</xdr:colOff>
      <xdr:row>24</xdr:row>
      <xdr:rowOff>19050</xdr:rowOff>
    </xdr:to>
    <xdr:graphicFrame macro="">
      <xdr:nvGraphicFramePr>
        <xdr:cNvPr id="547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7</xdr:row>
      <xdr:rowOff>38100</xdr:rowOff>
    </xdr:from>
    <xdr:to>
      <xdr:col>1</xdr:col>
      <xdr:colOff>647700</xdr:colOff>
      <xdr:row>24</xdr:row>
      <xdr:rowOff>19050</xdr:rowOff>
    </xdr:to>
    <xdr:graphicFrame macro="">
      <xdr:nvGraphicFramePr>
        <xdr:cNvPr id="54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6</xdr:row>
      <xdr:rowOff>123825</xdr:rowOff>
    </xdr:from>
    <xdr:to>
      <xdr:col>6</xdr:col>
      <xdr:colOff>645975</xdr:colOff>
      <xdr:row>23</xdr:row>
      <xdr:rowOff>107100</xdr:rowOff>
    </xdr:to>
    <xdr:graphicFrame macro="">
      <xdr:nvGraphicFramePr>
        <xdr:cNvPr id="352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6</xdr:row>
      <xdr:rowOff>95250</xdr:rowOff>
    </xdr:from>
    <xdr:to>
      <xdr:col>2</xdr:col>
      <xdr:colOff>141150</xdr:colOff>
      <xdr:row>23</xdr:row>
      <xdr:rowOff>78525</xdr:rowOff>
    </xdr:to>
    <xdr:graphicFrame macro="">
      <xdr:nvGraphicFramePr>
        <xdr:cNvPr id="3526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6</xdr:row>
      <xdr:rowOff>28575</xdr:rowOff>
    </xdr:from>
    <xdr:to>
      <xdr:col>6</xdr:col>
      <xdr:colOff>531675</xdr:colOff>
      <xdr:row>23</xdr:row>
      <xdr:rowOff>11850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2</xdr:col>
      <xdr:colOff>26850</xdr:colOff>
      <xdr:row>22</xdr:row>
      <xdr:rowOff>145200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7</xdr:row>
      <xdr:rowOff>28575</xdr:rowOff>
    </xdr:from>
    <xdr:to>
      <xdr:col>6</xdr:col>
      <xdr:colOff>217349</xdr:colOff>
      <xdr:row>24</xdr:row>
      <xdr:rowOff>11850</xdr:rowOff>
    </xdr:to>
    <xdr:graphicFrame macro="">
      <xdr:nvGraphicFramePr>
        <xdr:cNvPr id="434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7</xdr:row>
      <xdr:rowOff>28575</xdr:rowOff>
    </xdr:from>
    <xdr:to>
      <xdr:col>2</xdr:col>
      <xdr:colOff>133350</xdr:colOff>
      <xdr:row>24</xdr:row>
      <xdr:rowOff>57150</xdr:rowOff>
    </xdr:to>
    <xdr:graphicFrame macro="">
      <xdr:nvGraphicFramePr>
        <xdr:cNvPr id="434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7</xdr:row>
      <xdr:rowOff>142873</xdr:rowOff>
    </xdr:from>
    <xdr:to>
      <xdr:col>5</xdr:col>
      <xdr:colOff>476250</xdr:colOff>
      <xdr:row>24</xdr:row>
      <xdr:rowOff>114300</xdr:rowOff>
    </xdr:to>
    <xdr:graphicFrame macro="">
      <xdr:nvGraphicFramePr>
        <xdr:cNvPr id="465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7</xdr:row>
      <xdr:rowOff>28575</xdr:rowOff>
    </xdr:from>
    <xdr:to>
      <xdr:col>1</xdr:col>
      <xdr:colOff>360225</xdr:colOff>
      <xdr:row>24</xdr:row>
      <xdr:rowOff>11850</xdr:rowOff>
    </xdr:to>
    <xdr:graphicFrame macro="">
      <xdr:nvGraphicFramePr>
        <xdr:cNvPr id="465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28575</xdr:rowOff>
    </xdr:from>
    <xdr:to>
      <xdr:col>2</xdr:col>
      <xdr:colOff>17325</xdr:colOff>
      <xdr:row>22</xdr:row>
      <xdr:rowOff>11850</xdr:rowOff>
    </xdr:to>
    <xdr:graphicFrame macro="">
      <xdr:nvGraphicFramePr>
        <xdr:cNvPr id="23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6</xdr:row>
      <xdr:rowOff>19050</xdr:rowOff>
    </xdr:from>
    <xdr:to>
      <xdr:col>6</xdr:col>
      <xdr:colOff>455475</xdr:colOff>
      <xdr:row>22</xdr:row>
      <xdr:rowOff>2325</xdr:rowOff>
    </xdr:to>
    <xdr:graphicFrame macro="">
      <xdr:nvGraphicFramePr>
        <xdr:cNvPr id="239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6</xdr:row>
      <xdr:rowOff>28575</xdr:rowOff>
    </xdr:from>
    <xdr:to>
      <xdr:col>1</xdr:col>
      <xdr:colOff>590551</xdr:colOff>
      <xdr:row>21</xdr:row>
      <xdr:rowOff>19050</xdr:rowOff>
    </xdr:to>
    <xdr:graphicFrame macro="">
      <xdr:nvGraphicFramePr>
        <xdr:cNvPr id="291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114299</xdr:colOff>
      <xdr:row>6</xdr:row>
      <xdr:rowOff>19050</xdr:rowOff>
    </xdr:from>
    <xdr:to>
      <xdr:col>6</xdr:col>
      <xdr:colOff>198299</xdr:colOff>
      <xdr:row>23</xdr:row>
      <xdr:rowOff>2325</xdr:rowOff>
    </xdr:to>
    <xdr:graphicFrame macro="">
      <xdr:nvGraphicFramePr>
        <xdr:cNvPr id="291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0.79922</cdr:x>
      <cdr:y>0.17407</cdr:y>
    </cdr:from>
    <cdr:to>
      <cdr:x>0.91514</cdr:x>
      <cdr:y>0.2437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2495549" y="476251"/>
          <a:ext cx="3619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000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7</xdr:row>
      <xdr:rowOff>142873</xdr:rowOff>
    </xdr:from>
    <xdr:to>
      <xdr:col>5</xdr:col>
      <xdr:colOff>476250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7</xdr:row>
      <xdr:rowOff>28575</xdr:rowOff>
    </xdr:from>
    <xdr:to>
      <xdr:col>1</xdr:col>
      <xdr:colOff>360225</xdr:colOff>
      <xdr:row>24</xdr:row>
      <xdr:rowOff>11850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7</xdr:row>
      <xdr:rowOff>142873</xdr:rowOff>
    </xdr:from>
    <xdr:to>
      <xdr:col>5</xdr:col>
      <xdr:colOff>476250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7</xdr:row>
      <xdr:rowOff>28575</xdr:rowOff>
    </xdr:from>
    <xdr:to>
      <xdr:col>1</xdr:col>
      <xdr:colOff>360225</xdr:colOff>
      <xdr:row>24</xdr:row>
      <xdr:rowOff>11850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38102</xdr:colOff>
      <xdr:row>6</xdr:row>
      <xdr:rowOff>28575</xdr:rowOff>
    </xdr:from>
    <xdr:to>
      <xdr:col>1</xdr:col>
      <xdr:colOff>590551</xdr:colOff>
      <xdr:row>21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114299</xdr:colOff>
      <xdr:row>6</xdr:row>
      <xdr:rowOff>19050</xdr:rowOff>
    </xdr:from>
    <xdr:to>
      <xdr:col>6</xdr:col>
      <xdr:colOff>198299</xdr:colOff>
      <xdr:row>23</xdr:row>
      <xdr:rowOff>2325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6</xdr:row>
      <xdr:rowOff>123825</xdr:rowOff>
    </xdr:from>
    <xdr:to>
      <xdr:col>2</xdr:col>
      <xdr:colOff>58648</xdr:colOff>
      <xdr:row>24</xdr:row>
      <xdr:rowOff>89175</xdr:rowOff>
    </xdr:to>
    <xdr:graphicFrame macro="">
      <xdr:nvGraphicFramePr>
        <xdr:cNvPr id="19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6</xdr:row>
      <xdr:rowOff>104775</xdr:rowOff>
    </xdr:from>
    <xdr:to>
      <xdr:col>6</xdr:col>
      <xdr:colOff>401550</xdr:colOff>
      <xdr:row>24</xdr:row>
      <xdr:rowOff>70125</xdr:rowOff>
    </xdr:to>
    <xdr:graphicFrame macro="">
      <xdr:nvGraphicFramePr>
        <xdr:cNvPr id="199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0.79922</cdr:x>
      <cdr:y>0.17407</cdr:y>
    </cdr:from>
    <cdr:to>
      <cdr:x>0.91514</cdr:x>
      <cdr:y>0.2437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2495549" y="476251"/>
          <a:ext cx="3619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0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104775</xdr:rowOff>
    </xdr:from>
    <xdr:to>
      <xdr:col>6</xdr:col>
      <xdr:colOff>245925</xdr:colOff>
      <xdr:row>23</xdr:row>
      <xdr:rowOff>88050</xdr:rowOff>
    </xdr:to>
    <xdr:graphicFrame macro="">
      <xdr:nvGraphicFramePr>
        <xdr:cNvPr id="475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123825</xdr:rowOff>
    </xdr:from>
    <xdr:to>
      <xdr:col>2</xdr:col>
      <xdr:colOff>7800</xdr:colOff>
      <xdr:row>23</xdr:row>
      <xdr:rowOff>107100</xdr:rowOff>
    </xdr:to>
    <xdr:graphicFrame macro="">
      <xdr:nvGraphicFramePr>
        <xdr:cNvPr id="475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47625</xdr:rowOff>
    </xdr:from>
    <xdr:to>
      <xdr:col>6</xdr:col>
      <xdr:colOff>143250</xdr:colOff>
      <xdr:row>23</xdr:row>
      <xdr:rowOff>30900</xdr:rowOff>
    </xdr:to>
    <xdr:graphicFrame macro="">
      <xdr:nvGraphicFramePr>
        <xdr:cNvPr id="4857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6</xdr:row>
      <xdr:rowOff>66675</xdr:rowOff>
    </xdr:from>
    <xdr:to>
      <xdr:col>2</xdr:col>
      <xdr:colOff>103050</xdr:colOff>
      <xdr:row>23</xdr:row>
      <xdr:rowOff>49950</xdr:rowOff>
    </xdr:to>
    <xdr:graphicFrame macro="">
      <xdr:nvGraphicFramePr>
        <xdr:cNvPr id="485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6</xdr:row>
      <xdr:rowOff>152400</xdr:rowOff>
    </xdr:from>
    <xdr:to>
      <xdr:col>6</xdr:col>
      <xdr:colOff>484049</xdr:colOff>
      <xdr:row>23</xdr:row>
      <xdr:rowOff>135675</xdr:rowOff>
    </xdr:to>
    <xdr:graphicFrame macro="">
      <xdr:nvGraphicFramePr>
        <xdr:cNvPr id="506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1</xdr:col>
      <xdr:colOff>760275</xdr:colOff>
      <xdr:row>23</xdr:row>
      <xdr:rowOff>145200</xdr:rowOff>
    </xdr:to>
    <xdr:graphicFrame macro="">
      <xdr:nvGraphicFramePr>
        <xdr:cNvPr id="506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6</xdr:row>
      <xdr:rowOff>152399</xdr:rowOff>
    </xdr:from>
    <xdr:to>
      <xdr:col>6</xdr:col>
      <xdr:colOff>198299</xdr:colOff>
      <xdr:row>23</xdr:row>
      <xdr:rowOff>135674</xdr:rowOff>
    </xdr:to>
    <xdr:graphicFrame macro="">
      <xdr:nvGraphicFramePr>
        <xdr:cNvPr id="495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</xdr:row>
      <xdr:rowOff>142875</xdr:rowOff>
    </xdr:from>
    <xdr:to>
      <xdr:col>2</xdr:col>
      <xdr:colOff>7800</xdr:colOff>
      <xdr:row>23</xdr:row>
      <xdr:rowOff>126150</xdr:rowOff>
    </xdr:to>
    <xdr:graphicFrame macro="">
      <xdr:nvGraphicFramePr>
        <xdr:cNvPr id="495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0.01149</cdr:x>
      <cdr:y>0.90315</cdr:y>
    </cdr:from>
    <cdr:to>
      <cdr:x>0.68783</cdr:x>
      <cdr:y>0.97454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687158"/>
          <a:ext cx="2802315" cy="2121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0.01144</cdr:x>
      <cdr:y>0.88616</cdr:y>
    </cdr:from>
    <cdr:to>
      <cdr:x>0.69664</cdr:x>
      <cdr:y>0.98361</cdr:y>
    </cdr:to>
    <cdr:sp macro="" textlink="">
      <cdr:nvSpPr>
        <cdr:cNvPr id="22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577580"/>
          <a:ext cx="2852106" cy="2830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45</xdr:row>
      <xdr:rowOff>66675</xdr:rowOff>
    </xdr:from>
    <xdr:to>
      <xdr:col>5</xdr:col>
      <xdr:colOff>360225</xdr:colOff>
      <xdr:row>62</xdr:row>
      <xdr:rowOff>49950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45</xdr:row>
      <xdr:rowOff>9525</xdr:rowOff>
    </xdr:from>
    <xdr:to>
      <xdr:col>1</xdr:col>
      <xdr:colOff>779325</xdr:colOff>
      <xdr:row>61</xdr:row>
      <xdr:rowOff>154725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38099</xdr:rowOff>
    </xdr:from>
    <xdr:to>
      <xdr:col>1</xdr:col>
      <xdr:colOff>598350</xdr:colOff>
      <xdr:row>23</xdr:row>
      <xdr:rowOff>21374</xdr:rowOff>
    </xdr:to>
    <xdr:graphicFrame macro="">
      <xdr:nvGraphicFramePr>
        <xdr:cNvPr id="588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733425</xdr:colOff>
      <xdr:row>6</xdr:row>
      <xdr:rowOff>47624</xdr:rowOff>
    </xdr:from>
    <xdr:to>
      <xdr:col>6</xdr:col>
      <xdr:colOff>55425</xdr:colOff>
      <xdr:row>23</xdr:row>
      <xdr:rowOff>30899</xdr:rowOff>
    </xdr:to>
    <xdr:graphicFrame macro="">
      <xdr:nvGraphicFramePr>
        <xdr:cNvPr id="588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85725</xdr:rowOff>
    </xdr:from>
    <xdr:to>
      <xdr:col>1</xdr:col>
      <xdr:colOff>655499</xdr:colOff>
      <xdr:row>20</xdr:row>
      <xdr:rowOff>154725</xdr:rowOff>
    </xdr:to>
    <xdr:graphicFrame macro="">
      <xdr:nvGraphicFramePr>
        <xdr:cNvPr id="3219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6</xdr:row>
      <xdr:rowOff>66675</xdr:rowOff>
    </xdr:from>
    <xdr:to>
      <xdr:col>6</xdr:col>
      <xdr:colOff>141150</xdr:colOff>
      <xdr:row>20</xdr:row>
      <xdr:rowOff>135675</xdr:rowOff>
    </xdr:to>
    <xdr:graphicFrame macro="">
      <xdr:nvGraphicFramePr>
        <xdr:cNvPr id="3219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38100</xdr:rowOff>
    </xdr:from>
    <xdr:to>
      <xdr:col>1</xdr:col>
      <xdr:colOff>693600</xdr:colOff>
      <xdr:row>24</xdr:row>
      <xdr:rowOff>21375</xdr:rowOff>
    </xdr:to>
    <xdr:graphicFrame macro="">
      <xdr:nvGraphicFramePr>
        <xdr:cNvPr id="219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7</xdr:row>
      <xdr:rowOff>57150</xdr:rowOff>
    </xdr:from>
    <xdr:to>
      <xdr:col>6</xdr:col>
      <xdr:colOff>274500</xdr:colOff>
      <xdr:row>24</xdr:row>
      <xdr:rowOff>40425</xdr:rowOff>
    </xdr:to>
    <xdr:graphicFrame macro="">
      <xdr:nvGraphicFramePr>
        <xdr:cNvPr id="219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85725</xdr:rowOff>
    </xdr:from>
    <xdr:to>
      <xdr:col>1</xdr:col>
      <xdr:colOff>655499</xdr:colOff>
      <xdr:row>20</xdr:row>
      <xdr:rowOff>154725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6</xdr:row>
      <xdr:rowOff>66675</xdr:rowOff>
    </xdr:from>
    <xdr:to>
      <xdr:col>6</xdr:col>
      <xdr:colOff>141150</xdr:colOff>
      <xdr:row>20</xdr:row>
      <xdr:rowOff>135675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6</xdr:row>
      <xdr:rowOff>123824</xdr:rowOff>
    </xdr:from>
    <xdr:to>
      <xdr:col>6</xdr:col>
      <xdr:colOff>455474</xdr:colOff>
      <xdr:row>23</xdr:row>
      <xdr:rowOff>143099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6</xdr:row>
      <xdr:rowOff>123824</xdr:rowOff>
    </xdr:from>
    <xdr:to>
      <xdr:col>2</xdr:col>
      <xdr:colOff>74474</xdr:colOff>
      <xdr:row>23</xdr:row>
      <xdr:rowOff>143099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6</xdr:row>
      <xdr:rowOff>123824</xdr:rowOff>
    </xdr:from>
    <xdr:to>
      <xdr:col>2</xdr:col>
      <xdr:colOff>74474</xdr:colOff>
      <xdr:row>23</xdr:row>
      <xdr:rowOff>143099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371474</xdr:colOff>
      <xdr:row>6</xdr:row>
      <xdr:rowOff>123824</xdr:rowOff>
    </xdr:from>
    <xdr:to>
      <xdr:col>6</xdr:col>
      <xdr:colOff>455474</xdr:colOff>
      <xdr:row>23</xdr:row>
      <xdr:rowOff>143099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85725</xdr:rowOff>
    </xdr:from>
    <xdr:to>
      <xdr:col>1</xdr:col>
      <xdr:colOff>655499</xdr:colOff>
      <xdr:row>20</xdr:row>
      <xdr:rowOff>154725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6</xdr:row>
      <xdr:rowOff>66675</xdr:rowOff>
    </xdr:from>
    <xdr:to>
      <xdr:col>6</xdr:col>
      <xdr:colOff>141150</xdr:colOff>
      <xdr:row>20</xdr:row>
      <xdr:rowOff>135675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28574</xdr:rowOff>
    </xdr:from>
    <xdr:to>
      <xdr:col>2</xdr:col>
      <xdr:colOff>64950</xdr:colOff>
      <xdr:row>23</xdr:row>
      <xdr:rowOff>145199</xdr:rowOff>
    </xdr:to>
    <xdr:graphicFrame macro="">
      <xdr:nvGraphicFramePr>
        <xdr:cNvPr id="414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7</xdr:row>
      <xdr:rowOff>9525</xdr:rowOff>
    </xdr:from>
    <xdr:to>
      <xdr:col>6</xdr:col>
      <xdr:colOff>169725</xdr:colOff>
      <xdr:row>23</xdr:row>
      <xdr:rowOff>154725</xdr:rowOff>
    </xdr:to>
    <xdr:graphicFrame macro="">
      <xdr:nvGraphicFramePr>
        <xdr:cNvPr id="414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7</xdr:row>
      <xdr:rowOff>66675</xdr:rowOff>
    </xdr:from>
    <xdr:to>
      <xdr:col>6</xdr:col>
      <xdr:colOff>226874</xdr:colOff>
      <xdr:row>24</xdr:row>
      <xdr:rowOff>49950</xdr:rowOff>
    </xdr:to>
    <xdr:graphicFrame macro="">
      <xdr:nvGraphicFramePr>
        <xdr:cNvPr id="403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7</xdr:row>
      <xdr:rowOff>57150</xdr:rowOff>
    </xdr:from>
    <xdr:to>
      <xdr:col>2</xdr:col>
      <xdr:colOff>45900</xdr:colOff>
      <xdr:row>24</xdr:row>
      <xdr:rowOff>40425</xdr:rowOff>
    </xdr:to>
    <xdr:graphicFrame macro="">
      <xdr:nvGraphicFramePr>
        <xdr:cNvPr id="403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142875</xdr:rowOff>
    </xdr:from>
    <xdr:to>
      <xdr:col>6</xdr:col>
      <xdr:colOff>295275</xdr:colOff>
      <xdr:row>23</xdr:row>
      <xdr:rowOff>133350</xdr:rowOff>
    </xdr:to>
    <xdr:graphicFrame macro="">
      <xdr:nvGraphicFramePr>
        <xdr:cNvPr id="455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123825</xdr:rowOff>
    </xdr:from>
    <xdr:to>
      <xdr:col>1</xdr:col>
      <xdr:colOff>723900</xdr:colOff>
      <xdr:row>23</xdr:row>
      <xdr:rowOff>114300</xdr:rowOff>
    </xdr:to>
    <xdr:graphicFrame macro="">
      <xdr:nvGraphicFramePr>
        <xdr:cNvPr id="455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8</xdr:row>
      <xdr:rowOff>152400</xdr:rowOff>
    </xdr:from>
    <xdr:to>
      <xdr:col>5</xdr:col>
      <xdr:colOff>636449</xdr:colOff>
      <xdr:row>25</xdr:row>
      <xdr:rowOff>135675</xdr:rowOff>
    </xdr:to>
    <xdr:graphicFrame macro="">
      <xdr:nvGraphicFramePr>
        <xdr:cNvPr id="393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142875</xdr:rowOff>
    </xdr:from>
    <xdr:to>
      <xdr:col>1</xdr:col>
      <xdr:colOff>504825</xdr:colOff>
      <xdr:row>25</xdr:row>
      <xdr:rowOff>114300</xdr:rowOff>
    </xdr:to>
    <xdr:graphicFrame macro="">
      <xdr:nvGraphicFramePr>
        <xdr:cNvPr id="393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152400</xdr:rowOff>
    </xdr:from>
    <xdr:to>
      <xdr:col>2</xdr:col>
      <xdr:colOff>96750</xdr:colOff>
      <xdr:row>24</xdr:row>
      <xdr:rowOff>117750</xdr:rowOff>
    </xdr:to>
    <xdr:graphicFrame macro="">
      <xdr:nvGraphicFramePr>
        <xdr:cNvPr id="260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352424</xdr:colOff>
      <xdr:row>6</xdr:row>
      <xdr:rowOff>152398</xdr:rowOff>
    </xdr:from>
    <xdr:to>
      <xdr:col>6</xdr:col>
      <xdr:colOff>544424</xdr:colOff>
      <xdr:row>24</xdr:row>
      <xdr:rowOff>117748</xdr:rowOff>
    </xdr:to>
    <xdr:graphicFrame macro="">
      <xdr:nvGraphicFramePr>
        <xdr:cNvPr id="2604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</xdr:colOff>
      <xdr:row>7</xdr:row>
      <xdr:rowOff>85725</xdr:rowOff>
    </xdr:from>
    <xdr:to>
      <xdr:col>1</xdr:col>
      <xdr:colOff>750749</xdr:colOff>
      <xdr:row>24</xdr:row>
      <xdr:rowOff>69000</xdr:rowOff>
    </xdr:to>
    <xdr:graphicFrame macro="">
      <xdr:nvGraphicFramePr>
        <xdr:cNvPr id="2707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161924</xdr:colOff>
      <xdr:row>7</xdr:row>
      <xdr:rowOff>47625</xdr:rowOff>
    </xdr:from>
    <xdr:to>
      <xdr:col>6</xdr:col>
      <xdr:colOff>245924</xdr:colOff>
      <xdr:row>24</xdr:row>
      <xdr:rowOff>30900</xdr:rowOff>
    </xdr:to>
    <xdr:graphicFrame macro="">
      <xdr:nvGraphicFramePr>
        <xdr:cNvPr id="270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123825</xdr:rowOff>
    </xdr:from>
    <xdr:to>
      <xdr:col>2</xdr:col>
      <xdr:colOff>26850</xdr:colOff>
      <xdr:row>23</xdr:row>
      <xdr:rowOff>107100</xdr:rowOff>
    </xdr:to>
    <xdr:graphicFrame macro="">
      <xdr:nvGraphicFramePr>
        <xdr:cNvPr id="2809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95249</xdr:colOff>
      <xdr:row>6</xdr:row>
      <xdr:rowOff>95250</xdr:rowOff>
    </xdr:from>
    <xdr:to>
      <xdr:col>6</xdr:col>
      <xdr:colOff>179249</xdr:colOff>
      <xdr:row>23</xdr:row>
      <xdr:rowOff>78525</xdr:rowOff>
    </xdr:to>
    <xdr:graphicFrame macro="">
      <xdr:nvGraphicFramePr>
        <xdr:cNvPr id="280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/>
  </sheetPr>
  <dimension ref="A2:H56"/>
  <sheetViews>
    <sheetView topLeftCell="A24" workbookViewId="0">
      <selection activeCell="A26" sqref="A26:E55"/>
    </sheetView>
  </sheetViews>
  <sheetFormatPr baseColWidth="10" defaultRowHeight="12.75" x14ac:dyDescent="0.2"/>
  <cols>
    <col min="1" max="1" width="49.5703125" style="1" customWidth="1"/>
    <col min="2" max="5" width="10.85546875" style="1" customWidth="1"/>
    <col min="6" max="16384" width="11.42578125" style="1"/>
  </cols>
  <sheetData>
    <row r="2" spans="1:5" x14ac:dyDescent="0.2">
      <c r="A2" s="1" t="s">
        <v>45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B3" s="2">
        <f>E55</f>
        <v>8983</v>
      </c>
      <c r="C3" s="2">
        <f>D55</f>
        <v>584</v>
      </c>
      <c r="D3" s="2">
        <f>C55</f>
        <v>1376</v>
      </c>
      <c r="E3" s="2">
        <f>B55</f>
        <v>2560</v>
      </c>
    </row>
    <row r="5" spans="1:5" x14ac:dyDescent="0.2">
      <c r="A5" s="1" t="s">
        <v>46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E36/E40</f>
        <v>0.28780541181094393</v>
      </c>
      <c r="C6" s="3">
        <f>D36/D40</f>
        <v>0.30051354172320033</v>
      </c>
      <c r="D6" s="3">
        <f>C36/C40</f>
        <v>0.30276805676096163</v>
      </c>
      <c r="E6" s="3">
        <f>B36/B40</f>
        <v>0.29886914121061303</v>
      </c>
    </row>
    <row r="24" spans="1:5" x14ac:dyDescent="0.2">
      <c r="A24" s="1" t="s">
        <v>47</v>
      </c>
    </row>
    <row r="26" spans="1:5" ht="15.75" x14ac:dyDescent="0.2">
      <c r="A26" s="59"/>
      <c r="B26" s="55">
        <v>2018</v>
      </c>
      <c r="C26" s="55">
        <v>2017</v>
      </c>
      <c r="D26" s="55">
        <v>2016</v>
      </c>
      <c r="E26" s="55">
        <v>2015</v>
      </c>
    </row>
    <row r="27" spans="1:5" ht="17.100000000000001" customHeight="1" x14ac:dyDescent="0.25">
      <c r="A27" s="35" t="s">
        <v>2</v>
      </c>
      <c r="B27" s="4"/>
      <c r="C27" s="4"/>
      <c r="D27" s="4"/>
      <c r="E27" s="4"/>
    </row>
    <row r="28" spans="1:5" ht="17.100000000000001" customHeight="1" x14ac:dyDescent="0.2">
      <c r="A28" s="36" t="s">
        <v>48</v>
      </c>
    </row>
    <row r="29" spans="1:5" ht="17.100000000000001" customHeight="1" x14ac:dyDescent="0.2">
      <c r="A29" s="36"/>
      <c r="B29" s="36"/>
      <c r="C29" s="36"/>
      <c r="D29" s="36"/>
      <c r="E29" s="36"/>
    </row>
    <row r="30" spans="1:5" ht="17.100000000000001" customHeight="1" x14ac:dyDescent="0.25">
      <c r="A30" s="8" t="s">
        <v>4</v>
      </c>
      <c r="B30" s="9">
        <v>1086649</v>
      </c>
      <c r="C30" s="9">
        <v>1074531</v>
      </c>
      <c r="D30" s="9">
        <v>1082921</v>
      </c>
      <c r="E30" s="9">
        <v>1096973</v>
      </c>
    </row>
    <row r="31" spans="1:5" ht="17.100000000000001" customHeight="1" x14ac:dyDescent="0.25">
      <c r="A31" s="8" t="s">
        <v>5</v>
      </c>
      <c r="B31" s="9">
        <v>168143</v>
      </c>
      <c r="C31" s="9">
        <v>173822</v>
      </c>
      <c r="D31" s="9">
        <v>187431</v>
      </c>
      <c r="E31" s="9">
        <v>245412</v>
      </c>
    </row>
    <row r="32" spans="1:5" ht="17.100000000000001" customHeight="1" x14ac:dyDescent="0.25">
      <c r="A32" s="8" t="s">
        <v>6</v>
      </c>
      <c r="B32" s="27">
        <v>2571</v>
      </c>
      <c r="C32" s="27">
        <v>1802</v>
      </c>
      <c r="D32" s="27">
        <v>1015</v>
      </c>
      <c r="E32" s="27">
        <v>1047</v>
      </c>
    </row>
    <row r="33" spans="1:8" ht="17.100000000000001" customHeight="1" x14ac:dyDescent="0.25">
      <c r="A33" s="56"/>
      <c r="B33" s="60">
        <f>SUM(B30:B32)</f>
        <v>1257363</v>
      </c>
      <c r="C33" s="60">
        <f>SUM(C30:C32)</f>
        <v>1250155</v>
      </c>
      <c r="D33" s="60">
        <f>SUM(D30:D32)</f>
        <v>1271367</v>
      </c>
      <c r="E33" s="60">
        <f>SUM(E30:E32)</f>
        <v>1343432</v>
      </c>
    </row>
    <row r="34" spans="1:8" ht="17.100000000000001" customHeight="1" x14ac:dyDescent="0.25">
      <c r="A34" s="36" t="s">
        <v>7</v>
      </c>
      <c r="B34" s="44"/>
      <c r="C34" s="44"/>
      <c r="D34" s="44"/>
      <c r="E34" s="44"/>
    </row>
    <row r="35" spans="1:8" ht="17.100000000000001" customHeight="1" x14ac:dyDescent="0.25">
      <c r="A35" s="36"/>
      <c r="B35" s="44"/>
      <c r="C35" s="44"/>
      <c r="D35" s="44"/>
      <c r="E35" s="44"/>
    </row>
    <row r="36" spans="1:8" ht="30.75" customHeight="1" x14ac:dyDescent="0.25">
      <c r="A36" s="8" t="s">
        <v>73</v>
      </c>
      <c r="B36" s="9">
        <f>372959+3+2825</f>
        <v>375787</v>
      </c>
      <c r="C36" s="9">
        <f>375606+3+2898</f>
        <v>378507</v>
      </c>
      <c r="D36" s="9">
        <f>378868+3+3192</f>
        <v>382063</v>
      </c>
      <c r="E36" s="9">
        <f>382996+3+3648</f>
        <v>386647</v>
      </c>
    </row>
    <row r="37" spans="1:8" ht="17.100000000000001" customHeight="1" x14ac:dyDescent="0.25">
      <c r="A37" s="8" t="s">
        <v>75</v>
      </c>
      <c r="B37" s="9">
        <f>190300+14228</f>
        <v>204528</v>
      </c>
      <c r="C37" s="9">
        <f>198409+14767</f>
        <v>213176</v>
      </c>
      <c r="D37" s="9">
        <f>191993+15367</f>
        <v>207360</v>
      </c>
      <c r="E37" s="9">
        <f>208698+16393</f>
        <v>225091</v>
      </c>
      <c r="H37" s="2"/>
    </row>
    <row r="38" spans="1:8" ht="17.100000000000001" customHeight="1" x14ac:dyDescent="0.25">
      <c r="A38" s="8" t="s">
        <v>10</v>
      </c>
      <c r="B38" s="9">
        <v>648088</v>
      </c>
      <c r="C38" s="9">
        <v>636429</v>
      </c>
      <c r="D38" s="9">
        <v>679877</v>
      </c>
      <c r="E38" s="9">
        <v>730480</v>
      </c>
    </row>
    <row r="39" spans="1:8" ht="17.100000000000001" customHeight="1" x14ac:dyDescent="0.25">
      <c r="A39" s="8" t="s">
        <v>6</v>
      </c>
      <c r="B39" s="9">
        <v>28960</v>
      </c>
      <c r="C39" s="9">
        <v>22043</v>
      </c>
      <c r="D39" s="9">
        <v>2067</v>
      </c>
      <c r="E39" s="9">
        <v>1214</v>
      </c>
    </row>
    <row r="40" spans="1:8" ht="17.100000000000001" customHeight="1" x14ac:dyDescent="0.25">
      <c r="A40" s="56"/>
      <c r="B40" s="60">
        <f>SUM(B36:B39)</f>
        <v>1257363</v>
      </c>
      <c r="C40" s="60">
        <f>SUM(C36:C39)</f>
        <v>1250155</v>
      </c>
      <c r="D40" s="60">
        <f>SUM(D36:D39)</f>
        <v>1271367</v>
      </c>
      <c r="E40" s="60">
        <f>SUM(E36:E39)</f>
        <v>1343432</v>
      </c>
    </row>
    <row r="41" spans="1:8" ht="17.100000000000001" customHeight="1" x14ac:dyDescent="0.25">
      <c r="A41" s="35" t="s">
        <v>66</v>
      </c>
      <c r="B41" s="10"/>
      <c r="C41" s="10"/>
      <c r="D41" s="10"/>
      <c r="E41" s="10"/>
    </row>
    <row r="42" spans="1:8" ht="17.100000000000001" customHeight="1" x14ac:dyDescent="0.25">
      <c r="A42" s="8" t="s">
        <v>12</v>
      </c>
      <c r="B42" s="9">
        <v>977040</v>
      </c>
      <c r="C42" s="9">
        <v>1040195</v>
      </c>
      <c r="D42" s="9">
        <v>1197507</v>
      </c>
      <c r="E42" s="9">
        <v>1256038</v>
      </c>
    </row>
    <row r="43" spans="1:8" ht="17.100000000000001" customHeight="1" x14ac:dyDescent="0.25">
      <c r="A43" s="8" t="s">
        <v>19</v>
      </c>
      <c r="B43" s="9">
        <f>-174+5487+32133+581+10+539</f>
        <v>38576</v>
      </c>
      <c r="C43" s="9">
        <f>427+5001+28152+447+2+30+600</f>
        <v>34659</v>
      </c>
      <c r="D43" s="9">
        <f>-1779+6275+23703+557+1+24+1025</f>
        <v>29806</v>
      </c>
      <c r="E43" s="9">
        <f>1255+5934+116966+462+53+333</f>
        <v>125003</v>
      </c>
    </row>
    <row r="44" spans="1:8" ht="17.100000000000001" customHeight="1" x14ac:dyDescent="0.25">
      <c r="A44" s="8" t="s">
        <v>13</v>
      </c>
      <c r="B44" s="9">
        <f>38+760</f>
        <v>798</v>
      </c>
      <c r="C44" s="9">
        <v>749</v>
      </c>
      <c r="D44" s="9">
        <v>905</v>
      </c>
      <c r="E44" s="9">
        <v>1311</v>
      </c>
    </row>
    <row r="45" spans="1:8" ht="17.100000000000001" customHeight="1" x14ac:dyDescent="0.25">
      <c r="A45" s="56"/>
      <c r="B45" s="60">
        <f>SUM(B42:B44)</f>
        <v>1016414</v>
      </c>
      <c r="C45" s="60">
        <f>SUM(C42:C44)</f>
        <v>1075603</v>
      </c>
      <c r="D45" s="60">
        <f>SUM(D42:D44)</f>
        <v>1228218</v>
      </c>
      <c r="E45" s="60">
        <f>SUM(E42:E44)</f>
        <v>1382352</v>
      </c>
    </row>
    <row r="46" spans="1:8" ht="17.100000000000001" customHeight="1" x14ac:dyDescent="0.25">
      <c r="A46" s="8" t="s">
        <v>20</v>
      </c>
      <c r="B46" s="9">
        <f>523533+85355+9009</f>
        <v>617897</v>
      </c>
      <c r="C46" s="9">
        <f>588080+81217+9525+21</f>
        <v>678843</v>
      </c>
      <c r="D46" s="9">
        <f>732115+79674+9005</f>
        <v>820794</v>
      </c>
      <c r="E46" s="9">
        <f>823642+65687+7853</f>
        <v>897182</v>
      </c>
    </row>
    <row r="47" spans="1:8" ht="17.100000000000001" customHeight="1" x14ac:dyDescent="0.25">
      <c r="A47" s="8" t="s">
        <v>14</v>
      </c>
      <c r="B47" s="9">
        <f>193624+49576</f>
        <v>243200</v>
      </c>
      <c r="C47" s="9">
        <f>190490+48353</f>
        <v>238843</v>
      </c>
      <c r="D47" s="9">
        <f>184482+47820</f>
        <v>232302</v>
      </c>
      <c r="E47" s="9">
        <f>181313+47683</f>
        <v>228996</v>
      </c>
    </row>
    <row r="48" spans="1:8" ht="17.100000000000001" customHeight="1" x14ac:dyDescent="0.25">
      <c r="A48" s="8" t="s">
        <v>15</v>
      </c>
      <c r="B48" s="9">
        <f>41519+90</f>
        <v>41609</v>
      </c>
      <c r="C48" s="9">
        <v>45405</v>
      </c>
      <c r="D48" s="9">
        <f>52162+749</f>
        <v>52911</v>
      </c>
      <c r="E48" s="9">
        <f>83915+352</f>
        <v>84267</v>
      </c>
    </row>
    <row r="49" spans="1:6" ht="17.100000000000001" customHeight="1" x14ac:dyDescent="0.25">
      <c r="A49" s="8" t="s">
        <v>16</v>
      </c>
      <c r="B49" s="9">
        <v>85273</v>
      </c>
      <c r="C49" s="9">
        <v>84251</v>
      </c>
      <c r="D49" s="9">
        <v>91254</v>
      </c>
      <c r="E49" s="9">
        <f>114408+14019</f>
        <v>128427</v>
      </c>
    </row>
    <row r="50" spans="1:6" ht="17.100000000000001" customHeight="1" x14ac:dyDescent="0.25">
      <c r="A50" s="8" t="s">
        <v>24</v>
      </c>
      <c r="B50" s="9">
        <v>24</v>
      </c>
      <c r="C50" s="9">
        <v>0</v>
      </c>
      <c r="D50" s="9">
        <v>14</v>
      </c>
      <c r="E50" s="9">
        <v>35</v>
      </c>
    </row>
    <row r="51" spans="1:6" ht="17.100000000000001" customHeight="1" x14ac:dyDescent="0.25">
      <c r="A51" s="8" t="s">
        <v>17</v>
      </c>
      <c r="B51" s="9">
        <v>14623</v>
      </c>
      <c r="C51" s="9">
        <v>16934</v>
      </c>
      <c r="D51" s="9">
        <v>19394</v>
      </c>
      <c r="E51" s="9">
        <v>22251</v>
      </c>
    </row>
    <row r="52" spans="1:6" ht="17.100000000000001" customHeight="1" x14ac:dyDescent="0.25">
      <c r="A52" s="8" t="s">
        <v>18</v>
      </c>
      <c r="B52" s="9">
        <f>9441+1787</f>
        <v>11228</v>
      </c>
      <c r="C52" s="9">
        <f>9198+753</f>
        <v>9951</v>
      </c>
      <c r="D52" s="9">
        <f>10177+788</f>
        <v>10965</v>
      </c>
      <c r="E52" s="9">
        <f>10116+2095</f>
        <v>12211</v>
      </c>
    </row>
    <row r="53" spans="1:6" ht="17.100000000000001" customHeight="1" x14ac:dyDescent="0.25">
      <c r="A53" s="56"/>
      <c r="B53" s="60">
        <f>SUM(B46:B52)</f>
        <v>1013854</v>
      </c>
      <c r="C53" s="60">
        <f>SUM(C46:C52)</f>
        <v>1074227</v>
      </c>
      <c r="D53" s="60">
        <f>SUM(D46:D52)</f>
        <v>1227634</v>
      </c>
      <c r="E53" s="60">
        <f>SUM(E46:E52)</f>
        <v>1373369</v>
      </c>
    </row>
    <row r="54" spans="1:6" ht="17.100000000000001" customHeight="1" x14ac:dyDescent="0.25">
      <c r="A54" s="8"/>
      <c r="B54" s="9"/>
      <c r="C54" s="9"/>
      <c r="D54" s="9"/>
      <c r="E54" s="9"/>
    </row>
    <row r="55" spans="1:6" ht="17.100000000000001" customHeight="1" x14ac:dyDescent="0.25">
      <c r="A55" s="58" t="s">
        <v>56</v>
      </c>
      <c r="B55" s="60">
        <f>SUM(B45-B53)</f>
        <v>2560</v>
      </c>
      <c r="C55" s="60">
        <f>SUM(C45-C53)</f>
        <v>1376</v>
      </c>
      <c r="D55" s="60">
        <f>SUM(D45-D53)</f>
        <v>584</v>
      </c>
      <c r="E55" s="60">
        <f>SUM(E45-E53)</f>
        <v>8983</v>
      </c>
      <c r="F55" s="2"/>
    </row>
    <row r="56" spans="1:6" ht="15.75" x14ac:dyDescent="0.25">
      <c r="A56" s="29"/>
      <c r="B56" s="29"/>
      <c r="C56" s="29"/>
      <c r="D56" s="29"/>
      <c r="E56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6"/>
  </sheetPr>
  <dimension ref="A2:F58"/>
  <sheetViews>
    <sheetView tabSelected="1" topLeftCell="A25" workbookViewId="0">
      <selection activeCell="A26" sqref="A26:E56"/>
    </sheetView>
  </sheetViews>
  <sheetFormatPr baseColWidth="10" defaultRowHeight="12.75" x14ac:dyDescent="0.2"/>
  <cols>
    <col min="1" max="1" width="39.28515625" style="1" bestFit="1" customWidth="1"/>
    <col min="2" max="16384" width="11.42578125" style="1"/>
  </cols>
  <sheetData>
    <row r="2" spans="1:5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A3" s="14"/>
      <c r="B3" s="2">
        <f>E56</f>
        <v>56484</v>
      </c>
      <c r="C3" s="2">
        <f>D56</f>
        <v>51436</v>
      </c>
      <c r="D3" s="2">
        <f>C56</f>
        <v>56382</v>
      </c>
      <c r="E3" s="2">
        <f>B56</f>
        <v>58849</v>
      </c>
    </row>
    <row r="5" spans="1:5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E36/E41</f>
        <v>0.36542348312279976</v>
      </c>
      <c r="C6" s="3">
        <f>D36/D41</f>
        <v>0.38717682332148889</v>
      </c>
      <c r="D6" s="3">
        <f>C36/C41</f>
        <v>0.38210052108651898</v>
      </c>
      <c r="E6" s="3">
        <f>B36/B41</f>
        <v>0.37489563394016134</v>
      </c>
    </row>
    <row r="26" spans="1:6" ht="15.75" x14ac:dyDescent="0.25">
      <c r="A26" s="61"/>
      <c r="B26" s="55">
        <v>2018</v>
      </c>
      <c r="C26" s="55">
        <v>2017</v>
      </c>
      <c r="D26" s="55">
        <v>2016</v>
      </c>
      <c r="E26" s="55">
        <v>2015</v>
      </c>
    </row>
    <row r="27" spans="1:6" ht="17.100000000000001" customHeight="1" x14ac:dyDescent="0.25">
      <c r="A27" s="35" t="s">
        <v>2</v>
      </c>
      <c r="B27" s="37"/>
      <c r="C27" s="37"/>
      <c r="D27" s="37"/>
      <c r="E27" s="37"/>
    </row>
    <row r="28" spans="1:6" ht="17.100000000000001" customHeight="1" x14ac:dyDescent="0.2">
      <c r="A28" s="36" t="s">
        <v>48</v>
      </c>
      <c r="B28" s="37"/>
      <c r="C28" s="37"/>
      <c r="D28" s="37"/>
      <c r="E28" s="37"/>
      <c r="F28" s="11"/>
    </row>
    <row r="29" spans="1:6" ht="17.100000000000001" customHeight="1" x14ac:dyDescent="0.25">
      <c r="A29" s="36"/>
      <c r="B29" s="29"/>
      <c r="C29" s="29"/>
      <c r="D29" s="29"/>
      <c r="E29" s="29"/>
      <c r="F29" s="7"/>
    </row>
    <row r="30" spans="1:6" ht="17.100000000000001" customHeight="1" x14ac:dyDescent="0.25">
      <c r="A30" s="8" t="s">
        <v>4</v>
      </c>
      <c r="B30" s="9">
        <v>802794</v>
      </c>
      <c r="C30" s="9">
        <v>787986</v>
      </c>
      <c r="D30" s="9">
        <v>779482</v>
      </c>
      <c r="E30" s="9">
        <v>780817</v>
      </c>
      <c r="F30" s="20"/>
    </row>
    <row r="31" spans="1:6" ht="17.100000000000001" customHeight="1" x14ac:dyDescent="0.25">
      <c r="A31" s="8" t="s">
        <v>5</v>
      </c>
      <c r="B31" s="9">
        <v>136569</v>
      </c>
      <c r="C31" s="9">
        <v>134516</v>
      </c>
      <c r="D31" s="9">
        <v>131767</v>
      </c>
      <c r="E31" s="9">
        <v>184600</v>
      </c>
      <c r="F31" s="20"/>
    </row>
    <row r="32" spans="1:6" ht="17.100000000000001" customHeight="1" x14ac:dyDescent="0.25">
      <c r="A32" s="8" t="s">
        <v>6</v>
      </c>
      <c r="B32" s="9">
        <v>2035</v>
      </c>
      <c r="C32" s="9">
        <v>1145</v>
      </c>
      <c r="D32" s="9">
        <v>288</v>
      </c>
      <c r="E32" s="9">
        <v>383</v>
      </c>
      <c r="F32" s="22"/>
    </row>
    <row r="33" spans="1:6" ht="17.100000000000001" customHeight="1" x14ac:dyDescent="0.25">
      <c r="A33" s="56"/>
      <c r="B33" s="60">
        <f>SUM(B30:B32)</f>
        <v>941398</v>
      </c>
      <c r="C33" s="60">
        <f>SUM(C30:C32)</f>
        <v>923647</v>
      </c>
      <c r="D33" s="60">
        <f>SUM(D30:D32)</f>
        <v>911537</v>
      </c>
      <c r="E33" s="60">
        <f>SUM(E30:E32)</f>
        <v>965800</v>
      </c>
      <c r="F33" s="6"/>
    </row>
    <row r="34" spans="1:6" ht="17.100000000000001" customHeight="1" x14ac:dyDescent="0.25">
      <c r="A34" s="36" t="s">
        <v>7</v>
      </c>
      <c r="B34" s="29"/>
      <c r="C34" s="29"/>
      <c r="D34" s="29"/>
      <c r="E34" s="29"/>
      <c r="F34" s="7"/>
    </row>
    <row r="35" spans="1:6" ht="17.100000000000001" customHeight="1" x14ac:dyDescent="0.25">
      <c r="A35" s="36"/>
      <c r="B35" s="29"/>
      <c r="C35" s="29"/>
      <c r="D35" s="29"/>
      <c r="E35" s="29"/>
      <c r="F35" s="7"/>
    </row>
    <row r="36" spans="1:6" ht="17.100000000000001" customHeight="1" x14ac:dyDescent="0.25">
      <c r="A36" s="8" t="s">
        <v>8</v>
      </c>
      <c r="B36" s="9">
        <v>352926</v>
      </c>
      <c r="C36" s="9">
        <v>352926</v>
      </c>
      <c r="D36" s="9">
        <v>352926</v>
      </c>
      <c r="E36" s="9">
        <v>352926</v>
      </c>
      <c r="F36" s="20"/>
    </row>
    <row r="37" spans="1:6" ht="17.100000000000001" customHeight="1" x14ac:dyDescent="0.25">
      <c r="A37" s="8" t="s">
        <v>30</v>
      </c>
      <c r="B37" s="9">
        <f>3+2825</f>
        <v>2828</v>
      </c>
      <c r="C37" s="9">
        <f>3+2897</f>
        <v>2900</v>
      </c>
      <c r="D37" s="9">
        <f>3+3192</f>
        <v>3195</v>
      </c>
      <c r="E37" s="9">
        <f>4+3648</f>
        <v>3652</v>
      </c>
      <c r="F37" s="20"/>
    </row>
    <row r="38" spans="1:6" ht="17.100000000000001" customHeight="1" x14ac:dyDescent="0.25">
      <c r="A38" s="8" t="s">
        <v>9</v>
      </c>
      <c r="B38" s="9">
        <v>98978</v>
      </c>
      <c r="C38" s="9">
        <v>106714</v>
      </c>
      <c r="D38" s="9">
        <v>105207</v>
      </c>
      <c r="E38" s="9">
        <v>115839</v>
      </c>
      <c r="F38" s="20"/>
    </row>
    <row r="39" spans="1:6" ht="17.100000000000001" customHeight="1" x14ac:dyDescent="0.25">
      <c r="A39" s="8" t="s">
        <v>10</v>
      </c>
      <c r="B39" s="9">
        <v>459641</v>
      </c>
      <c r="C39" s="9">
        <v>440638</v>
      </c>
      <c r="D39" s="9">
        <v>448378</v>
      </c>
      <c r="E39" s="9">
        <v>492342</v>
      </c>
      <c r="F39" s="20"/>
    </row>
    <row r="40" spans="1:6" ht="17.100000000000001" customHeight="1" x14ac:dyDescent="0.25">
      <c r="A40" s="8" t="s">
        <v>6</v>
      </c>
      <c r="B40" s="9">
        <v>27025</v>
      </c>
      <c r="C40" s="9">
        <v>20469</v>
      </c>
      <c r="D40" s="9">
        <v>1831</v>
      </c>
      <c r="E40" s="9">
        <v>1041</v>
      </c>
      <c r="F40" s="22"/>
    </row>
    <row r="41" spans="1:6" ht="17.100000000000001" customHeight="1" x14ac:dyDescent="0.25">
      <c r="A41" s="56"/>
      <c r="B41" s="62">
        <f>SUM(B36:B40)</f>
        <v>941398</v>
      </c>
      <c r="C41" s="62">
        <f>SUM(C36:C40)</f>
        <v>923647</v>
      </c>
      <c r="D41" s="62">
        <f>SUM(D36:D40)</f>
        <v>911537</v>
      </c>
      <c r="E41" s="62">
        <f>SUM(E36:E40)</f>
        <v>965800</v>
      </c>
      <c r="F41" s="17"/>
    </row>
    <row r="42" spans="1:6" ht="17.100000000000001" customHeight="1" x14ac:dyDescent="0.25">
      <c r="A42" s="35" t="s">
        <v>66</v>
      </c>
      <c r="B42" s="29"/>
      <c r="C42" s="29"/>
      <c r="D42" s="29"/>
      <c r="E42" s="29"/>
    </row>
    <row r="43" spans="1:6" ht="17.100000000000001" customHeight="1" x14ac:dyDescent="0.25">
      <c r="A43" s="8" t="s">
        <v>12</v>
      </c>
      <c r="B43" s="9">
        <v>738865</v>
      </c>
      <c r="C43" s="9">
        <v>801494</v>
      </c>
      <c r="D43" s="9">
        <v>949507</v>
      </c>
      <c r="E43" s="9">
        <v>1042297</v>
      </c>
      <c r="F43" s="20"/>
    </row>
    <row r="44" spans="1:6" ht="17.100000000000001" customHeight="1" x14ac:dyDescent="0.25">
      <c r="A44" s="8" t="s">
        <v>19</v>
      </c>
      <c r="B44" s="9">
        <f>16209+4742-174+54+10+35</f>
        <v>20876</v>
      </c>
      <c r="C44" s="9">
        <f>427+4271+14569+62+5450+26</f>
        <v>24805</v>
      </c>
      <c r="D44" s="9">
        <f>-1779+6013+11271+231+5949+19</f>
        <v>21704</v>
      </c>
      <c r="E44" s="9">
        <f>1255+5454+85264+130+3154+327</f>
        <v>95584</v>
      </c>
      <c r="F44" s="20"/>
    </row>
    <row r="45" spans="1:6" ht="17.100000000000001" customHeight="1" x14ac:dyDescent="0.25">
      <c r="A45" s="8" t="s">
        <v>13</v>
      </c>
      <c r="B45" s="9">
        <v>1060</v>
      </c>
      <c r="C45" s="9">
        <v>1106</v>
      </c>
      <c r="D45" s="9">
        <v>842</v>
      </c>
      <c r="E45" s="9">
        <v>1018</v>
      </c>
      <c r="F45" s="22"/>
    </row>
    <row r="46" spans="1:6" ht="17.100000000000001" customHeight="1" x14ac:dyDescent="0.25">
      <c r="A46" s="56"/>
      <c r="B46" s="60">
        <f>SUM(B43:B45)</f>
        <v>760801</v>
      </c>
      <c r="C46" s="60">
        <f>SUM(C43:C45)</f>
        <v>827405</v>
      </c>
      <c r="D46" s="60">
        <f>SUM(D43:D45)</f>
        <v>972053</v>
      </c>
      <c r="E46" s="60">
        <f>SUM(E43:E45)</f>
        <v>1138899</v>
      </c>
      <c r="F46" s="6"/>
    </row>
    <row r="47" spans="1:6" ht="17.100000000000001" customHeight="1" x14ac:dyDescent="0.25">
      <c r="A47" s="8" t="s">
        <v>20</v>
      </c>
      <c r="B47" s="9">
        <f>475158+27890</f>
        <v>503048</v>
      </c>
      <c r="C47" s="9">
        <f>546219+28124</f>
        <v>574343</v>
      </c>
      <c r="D47" s="9">
        <f>678350+28552</f>
        <v>706902</v>
      </c>
      <c r="E47" s="9">
        <f>789671+29448</f>
        <v>819119</v>
      </c>
      <c r="F47" s="20"/>
    </row>
    <row r="48" spans="1:6" ht="17.100000000000001" customHeight="1" x14ac:dyDescent="0.25">
      <c r="A48" s="8" t="s">
        <v>14</v>
      </c>
      <c r="B48" s="9">
        <f>57614+14872</f>
        <v>72486</v>
      </c>
      <c r="C48" s="9">
        <f>54765+15021</f>
        <v>69786</v>
      </c>
      <c r="D48" s="9">
        <f>59274+16042</f>
        <v>75316</v>
      </c>
      <c r="E48" s="9">
        <f>59371+16832</f>
        <v>76203</v>
      </c>
      <c r="F48" s="20"/>
    </row>
    <row r="49" spans="1:6" ht="17.100000000000001" customHeight="1" x14ac:dyDescent="0.25">
      <c r="A49" s="8" t="s">
        <v>15</v>
      </c>
      <c r="B49" s="9">
        <f>18273</f>
        <v>18273</v>
      </c>
      <c r="C49" s="9">
        <f>17648+2000</f>
        <v>19648</v>
      </c>
      <c r="D49" s="9">
        <f>22645+4183</f>
        <v>26828</v>
      </c>
      <c r="E49" s="9">
        <f>53961+7775</f>
        <v>61736</v>
      </c>
      <c r="F49" s="20"/>
    </row>
    <row r="50" spans="1:6" ht="17.100000000000001" customHeight="1" x14ac:dyDescent="0.25">
      <c r="A50" s="8" t="s">
        <v>31</v>
      </c>
      <c r="B50" s="9">
        <v>1908</v>
      </c>
      <c r="C50" s="9">
        <v>967</v>
      </c>
      <c r="D50" s="9">
        <v>993</v>
      </c>
      <c r="E50" s="9">
        <v>496</v>
      </c>
      <c r="F50" s="20"/>
    </row>
    <row r="51" spans="1:6" ht="17.100000000000001" customHeight="1" x14ac:dyDescent="0.25">
      <c r="A51" s="8" t="s">
        <v>16</v>
      </c>
      <c r="B51" s="9">
        <v>89445</v>
      </c>
      <c r="C51" s="9">
        <f>89431</f>
        <v>89431</v>
      </c>
      <c r="D51" s="9">
        <v>92655</v>
      </c>
      <c r="E51" s="9">
        <f>102263</f>
        <v>102263</v>
      </c>
      <c r="F51" s="20"/>
    </row>
    <row r="52" spans="1:6" ht="17.100000000000001" customHeight="1" x14ac:dyDescent="0.25">
      <c r="A52" s="8" t="s">
        <v>17</v>
      </c>
      <c r="B52" s="9">
        <v>7539</v>
      </c>
      <c r="C52" s="9">
        <v>8778</v>
      </c>
      <c r="D52" s="9">
        <v>10186</v>
      </c>
      <c r="E52" s="9">
        <v>11563</v>
      </c>
      <c r="F52" s="20"/>
    </row>
    <row r="53" spans="1:6" ht="17.100000000000001" customHeight="1" x14ac:dyDescent="0.25">
      <c r="A53" s="8" t="s">
        <v>18</v>
      </c>
      <c r="B53" s="9">
        <f>8472+781</f>
        <v>9253</v>
      </c>
      <c r="C53" s="9">
        <f>8015+55</f>
        <v>8070</v>
      </c>
      <c r="D53" s="9">
        <f>7667+70</f>
        <v>7737</v>
      </c>
      <c r="E53" s="9">
        <f>9765+1270</f>
        <v>11035</v>
      </c>
      <c r="F53" s="22"/>
    </row>
    <row r="54" spans="1:6" ht="17.100000000000001" customHeight="1" x14ac:dyDescent="0.25">
      <c r="A54" s="56"/>
      <c r="B54" s="60">
        <f>SUM(B47:B53)</f>
        <v>701952</v>
      </c>
      <c r="C54" s="60">
        <f>SUM(C47:C53)</f>
        <v>771023</v>
      </c>
      <c r="D54" s="60">
        <f>SUM(D47:D53)</f>
        <v>920617</v>
      </c>
      <c r="E54" s="60">
        <f>SUM(E47:E53)</f>
        <v>1082415</v>
      </c>
      <c r="F54" s="6"/>
    </row>
    <row r="55" spans="1:6" ht="17.100000000000001" customHeight="1" x14ac:dyDescent="0.25">
      <c r="A55" s="8"/>
      <c r="B55" s="29"/>
      <c r="C55" s="29"/>
      <c r="D55" s="29"/>
      <c r="E55" s="29"/>
      <c r="F55" s="7"/>
    </row>
    <row r="56" spans="1:6" ht="17.100000000000001" customHeight="1" x14ac:dyDescent="0.25">
      <c r="A56" s="58" t="s">
        <v>60</v>
      </c>
      <c r="B56" s="60">
        <f>SUM(B46-B54)</f>
        <v>58849</v>
      </c>
      <c r="C56" s="60">
        <f>SUM(C46-C54)</f>
        <v>56382</v>
      </c>
      <c r="D56" s="60">
        <f>SUM(D46-D54)</f>
        <v>51436</v>
      </c>
      <c r="E56" s="60">
        <f>SUM(E46-E54)</f>
        <v>56484</v>
      </c>
      <c r="F56" s="23"/>
    </row>
    <row r="57" spans="1:6" ht="15.75" x14ac:dyDescent="0.25">
      <c r="A57" s="29"/>
    </row>
    <row r="58" spans="1:6" x14ac:dyDescent="0.2">
      <c r="B58" s="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6"/>
  </sheetPr>
  <dimension ref="A2:F57"/>
  <sheetViews>
    <sheetView topLeftCell="A23" workbookViewId="0">
      <selection activeCell="A28" sqref="A28:E57"/>
    </sheetView>
  </sheetViews>
  <sheetFormatPr baseColWidth="10" defaultRowHeight="12.75" x14ac:dyDescent="0.2"/>
  <cols>
    <col min="1" max="1" width="35.85546875" style="1" customWidth="1"/>
    <col min="2" max="16384" width="11.42578125" style="1"/>
  </cols>
  <sheetData>
    <row r="2" spans="1:6" x14ac:dyDescent="0.2">
      <c r="A2" s="1" t="s">
        <v>1</v>
      </c>
      <c r="B2" s="1">
        <f>$E$28</f>
        <v>2015</v>
      </c>
      <c r="C2" s="1">
        <f>$D$28</f>
        <v>2016</v>
      </c>
      <c r="D2" s="1">
        <f>$C$28</f>
        <v>2017</v>
      </c>
      <c r="E2" s="1">
        <f>$B$28</f>
        <v>2018</v>
      </c>
    </row>
    <row r="3" spans="1:6" x14ac:dyDescent="0.2">
      <c r="A3" s="14"/>
      <c r="B3" s="2">
        <f>E56</f>
        <v>3101</v>
      </c>
      <c r="C3" s="2">
        <f>D56</f>
        <v>5948</v>
      </c>
      <c r="D3" s="2">
        <f>C56</f>
        <v>5447</v>
      </c>
      <c r="E3" s="2">
        <f>B56</f>
        <v>-565</v>
      </c>
    </row>
    <row r="5" spans="1:6" x14ac:dyDescent="0.2">
      <c r="A5" s="1" t="s">
        <v>0</v>
      </c>
      <c r="B5" s="1">
        <f>$E$28</f>
        <v>2015</v>
      </c>
      <c r="C5" s="1">
        <f>$D$28</f>
        <v>2016</v>
      </c>
      <c r="D5" s="1">
        <f>$C$28</f>
        <v>2017</v>
      </c>
      <c r="E5" s="1">
        <f>$B$28</f>
        <v>2018</v>
      </c>
    </row>
    <row r="6" spans="1:6" x14ac:dyDescent="0.2">
      <c r="B6" s="3">
        <f>E38/E42</f>
        <v>0.12371402526370621</v>
      </c>
      <c r="C6" s="3">
        <f>D38/D42</f>
        <v>0.22088808337109198</v>
      </c>
      <c r="D6" s="3">
        <f>C38/C42</f>
        <v>0.12120835405271009</v>
      </c>
      <c r="E6" s="3">
        <f>B38/B42</f>
        <v>0.12741766858337689</v>
      </c>
    </row>
    <row r="7" spans="1:6" x14ac:dyDescent="0.2">
      <c r="C7" s="3"/>
      <c r="D7" s="3"/>
      <c r="E7" s="3"/>
      <c r="F7" s="3"/>
    </row>
    <row r="8" spans="1:6" x14ac:dyDescent="0.2">
      <c r="C8" s="3"/>
      <c r="D8" s="3"/>
      <c r="E8" s="3"/>
      <c r="F8" s="3"/>
    </row>
    <row r="9" spans="1:6" x14ac:dyDescent="0.2">
      <c r="C9" s="3"/>
      <c r="D9" s="3"/>
      <c r="E9" s="3"/>
      <c r="F9" s="3"/>
    </row>
    <row r="10" spans="1:6" x14ac:dyDescent="0.2">
      <c r="C10" s="3"/>
      <c r="D10" s="3"/>
      <c r="E10" s="3"/>
      <c r="F10" s="3"/>
    </row>
    <row r="11" spans="1:6" x14ac:dyDescent="0.2">
      <c r="C11" s="3"/>
      <c r="D11" s="3"/>
      <c r="E11" s="3"/>
      <c r="F11" s="3"/>
    </row>
    <row r="12" spans="1:6" x14ac:dyDescent="0.2">
      <c r="C12" s="3"/>
      <c r="D12" s="3"/>
      <c r="E12" s="3"/>
      <c r="F12" s="3"/>
    </row>
    <row r="13" spans="1:6" x14ac:dyDescent="0.2">
      <c r="C13" s="3"/>
      <c r="D13" s="3"/>
      <c r="E13" s="3"/>
      <c r="F13" s="3"/>
    </row>
    <row r="14" spans="1:6" x14ac:dyDescent="0.2">
      <c r="C14" s="3"/>
      <c r="D14" s="3"/>
      <c r="E14" s="3"/>
      <c r="F14" s="3"/>
    </row>
    <row r="15" spans="1:6" x14ac:dyDescent="0.2">
      <c r="C15" s="3"/>
      <c r="D15" s="3"/>
      <c r="E15" s="3"/>
      <c r="F15" s="3"/>
    </row>
    <row r="16" spans="1:6" x14ac:dyDescent="0.2">
      <c r="C16" s="3"/>
      <c r="D16" s="3"/>
      <c r="E16" s="3"/>
      <c r="F16" s="3"/>
    </row>
    <row r="17" spans="1:6" x14ac:dyDescent="0.2">
      <c r="C17" s="3"/>
      <c r="D17" s="3"/>
      <c r="E17" s="3"/>
      <c r="F17" s="3"/>
    </row>
    <row r="18" spans="1:6" x14ac:dyDescent="0.2">
      <c r="C18" s="3"/>
      <c r="D18" s="3"/>
      <c r="E18" s="3"/>
      <c r="F18" s="3"/>
    </row>
    <row r="19" spans="1:6" x14ac:dyDescent="0.2">
      <c r="C19" s="3"/>
      <c r="D19" s="3"/>
      <c r="E19" s="3"/>
      <c r="F19" s="3"/>
    </row>
    <row r="20" spans="1:6" x14ac:dyDescent="0.2">
      <c r="C20" s="3"/>
      <c r="D20" s="3"/>
      <c r="E20" s="3"/>
      <c r="F20" s="3"/>
    </row>
    <row r="21" spans="1:6" x14ac:dyDescent="0.2">
      <c r="C21" s="3"/>
      <c r="D21" s="3"/>
      <c r="E21" s="3"/>
      <c r="F21" s="3"/>
    </row>
    <row r="22" spans="1:6" x14ac:dyDescent="0.2">
      <c r="C22" s="3"/>
      <c r="D22" s="3"/>
      <c r="E22" s="3"/>
      <c r="F22" s="3"/>
    </row>
    <row r="23" spans="1:6" x14ac:dyDescent="0.2">
      <c r="C23" s="3"/>
      <c r="D23" s="3"/>
      <c r="E23" s="3"/>
      <c r="F23" s="3"/>
    </row>
    <row r="28" spans="1:6" ht="15.75" x14ac:dyDescent="0.25">
      <c r="A28" s="61"/>
      <c r="B28" s="55">
        <v>2018</v>
      </c>
      <c r="C28" s="55">
        <v>2017</v>
      </c>
      <c r="D28" s="55">
        <v>2016</v>
      </c>
      <c r="E28" s="55">
        <v>2015</v>
      </c>
    </row>
    <row r="29" spans="1:6" ht="17.100000000000001" customHeight="1" x14ac:dyDescent="0.25">
      <c r="A29" s="35" t="s">
        <v>2</v>
      </c>
      <c r="B29" s="4"/>
      <c r="C29" s="4"/>
      <c r="D29" s="4"/>
      <c r="E29" s="4"/>
    </row>
    <row r="30" spans="1:6" ht="17.100000000000001" customHeight="1" x14ac:dyDescent="0.25">
      <c r="A30" s="36" t="s">
        <v>48</v>
      </c>
      <c r="B30" s="29"/>
      <c r="C30" s="29"/>
      <c r="D30" s="29"/>
      <c r="E30" s="29"/>
      <c r="F30" s="11"/>
    </row>
    <row r="31" spans="1:6" ht="17.100000000000001" customHeight="1" x14ac:dyDescent="0.25">
      <c r="A31" s="36"/>
      <c r="B31" s="29"/>
      <c r="C31" s="29"/>
      <c r="D31" s="29"/>
      <c r="E31" s="29"/>
      <c r="F31" s="7"/>
    </row>
    <row r="32" spans="1:6" ht="17.100000000000001" customHeight="1" x14ac:dyDescent="0.2">
      <c r="A32" s="8" t="s">
        <v>4</v>
      </c>
      <c r="B32" s="24">
        <v>2025</v>
      </c>
      <c r="C32" s="24">
        <v>1969</v>
      </c>
      <c r="D32" s="24">
        <v>1826</v>
      </c>
      <c r="E32" s="24">
        <v>904</v>
      </c>
      <c r="F32" s="15"/>
    </row>
    <row r="33" spans="1:6" ht="17.100000000000001" customHeight="1" x14ac:dyDescent="0.2">
      <c r="A33" s="8" t="s">
        <v>5</v>
      </c>
      <c r="B33" s="24">
        <v>13279</v>
      </c>
      <c r="C33" s="24">
        <v>14119</v>
      </c>
      <c r="D33" s="24">
        <v>7002</v>
      </c>
      <c r="E33" s="24">
        <v>6775</v>
      </c>
      <c r="F33" s="15"/>
    </row>
    <row r="34" spans="1:6" ht="17.100000000000001" customHeight="1" x14ac:dyDescent="0.2">
      <c r="A34" s="8" t="s">
        <v>6</v>
      </c>
      <c r="B34" s="18">
        <v>0</v>
      </c>
      <c r="C34" s="18">
        <v>0</v>
      </c>
      <c r="D34" s="18">
        <v>0</v>
      </c>
      <c r="E34" s="18">
        <v>0</v>
      </c>
      <c r="F34" s="15"/>
    </row>
    <row r="35" spans="1:6" ht="17.100000000000001" customHeight="1" x14ac:dyDescent="0.2">
      <c r="A35" s="56"/>
      <c r="B35" s="57">
        <f>SUM(B32:B34)</f>
        <v>15304</v>
      </c>
      <c r="C35" s="57">
        <f>SUM(C32:C34)</f>
        <v>16088</v>
      </c>
      <c r="D35" s="57">
        <f>SUM(D32:D34)</f>
        <v>8828</v>
      </c>
      <c r="E35" s="57">
        <f>SUM(E32:E34)</f>
        <v>7679</v>
      </c>
      <c r="F35" s="17"/>
    </row>
    <row r="36" spans="1:6" ht="17.100000000000001" customHeight="1" x14ac:dyDescent="0.25">
      <c r="A36" s="36" t="s">
        <v>7</v>
      </c>
      <c r="B36" s="29"/>
      <c r="C36" s="29"/>
      <c r="D36" s="29"/>
      <c r="E36" s="29"/>
      <c r="F36" s="18"/>
    </row>
    <row r="37" spans="1:6" ht="17.100000000000001" customHeight="1" x14ac:dyDescent="0.25">
      <c r="A37" s="36"/>
      <c r="B37" s="29"/>
      <c r="C37" s="29"/>
      <c r="D37" s="29"/>
      <c r="E37" s="29"/>
      <c r="F37" s="18"/>
    </row>
    <row r="38" spans="1:6" ht="17.100000000000001" customHeight="1" x14ac:dyDescent="0.2">
      <c r="A38" s="8" t="s">
        <v>8</v>
      </c>
      <c r="B38" s="24">
        <v>1950</v>
      </c>
      <c r="C38" s="24">
        <v>1950</v>
      </c>
      <c r="D38" s="24">
        <v>1950</v>
      </c>
      <c r="E38" s="24">
        <v>950</v>
      </c>
      <c r="F38" s="15"/>
    </row>
    <row r="39" spans="1:6" ht="17.100000000000001" customHeight="1" x14ac:dyDescent="0.2">
      <c r="A39" s="8" t="s">
        <v>9</v>
      </c>
      <c r="B39" s="24">
        <v>5141</v>
      </c>
      <c r="C39" s="24">
        <v>5513</v>
      </c>
      <c r="D39" s="24">
        <v>4379</v>
      </c>
      <c r="E39" s="24">
        <v>2605</v>
      </c>
      <c r="F39" s="15"/>
    </row>
    <row r="40" spans="1:6" ht="17.100000000000001" customHeight="1" x14ac:dyDescent="0.2">
      <c r="A40" s="8" t="s">
        <v>10</v>
      </c>
      <c r="B40" s="24">
        <v>8213</v>
      </c>
      <c r="C40" s="24">
        <v>8624</v>
      </c>
      <c r="D40" s="24">
        <v>2498</v>
      </c>
      <c r="E40" s="24">
        <v>4123</v>
      </c>
      <c r="F40" s="15"/>
    </row>
    <row r="41" spans="1:6" ht="17.100000000000001" customHeight="1" x14ac:dyDescent="0.2">
      <c r="A41" s="8" t="s">
        <v>6</v>
      </c>
      <c r="B41" s="18">
        <v>0</v>
      </c>
      <c r="C41" s="18">
        <v>1</v>
      </c>
      <c r="D41" s="18">
        <v>1</v>
      </c>
      <c r="E41" s="18">
        <v>1</v>
      </c>
      <c r="F41" s="15"/>
    </row>
    <row r="42" spans="1:6" ht="17.100000000000001" customHeight="1" x14ac:dyDescent="0.2">
      <c r="A42" s="56"/>
      <c r="B42" s="57">
        <f>SUM(B38:B41)</f>
        <v>15304</v>
      </c>
      <c r="C42" s="57">
        <f>SUM(C38:C41)</f>
        <v>16088</v>
      </c>
      <c r="D42" s="57">
        <f>SUM(D38:D41)</f>
        <v>8828</v>
      </c>
      <c r="E42" s="57">
        <f>SUM(E38:E41)</f>
        <v>7679</v>
      </c>
      <c r="F42" s="17"/>
    </row>
    <row r="43" spans="1:6" ht="17.100000000000001" customHeight="1" x14ac:dyDescent="0.25">
      <c r="A43" s="35" t="s">
        <v>66</v>
      </c>
      <c r="B43" s="29"/>
      <c r="C43" s="29"/>
      <c r="D43" s="29"/>
      <c r="E43" s="29"/>
      <c r="F43" s="2"/>
    </row>
    <row r="44" spans="1:6" ht="17.100000000000001" customHeight="1" x14ac:dyDescent="0.2">
      <c r="A44" s="8" t="s">
        <v>12</v>
      </c>
      <c r="B44" s="24">
        <v>155061</v>
      </c>
      <c r="C44" s="24">
        <v>154202</v>
      </c>
      <c r="D44" s="24">
        <v>152987</v>
      </c>
      <c r="E44" s="24">
        <v>139595</v>
      </c>
      <c r="F44" s="15"/>
    </row>
    <row r="45" spans="1:6" ht="17.100000000000001" customHeight="1" x14ac:dyDescent="0.2">
      <c r="A45" s="8" t="s">
        <v>19</v>
      </c>
      <c r="B45" s="24">
        <v>7180</v>
      </c>
      <c r="C45" s="24">
        <v>6691</v>
      </c>
      <c r="D45" s="24">
        <v>5869</v>
      </c>
      <c r="E45" s="24">
        <v>8214</v>
      </c>
      <c r="F45" s="15"/>
    </row>
    <row r="46" spans="1:6" ht="17.100000000000001" customHeight="1" x14ac:dyDescent="0.2">
      <c r="A46" s="8" t="s">
        <v>13</v>
      </c>
      <c r="B46" s="18">
        <v>155</v>
      </c>
      <c r="C46" s="18">
        <v>0</v>
      </c>
      <c r="D46" s="18">
        <v>8</v>
      </c>
      <c r="E46" s="18">
        <v>171</v>
      </c>
      <c r="F46" s="15"/>
    </row>
    <row r="47" spans="1:6" ht="17.100000000000001" customHeight="1" x14ac:dyDescent="0.2">
      <c r="A47" s="56"/>
      <c r="B47" s="57">
        <f>SUM(B44:B46)</f>
        <v>162396</v>
      </c>
      <c r="C47" s="57">
        <f>SUM(C44:C46)</f>
        <v>160893</v>
      </c>
      <c r="D47" s="57">
        <f>SUM(D44:D46)</f>
        <v>158864</v>
      </c>
      <c r="E47" s="57">
        <f>SUM(E44:E46)</f>
        <v>147980</v>
      </c>
      <c r="F47" s="17"/>
    </row>
    <row r="48" spans="1:6" ht="17.100000000000001" customHeight="1" x14ac:dyDescent="0.2">
      <c r="A48" s="8" t="s">
        <v>20</v>
      </c>
      <c r="B48" s="24">
        <f>65961+61514</f>
        <v>127475</v>
      </c>
      <c r="C48" s="24">
        <f>57673+62815</f>
        <v>120488</v>
      </c>
      <c r="D48" s="24">
        <f>54482+69773</f>
        <v>124255</v>
      </c>
      <c r="E48" s="24">
        <v>117088</v>
      </c>
      <c r="F48" s="15"/>
    </row>
    <row r="49" spans="1:6" ht="17.100000000000001" customHeight="1" x14ac:dyDescent="0.2">
      <c r="A49" s="8" t="s">
        <v>14</v>
      </c>
      <c r="B49" s="24">
        <f>12885+3186</f>
        <v>16071</v>
      </c>
      <c r="C49" s="24">
        <f>13187+3012</f>
        <v>16199</v>
      </c>
      <c r="D49" s="24">
        <f>8794+1971</f>
        <v>10765</v>
      </c>
      <c r="E49" s="24">
        <v>8881</v>
      </c>
      <c r="F49" s="15"/>
    </row>
    <row r="50" spans="1:6" ht="17.100000000000001" customHeight="1" x14ac:dyDescent="0.2">
      <c r="A50" s="8" t="s">
        <v>15</v>
      </c>
      <c r="B50" s="24">
        <v>315</v>
      </c>
      <c r="C50" s="24">
        <v>331</v>
      </c>
      <c r="D50" s="24">
        <v>313</v>
      </c>
      <c r="E50" s="24">
        <v>80</v>
      </c>
      <c r="F50" s="15"/>
    </row>
    <row r="51" spans="1:6" ht="17.100000000000001" customHeight="1" x14ac:dyDescent="0.2">
      <c r="A51" s="8" t="s">
        <v>16</v>
      </c>
      <c r="B51" s="24">
        <v>18827</v>
      </c>
      <c r="C51" s="24">
        <v>18072</v>
      </c>
      <c r="D51" s="24">
        <v>17402</v>
      </c>
      <c r="E51" s="24">
        <v>18583</v>
      </c>
      <c r="F51" s="15"/>
    </row>
    <row r="52" spans="1:6" ht="17.100000000000001" customHeight="1" x14ac:dyDescent="0.2">
      <c r="A52" s="8" t="s">
        <v>17</v>
      </c>
      <c r="B52" s="24">
        <v>184</v>
      </c>
      <c r="C52" s="24">
        <v>312</v>
      </c>
      <c r="D52" s="24">
        <v>140</v>
      </c>
      <c r="E52" s="24">
        <v>82</v>
      </c>
      <c r="F52" s="15"/>
    </row>
    <row r="53" spans="1:6" ht="17.100000000000001" customHeight="1" x14ac:dyDescent="0.2">
      <c r="A53" s="8" t="s">
        <v>18</v>
      </c>
      <c r="B53" s="18">
        <v>89</v>
      </c>
      <c r="C53" s="18">
        <v>44</v>
      </c>
      <c r="D53" s="18">
        <v>41</v>
      </c>
      <c r="E53" s="18">
        <v>165</v>
      </c>
      <c r="F53" s="15"/>
    </row>
    <row r="54" spans="1:6" ht="17.100000000000001" customHeight="1" x14ac:dyDescent="0.2">
      <c r="A54" s="56"/>
      <c r="B54" s="57">
        <f>SUM(B48:B53)</f>
        <v>162961</v>
      </c>
      <c r="C54" s="57">
        <f>SUM(C48:C53)</f>
        <v>155446</v>
      </c>
      <c r="D54" s="57">
        <f>SUM(D48:D53)</f>
        <v>152916</v>
      </c>
      <c r="E54" s="57">
        <f>SUM(E48:E53)</f>
        <v>144879</v>
      </c>
      <c r="F54" s="17"/>
    </row>
    <row r="55" spans="1:6" ht="17.100000000000001" customHeight="1" x14ac:dyDescent="0.25">
      <c r="A55" s="8"/>
      <c r="B55" s="29"/>
      <c r="C55" s="29"/>
      <c r="D55" s="29"/>
      <c r="E55" s="29"/>
      <c r="F55" s="18"/>
    </row>
    <row r="56" spans="1:6" ht="17.100000000000001" customHeight="1" x14ac:dyDescent="0.2">
      <c r="A56" s="58" t="s">
        <v>56</v>
      </c>
      <c r="B56" s="57">
        <f>SUM(B47-B54)</f>
        <v>-565</v>
      </c>
      <c r="C56" s="57">
        <f>SUM(C47-C54)</f>
        <v>5447</v>
      </c>
      <c r="D56" s="57">
        <f>SUM(D47-D54)</f>
        <v>5948</v>
      </c>
      <c r="E56" s="57">
        <f>SUM(E47-E54)</f>
        <v>3101</v>
      </c>
      <c r="F56" s="17"/>
    </row>
    <row r="57" spans="1:6" ht="15.75" x14ac:dyDescent="0.25">
      <c r="A57" s="29" t="s">
        <v>50</v>
      </c>
      <c r="B57" s="29"/>
      <c r="C57" s="29"/>
      <c r="D57" s="29"/>
      <c r="E57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92D050"/>
  </sheetPr>
  <dimension ref="A2:G54"/>
  <sheetViews>
    <sheetView topLeftCell="A20" workbookViewId="0">
      <selection activeCell="B33" sqref="B33"/>
    </sheetView>
  </sheetViews>
  <sheetFormatPr baseColWidth="10" defaultRowHeight="12.75" x14ac:dyDescent="0.2"/>
  <cols>
    <col min="1" max="1" width="37.7109375" style="1" customWidth="1"/>
    <col min="2" max="16384" width="11.42578125" style="1"/>
  </cols>
  <sheetData>
    <row r="2" spans="1:5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A3" s="14"/>
      <c r="B3" s="2">
        <f>E54</f>
        <v>275</v>
      </c>
      <c r="C3" s="2">
        <f>D54</f>
        <v>101</v>
      </c>
      <c r="D3" s="2">
        <f>C54</f>
        <v>87</v>
      </c>
      <c r="E3" s="2">
        <f>B54</f>
        <v>85</v>
      </c>
    </row>
    <row r="5" spans="1:5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E36/E40</f>
        <v>0.4946328164934401</v>
      </c>
      <c r="C6" s="3">
        <f>D36/D40</f>
        <v>0.56000000000000005</v>
      </c>
      <c r="D6" s="3">
        <f>C36/C40</f>
        <v>0.55202469584165603</v>
      </c>
      <c r="E6" s="3">
        <f>B36/B40</f>
        <v>0.54766949152542377</v>
      </c>
    </row>
    <row r="26" spans="1:6" ht="15.75" x14ac:dyDescent="0.25">
      <c r="A26" s="61"/>
      <c r="B26" s="55">
        <v>2018</v>
      </c>
      <c r="C26" s="55">
        <v>2017</v>
      </c>
      <c r="D26" s="55">
        <v>2016</v>
      </c>
      <c r="E26" s="55">
        <v>2015</v>
      </c>
    </row>
    <row r="27" spans="1:6" ht="17.100000000000001" customHeight="1" x14ac:dyDescent="0.25">
      <c r="A27" s="35" t="s">
        <v>2</v>
      </c>
      <c r="B27" s="4"/>
      <c r="C27" s="4"/>
      <c r="D27" s="4"/>
      <c r="E27" s="4"/>
    </row>
    <row r="28" spans="1:6" ht="17.100000000000001" customHeight="1" x14ac:dyDescent="0.25">
      <c r="A28" s="36" t="s">
        <v>48</v>
      </c>
      <c r="B28" s="29"/>
      <c r="C28" s="29"/>
      <c r="D28" s="29"/>
      <c r="E28" s="29"/>
      <c r="F28" s="11"/>
    </row>
    <row r="29" spans="1:6" ht="17.100000000000001" customHeight="1" x14ac:dyDescent="0.2">
      <c r="A29" s="36"/>
      <c r="B29" s="36"/>
      <c r="C29" s="36"/>
      <c r="D29" s="36"/>
      <c r="E29" s="36"/>
      <c r="F29" s="7"/>
    </row>
    <row r="30" spans="1:6" ht="17.100000000000001" customHeight="1" x14ac:dyDescent="0.2">
      <c r="A30" s="8" t="s">
        <v>4</v>
      </c>
      <c r="B30" s="24">
        <v>4666</v>
      </c>
      <c r="C30" s="24">
        <v>4693</v>
      </c>
      <c r="D30" s="24">
        <v>4654</v>
      </c>
      <c r="E30" s="24">
        <v>4785</v>
      </c>
      <c r="F30" s="15"/>
    </row>
    <row r="31" spans="1:6" ht="17.100000000000001" customHeight="1" x14ac:dyDescent="0.2">
      <c r="A31" s="8" t="s">
        <v>5</v>
      </c>
      <c r="B31" s="24">
        <v>998</v>
      </c>
      <c r="C31" s="24">
        <v>814</v>
      </c>
      <c r="D31" s="24">
        <v>671</v>
      </c>
      <c r="E31" s="24">
        <v>1084</v>
      </c>
      <c r="F31" s="15"/>
    </row>
    <row r="32" spans="1:6" ht="17.100000000000001" customHeight="1" x14ac:dyDescent="0.2">
      <c r="A32" s="8" t="s">
        <v>6</v>
      </c>
      <c r="B32" s="24">
        <v>0</v>
      </c>
      <c r="C32" s="24">
        <v>0</v>
      </c>
      <c r="D32" s="24">
        <v>0</v>
      </c>
      <c r="E32" s="24">
        <v>0</v>
      </c>
      <c r="F32" s="15"/>
    </row>
    <row r="33" spans="1:7" ht="17.100000000000001" customHeight="1" x14ac:dyDescent="0.2">
      <c r="A33" s="56"/>
      <c r="B33" s="57">
        <f>SUM(B30:B32)</f>
        <v>5664</v>
      </c>
      <c r="C33" s="57">
        <f>SUM(C30:C32)</f>
        <v>5507</v>
      </c>
      <c r="D33" s="57">
        <f>SUM(D30:D32)</f>
        <v>5325</v>
      </c>
      <c r="E33" s="57">
        <f>SUM(E30:E32)</f>
        <v>5869</v>
      </c>
      <c r="F33" s="17"/>
      <c r="G33" s="2"/>
    </row>
    <row r="34" spans="1:7" ht="17.100000000000001" customHeight="1" x14ac:dyDescent="0.2">
      <c r="A34" s="36" t="s">
        <v>7</v>
      </c>
      <c r="B34" s="42"/>
      <c r="C34" s="42"/>
      <c r="D34" s="42"/>
      <c r="E34" s="42"/>
      <c r="F34" s="18"/>
    </row>
    <row r="35" spans="1:7" ht="17.100000000000001" customHeight="1" x14ac:dyDescent="0.2">
      <c r="A35" s="36"/>
      <c r="B35" s="42"/>
      <c r="C35" s="42"/>
      <c r="D35" s="42"/>
      <c r="E35" s="42"/>
      <c r="F35" s="18"/>
    </row>
    <row r="36" spans="1:7" ht="17.100000000000001" customHeight="1" x14ac:dyDescent="0.2">
      <c r="A36" s="8" t="s">
        <v>8</v>
      </c>
      <c r="B36" s="24">
        <v>3102</v>
      </c>
      <c r="C36" s="24">
        <v>3040</v>
      </c>
      <c r="D36" s="24">
        <v>2982</v>
      </c>
      <c r="E36" s="24">
        <v>2903</v>
      </c>
      <c r="F36" s="15"/>
    </row>
    <row r="37" spans="1:7" ht="17.100000000000001" customHeight="1" x14ac:dyDescent="0.2">
      <c r="A37" s="8" t="s">
        <v>9</v>
      </c>
      <c r="B37" s="24">
        <v>24</v>
      </c>
      <c r="C37" s="24">
        <v>266</v>
      </c>
      <c r="D37" s="24">
        <v>24</v>
      </c>
      <c r="E37" s="24">
        <v>59</v>
      </c>
      <c r="F37" s="15"/>
    </row>
    <row r="38" spans="1:7" ht="17.100000000000001" customHeight="1" x14ac:dyDescent="0.2">
      <c r="A38" s="8" t="s">
        <v>10</v>
      </c>
      <c r="B38" s="24">
        <v>2538</v>
      </c>
      <c r="C38" s="24">
        <v>2199</v>
      </c>
      <c r="D38" s="24">
        <v>2317</v>
      </c>
      <c r="E38" s="24">
        <v>2905</v>
      </c>
      <c r="F38" s="15"/>
    </row>
    <row r="39" spans="1:7" ht="17.100000000000001" customHeight="1" x14ac:dyDescent="0.2">
      <c r="A39" s="8" t="s">
        <v>6</v>
      </c>
      <c r="B39" s="24">
        <v>0</v>
      </c>
      <c r="C39" s="24">
        <v>2</v>
      </c>
      <c r="D39" s="24">
        <v>2</v>
      </c>
      <c r="E39" s="24">
        <v>2</v>
      </c>
      <c r="F39" s="15"/>
    </row>
    <row r="40" spans="1:7" ht="17.100000000000001" customHeight="1" x14ac:dyDescent="0.2">
      <c r="A40" s="56"/>
      <c r="B40" s="57">
        <f>SUM(B36:B39)</f>
        <v>5664</v>
      </c>
      <c r="C40" s="57">
        <f>SUM(C36:C39)</f>
        <v>5507</v>
      </c>
      <c r="D40" s="57">
        <f>SUM(D36:D39)</f>
        <v>5325</v>
      </c>
      <c r="E40" s="57">
        <f>SUM(E36:E39)</f>
        <v>5869</v>
      </c>
      <c r="F40" s="17"/>
    </row>
    <row r="41" spans="1:7" ht="17.100000000000001" customHeight="1" x14ac:dyDescent="0.25">
      <c r="A41" s="35" t="s">
        <v>66</v>
      </c>
      <c r="B41" s="25"/>
      <c r="C41" s="25"/>
      <c r="D41" s="25"/>
      <c r="E41" s="25"/>
      <c r="F41" s="2"/>
    </row>
    <row r="42" spans="1:7" ht="17.100000000000001" customHeight="1" x14ac:dyDescent="0.2">
      <c r="A42" s="8" t="s">
        <v>12</v>
      </c>
      <c r="B42" s="24">
        <v>3660</v>
      </c>
      <c r="C42" s="24">
        <v>3658</v>
      </c>
      <c r="D42" s="24">
        <v>3816</v>
      </c>
      <c r="E42" s="24">
        <v>3850</v>
      </c>
      <c r="F42" s="15"/>
      <c r="G42" s="2"/>
    </row>
    <row r="43" spans="1:7" ht="17.100000000000001" customHeight="1" x14ac:dyDescent="0.2">
      <c r="A43" s="8" t="s">
        <v>19</v>
      </c>
      <c r="B43" s="24">
        <v>4</v>
      </c>
      <c r="C43" s="24">
        <v>5</v>
      </c>
      <c r="D43" s="24">
        <v>16</v>
      </c>
      <c r="E43" s="24">
        <v>283</v>
      </c>
      <c r="F43" s="15"/>
    </row>
    <row r="44" spans="1:7" ht="17.100000000000001" customHeight="1" x14ac:dyDescent="0.2">
      <c r="A44" s="8" t="s">
        <v>13</v>
      </c>
      <c r="B44" s="24">
        <v>0</v>
      </c>
      <c r="C44" s="24">
        <v>0</v>
      </c>
      <c r="D44" s="24">
        <v>0</v>
      </c>
      <c r="E44" s="24">
        <v>0</v>
      </c>
      <c r="F44" s="15"/>
    </row>
    <row r="45" spans="1:7" ht="17.100000000000001" customHeight="1" x14ac:dyDescent="0.2">
      <c r="A45" s="56"/>
      <c r="B45" s="57">
        <f>SUM(B42:B44)</f>
        <v>3664</v>
      </c>
      <c r="C45" s="57">
        <f>SUM(C42:C44)</f>
        <v>3663</v>
      </c>
      <c r="D45" s="57">
        <f>SUM(D42:D44)</f>
        <v>3832</v>
      </c>
      <c r="E45" s="57">
        <f>SUM(E42:E44)</f>
        <v>4133</v>
      </c>
      <c r="F45" s="17"/>
    </row>
    <row r="46" spans="1:7" ht="17.100000000000001" customHeight="1" x14ac:dyDescent="0.2">
      <c r="A46" s="8" t="s">
        <v>20</v>
      </c>
      <c r="B46" s="24">
        <v>2979</v>
      </c>
      <c r="C46" s="24">
        <v>2782</v>
      </c>
      <c r="D46" s="24">
        <v>3093</v>
      </c>
      <c r="E46" s="24">
        <v>3104</v>
      </c>
      <c r="F46" s="15"/>
      <c r="G46" s="2"/>
    </row>
    <row r="47" spans="1:7" ht="17.100000000000001" customHeight="1" x14ac:dyDescent="0.2">
      <c r="A47" s="8" t="s">
        <v>14</v>
      </c>
      <c r="B47" s="24">
        <v>0</v>
      </c>
      <c r="C47" s="24">
        <v>0</v>
      </c>
      <c r="D47" s="24">
        <v>0</v>
      </c>
      <c r="E47" s="24">
        <v>0</v>
      </c>
      <c r="F47" s="15"/>
    </row>
    <row r="48" spans="1:7" ht="17.100000000000001" customHeight="1" x14ac:dyDescent="0.2">
      <c r="A48" s="8" t="s">
        <v>15</v>
      </c>
      <c r="B48" s="24">
        <v>191</v>
      </c>
      <c r="C48" s="24">
        <v>204</v>
      </c>
      <c r="D48" s="24">
        <v>218</v>
      </c>
      <c r="E48" s="24">
        <v>216</v>
      </c>
      <c r="F48" s="15"/>
    </row>
    <row r="49" spans="1:6" ht="17.100000000000001" customHeight="1" x14ac:dyDescent="0.2">
      <c r="A49" s="8" t="s">
        <v>16</v>
      </c>
      <c r="B49" s="24">
        <v>295</v>
      </c>
      <c r="C49" s="24">
        <v>469</v>
      </c>
      <c r="D49" s="24">
        <v>281</v>
      </c>
      <c r="E49" s="24">
        <v>312</v>
      </c>
      <c r="F49" s="15"/>
    </row>
    <row r="50" spans="1:6" ht="17.100000000000001" customHeight="1" x14ac:dyDescent="0.2">
      <c r="A50" s="8" t="s">
        <v>17</v>
      </c>
      <c r="B50" s="24">
        <v>68</v>
      </c>
      <c r="C50" s="24">
        <v>76</v>
      </c>
      <c r="D50" s="24">
        <v>89</v>
      </c>
      <c r="E50" s="24">
        <v>98</v>
      </c>
      <c r="F50" s="15"/>
    </row>
    <row r="51" spans="1:6" ht="17.100000000000001" customHeight="1" x14ac:dyDescent="0.2">
      <c r="A51" s="8" t="s">
        <v>18</v>
      </c>
      <c r="B51" s="24">
        <v>46</v>
      </c>
      <c r="C51" s="24">
        <f>39+6</f>
        <v>45</v>
      </c>
      <c r="D51" s="24">
        <f>44+6</f>
        <v>50</v>
      </c>
      <c r="E51" s="24">
        <f>122+6</f>
        <v>128</v>
      </c>
      <c r="F51" s="15"/>
    </row>
    <row r="52" spans="1:6" ht="17.100000000000001" customHeight="1" x14ac:dyDescent="0.2">
      <c r="A52" s="56"/>
      <c r="B52" s="57">
        <f>SUM(B46:B51)</f>
        <v>3579</v>
      </c>
      <c r="C52" s="57">
        <f>SUM(C46:C51)</f>
        <v>3576</v>
      </c>
      <c r="D52" s="57">
        <f>SUM(D46:D51)</f>
        <v>3731</v>
      </c>
      <c r="E52" s="57">
        <f>SUM(E46:E51)</f>
        <v>3858</v>
      </c>
      <c r="F52" s="17"/>
    </row>
    <row r="53" spans="1:6" ht="17.100000000000001" customHeight="1" x14ac:dyDescent="0.2">
      <c r="A53" s="8"/>
      <c r="B53" s="8"/>
      <c r="C53" s="8"/>
      <c r="D53" s="8"/>
      <c r="E53" s="8"/>
      <c r="F53" s="18"/>
    </row>
    <row r="54" spans="1:6" ht="17.100000000000001" customHeight="1" x14ac:dyDescent="0.2">
      <c r="A54" s="58" t="s">
        <v>56</v>
      </c>
      <c r="B54" s="57">
        <f>SUM(B45-B52)</f>
        <v>85</v>
      </c>
      <c r="C54" s="57">
        <f>SUM(C45-C52)</f>
        <v>87</v>
      </c>
      <c r="D54" s="57">
        <f>SUM(D45-D52)</f>
        <v>101</v>
      </c>
      <c r="E54" s="57">
        <f>SUM(E45-E52)</f>
        <v>275</v>
      </c>
      <c r="F54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rgb="FF92D050"/>
  </sheetPr>
  <dimension ref="A2:F57"/>
  <sheetViews>
    <sheetView topLeftCell="A23" workbookViewId="0">
      <selection activeCell="A28" sqref="A28"/>
    </sheetView>
  </sheetViews>
  <sheetFormatPr baseColWidth="10" defaultRowHeight="12.75" x14ac:dyDescent="0.2"/>
  <cols>
    <col min="1" max="1" width="38.42578125" style="1" customWidth="1"/>
    <col min="2" max="5" width="10.85546875" style="1" customWidth="1"/>
    <col min="6" max="16384" width="11.42578125" style="1"/>
  </cols>
  <sheetData>
    <row r="2" spans="1:5" x14ac:dyDescent="0.2">
      <c r="A2" s="1" t="s">
        <v>1</v>
      </c>
      <c r="B2" s="1">
        <f>$E$28</f>
        <v>2015</v>
      </c>
      <c r="C2" s="1">
        <f>$D$28</f>
        <v>2016</v>
      </c>
      <c r="D2" s="1">
        <f>$C$28</f>
        <v>2017</v>
      </c>
      <c r="E2" s="1">
        <f>$B$28</f>
        <v>2018</v>
      </c>
    </row>
    <row r="3" spans="1:5" x14ac:dyDescent="0.2">
      <c r="A3" s="14" t="s">
        <v>37</v>
      </c>
      <c r="B3" s="2">
        <f>E56</f>
        <v>-10</v>
      </c>
      <c r="C3" s="2">
        <f>D56</f>
        <v>-10</v>
      </c>
      <c r="D3" s="2">
        <f>C56</f>
        <v>-11</v>
      </c>
      <c r="E3" s="2">
        <f>B56</f>
        <v>-10</v>
      </c>
    </row>
    <row r="5" spans="1:5" x14ac:dyDescent="0.2">
      <c r="A5" s="1" t="s">
        <v>0</v>
      </c>
      <c r="B5" s="1">
        <f>$E$28</f>
        <v>2015</v>
      </c>
      <c r="C5" s="1">
        <f>$D$28</f>
        <v>2016</v>
      </c>
      <c r="D5" s="1">
        <f>$C$28</f>
        <v>2017</v>
      </c>
      <c r="E5" s="1">
        <f>$B$28</f>
        <v>2018</v>
      </c>
    </row>
    <row r="6" spans="1:5" x14ac:dyDescent="0.2">
      <c r="B6" s="3">
        <f>E38/E42</f>
        <v>0.87654320987654322</v>
      </c>
      <c r="C6" s="3">
        <f>D38/D42</f>
        <v>0.86585365853658536</v>
      </c>
      <c r="D6" s="3">
        <f>C38/C42</f>
        <v>0.86746987951807231</v>
      </c>
      <c r="E6" s="3">
        <f>B38/B42</f>
        <v>0.86746987951807231</v>
      </c>
    </row>
    <row r="28" spans="1:6" ht="15.75" x14ac:dyDescent="0.25">
      <c r="A28" s="61"/>
      <c r="B28" s="55">
        <v>2018</v>
      </c>
      <c r="C28" s="55">
        <v>2017</v>
      </c>
      <c r="D28" s="55">
        <v>2016</v>
      </c>
      <c r="E28" s="55">
        <v>2015</v>
      </c>
    </row>
    <row r="29" spans="1:6" ht="17.100000000000001" customHeight="1" x14ac:dyDescent="0.25">
      <c r="A29" s="35" t="s">
        <v>2</v>
      </c>
      <c r="B29" s="35"/>
      <c r="C29" s="35"/>
      <c r="D29" s="35"/>
      <c r="E29" s="35"/>
    </row>
    <row r="30" spans="1:6" ht="17.100000000000001" customHeight="1" x14ac:dyDescent="0.25">
      <c r="A30" s="36" t="s">
        <v>48</v>
      </c>
      <c r="B30" s="29"/>
      <c r="C30" s="29"/>
      <c r="D30" s="29"/>
      <c r="E30" s="29"/>
      <c r="F30" s="11"/>
    </row>
    <row r="31" spans="1:6" ht="17.100000000000001" customHeight="1" x14ac:dyDescent="0.25">
      <c r="A31" s="36"/>
      <c r="B31" s="29"/>
      <c r="C31" s="29"/>
      <c r="D31" s="29"/>
      <c r="E31" s="29"/>
      <c r="F31" s="7"/>
    </row>
    <row r="32" spans="1:6" ht="17.100000000000001" customHeight="1" x14ac:dyDescent="0.2">
      <c r="A32" s="8" t="s">
        <v>4</v>
      </c>
      <c r="B32" s="24">
        <v>80</v>
      </c>
      <c r="C32" s="24">
        <v>0</v>
      </c>
      <c r="D32" s="24">
        <v>0</v>
      </c>
      <c r="E32" s="24">
        <v>0</v>
      </c>
      <c r="F32" s="20"/>
    </row>
    <row r="33" spans="1:6" ht="17.100000000000001" customHeight="1" x14ac:dyDescent="0.2">
      <c r="A33" s="8" t="s">
        <v>5</v>
      </c>
      <c r="B33" s="24">
        <v>3</v>
      </c>
      <c r="C33" s="24">
        <v>83</v>
      </c>
      <c r="D33" s="24">
        <v>82</v>
      </c>
      <c r="E33" s="24">
        <f>79+2</f>
        <v>81</v>
      </c>
      <c r="F33" s="20"/>
    </row>
    <row r="34" spans="1:6" ht="17.100000000000001" customHeight="1" x14ac:dyDescent="0.2">
      <c r="A34" s="8" t="s">
        <v>6</v>
      </c>
      <c r="B34" s="18">
        <v>0</v>
      </c>
      <c r="C34" s="18">
        <v>0</v>
      </c>
      <c r="D34" s="18">
        <v>0</v>
      </c>
      <c r="E34" s="18">
        <v>0</v>
      </c>
      <c r="F34" s="20"/>
    </row>
    <row r="35" spans="1:6" ht="17.100000000000001" customHeight="1" x14ac:dyDescent="0.2">
      <c r="A35" s="56"/>
      <c r="B35" s="57">
        <f>SUM(B32:B34)</f>
        <v>83</v>
      </c>
      <c r="C35" s="57">
        <f>SUM(C32:C34)</f>
        <v>83</v>
      </c>
      <c r="D35" s="57">
        <f>SUM(D32:D34)</f>
        <v>82</v>
      </c>
      <c r="E35" s="57">
        <f>SUM(E32:E34)</f>
        <v>81</v>
      </c>
      <c r="F35" s="6"/>
    </row>
    <row r="36" spans="1:6" ht="17.100000000000001" customHeight="1" x14ac:dyDescent="0.25">
      <c r="A36" s="36" t="s">
        <v>7</v>
      </c>
      <c r="B36" s="29"/>
      <c r="C36" s="29"/>
      <c r="D36" s="29"/>
      <c r="E36" s="29"/>
      <c r="F36" s="7"/>
    </row>
    <row r="37" spans="1:6" ht="17.100000000000001" customHeight="1" x14ac:dyDescent="0.25">
      <c r="A37" s="36"/>
      <c r="B37" s="29"/>
      <c r="C37" s="29"/>
      <c r="D37" s="29"/>
      <c r="E37" s="29"/>
      <c r="F37" s="7"/>
    </row>
    <row r="38" spans="1:6" ht="17.100000000000001" customHeight="1" x14ac:dyDescent="0.2">
      <c r="A38" s="8" t="s">
        <v>8</v>
      </c>
      <c r="B38" s="24">
        <v>72</v>
      </c>
      <c r="C38" s="24">
        <v>72</v>
      </c>
      <c r="D38" s="24">
        <v>71</v>
      </c>
      <c r="E38" s="24">
        <f>25+46</f>
        <v>71</v>
      </c>
      <c r="F38" s="15"/>
    </row>
    <row r="39" spans="1:6" ht="17.100000000000001" customHeight="1" x14ac:dyDescent="0.2">
      <c r="A39" s="8" t="s">
        <v>9</v>
      </c>
      <c r="B39" s="24">
        <v>5</v>
      </c>
      <c r="C39" s="24">
        <v>5</v>
      </c>
      <c r="D39" s="24">
        <v>5</v>
      </c>
      <c r="E39" s="24">
        <v>5</v>
      </c>
      <c r="F39" s="15"/>
    </row>
    <row r="40" spans="1:6" ht="17.100000000000001" customHeight="1" x14ac:dyDescent="0.2">
      <c r="A40" s="8" t="s">
        <v>10</v>
      </c>
      <c r="B40" s="24">
        <v>6</v>
      </c>
      <c r="C40" s="24">
        <v>6</v>
      </c>
      <c r="D40" s="24">
        <v>6</v>
      </c>
      <c r="E40" s="24">
        <v>5</v>
      </c>
      <c r="F40" s="15"/>
    </row>
    <row r="41" spans="1:6" ht="17.100000000000001" customHeight="1" x14ac:dyDescent="0.2">
      <c r="A41" s="8" t="s">
        <v>6</v>
      </c>
      <c r="B41" s="18">
        <v>0</v>
      </c>
      <c r="C41" s="18">
        <v>0</v>
      </c>
      <c r="D41" s="18">
        <v>0</v>
      </c>
      <c r="E41" s="18">
        <v>0</v>
      </c>
      <c r="F41" s="15"/>
    </row>
    <row r="42" spans="1:6" ht="17.100000000000001" customHeight="1" x14ac:dyDescent="0.2">
      <c r="A42" s="56"/>
      <c r="B42" s="57">
        <f>SUM(B38:B41)</f>
        <v>83</v>
      </c>
      <c r="C42" s="57">
        <f>SUM(C38:C41)</f>
        <v>83</v>
      </c>
      <c r="D42" s="57">
        <f>SUM(D38:D41)</f>
        <v>82</v>
      </c>
      <c r="E42" s="57">
        <f>SUM(E38:E41)</f>
        <v>81</v>
      </c>
      <c r="F42" s="17"/>
    </row>
    <row r="43" spans="1:6" ht="17.100000000000001" customHeight="1" x14ac:dyDescent="0.25">
      <c r="A43" s="35" t="s">
        <v>66</v>
      </c>
      <c r="B43" s="29"/>
      <c r="C43" s="29"/>
      <c r="D43" s="29"/>
      <c r="E43" s="29"/>
      <c r="F43" s="2"/>
    </row>
    <row r="44" spans="1:6" ht="17.100000000000001" customHeight="1" x14ac:dyDescent="0.2">
      <c r="A44" s="8" t="s">
        <v>12</v>
      </c>
      <c r="B44" s="24">
        <v>0</v>
      </c>
      <c r="C44" s="24">
        <v>0</v>
      </c>
      <c r="D44" s="24">
        <v>0</v>
      </c>
      <c r="E44" s="24">
        <v>0</v>
      </c>
      <c r="F44" s="15"/>
    </row>
    <row r="45" spans="1:6" ht="17.100000000000001" customHeight="1" x14ac:dyDescent="0.2">
      <c r="A45" s="8" t="s">
        <v>19</v>
      </c>
      <c r="B45" s="24">
        <v>0</v>
      </c>
      <c r="C45" s="24">
        <v>0</v>
      </c>
      <c r="D45" s="24">
        <v>0</v>
      </c>
      <c r="E45" s="24">
        <v>0</v>
      </c>
      <c r="F45" s="15"/>
    </row>
    <row r="46" spans="1:6" ht="17.100000000000001" customHeight="1" x14ac:dyDescent="0.2">
      <c r="A46" s="8" t="s">
        <v>13</v>
      </c>
      <c r="B46" s="18">
        <v>0</v>
      </c>
      <c r="C46" s="18">
        <v>0</v>
      </c>
      <c r="D46" s="18">
        <v>0</v>
      </c>
      <c r="E46" s="18">
        <v>0</v>
      </c>
      <c r="F46" s="15"/>
    </row>
    <row r="47" spans="1:6" ht="17.100000000000001" customHeight="1" x14ac:dyDescent="0.2">
      <c r="A47" s="56"/>
      <c r="B47" s="57">
        <f>SUM(B44:B46)</f>
        <v>0</v>
      </c>
      <c r="C47" s="57">
        <f>SUM(C44:C46)</f>
        <v>0</v>
      </c>
      <c r="D47" s="57">
        <f>SUM(D44:D46)</f>
        <v>0</v>
      </c>
      <c r="E47" s="57">
        <f>SUM(E44:E46)</f>
        <v>0</v>
      </c>
      <c r="F47" s="17"/>
    </row>
    <row r="48" spans="1:6" ht="17.100000000000001" customHeight="1" x14ac:dyDescent="0.2">
      <c r="A48" s="8" t="s">
        <v>14</v>
      </c>
      <c r="B48" s="24">
        <v>0</v>
      </c>
      <c r="C48" s="24">
        <v>0</v>
      </c>
      <c r="D48" s="24">
        <v>0</v>
      </c>
      <c r="E48" s="24">
        <v>0</v>
      </c>
      <c r="F48" s="15"/>
    </row>
    <row r="49" spans="1:6" ht="17.100000000000001" customHeight="1" x14ac:dyDescent="0.2">
      <c r="A49" s="8" t="s">
        <v>20</v>
      </c>
      <c r="B49" s="24">
        <v>0</v>
      </c>
      <c r="C49" s="24">
        <v>0</v>
      </c>
      <c r="D49" s="24">
        <v>0</v>
      </c>
      <c r="E49" s="24">
        <v>0</v>
      </c>
      <c r="F49" s="15"/>
    </row>
    <row r="50" spans="1:6" ht="17.100000000000001" customHeight="1" x14ac:dyDescent="0.2">
      <c r="A50" s="8" t="s">
        <v>15</v>
      </c>
      <c r="B50" s="24">
        <v>0</v>
      </c>
      <c r="C50" s="24">
        <v>0</v>
      </c>
      <c r="D50" s="24">
        <v>0</v>
      </c>
      <c r="E50" s="24">
        <v>0</v>
      </c>
      <c r="F50" s="15"/>
    </row>
    <row r="51" spans="1:6" ht="17.100000000000001" customHeight="1" x14ac:dyDescent="0.2">
      <c r="A51" s="8" t="s">
        <v>16</v>
      </c>
      <c r="B51" s="24">
        <v>10</v>
      </c>
      <c r="C51" s="24">
        <v>11</v>
      </c>
      <c r="D51" s="24">
        <v>10</v>
      </c>
      <c r="E51" s="24">
        <v>10</v>
      </c>
      <c r="F51" s="15"/>
    </row>
    <row r="52" spans="1:6" ht="17.100000000000001" customHeight="1" x14ac:dyDescent="0.2">
      <c r="A52" s="8" t="s">
        <v>17</v>
      </c>
      <c r="B52" s="24">
        <v>0</v>
      </c>
      <c r="C52" s="24">
        <v>0</v>
      </c>
      <c r="D52" s="24">
        <v>0</v>
      </c>
      <c r="E52" s="24">
        <v>0</v>
      </c>
      <c r="F52" s="15"/>
    </row>
    <row r="53" spans="1:6" ht="17.100000000000001" customHeight="1" x14ac:dyDescent="0.2">
      <c r="A53" s="8" t="s">
        <v>18</v>
      </c>
      <c r="B53" s="18">
        <v>0</v>
      </c>
      <c r="C53" s="18">
        <v>0</v>
      </c>
      <c r="D53" s="18">
        <v>0</v>
      </c>
      <c r="E53" s="18">
        <v>0</v>
      </c>
      <c r="F53" s="15"/>
    </row>
    <row r="54" spans="1:6" ht="17.100000000000001" customHeight="1" x14ac:dyDescent="0.2">
      <c r="A54" s="56"/>
      <c r="B54" s="57">
        <f>SUM(B48:B53)</f>
        <v>10</v>
      </c>
      <c r="C54" s="57">
        <f>SUM(C48:C53)</f>
        <v>11</v>
      </c>
      <c r="D54" s="57">
        <f>SUM(D48:D53)</f>
        <v>10</v>
      </c>
      <c r="E54" s="57">
        <f>SUM(E48:E53)</f>
        <v>10</v>
      </c>
      <c r="F54" s="17"/>
    </row>
    <row r="55" spans="1:6" ht="17.100000000000001" customHeight="1" x14ac:dyDescent="0.25">
      <c r="A55" s="8"/>
      <c r="B55" s="29"/>
      <c r="C55" s="29"/>
      <c r="D55" s="29"/>
      <c r="E55" s="29"/>
      <c r="F55" s="18"/>
    </row>
    <row r="56" spans="1:6" ht="17.100000000000001" customHeight="1" x14ac:dyDescent="0.2">
      <c r="A56" s="58" t="s">
        <v>60</v>
      </c>
      <c r="B56" s="57">
        <f>SUM(B47-B54)</f>
        <v>-10</v>
      </c>
      <c r="C56" s="57">
        <f>SUM(C47-C54)</f>
        <v>-11</v>
      </c>
      <c r="D56" s="57">
        <f>SUM(D47-D54)</f>
        <v>-10</v>
      </c>
      <c r="E56" s="57">
        <f>SUM(E47-E54)</f>
        <v>-10</v>
      </c>
      <c r="F56" s="17"/>
    </row>
    <row r="57" spans="1:6" x14ac:dyDescent="0.2">
      <c r="A57" s="1" t="s">
        <v>88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6"/>
  </sheetPr>
  <dimension ref="A2:G57"/>
  <sheetViews>
    <sheetView topLeftCell="A23" workbookViewId="0">
      <selection activeCell="E47" sqref="E47"/>
    </sheetView>
  </sheetViews>
  <sheetFormatPr baseColWidth="10" defaultRowHeight="12.75" x14ac:dyDescent="0.2"/>
  <cols>
    <col min="1" max="1" width="39.140625" style="1" customWidth="1"/>
    <col min="2" max="5" width="10.28515625" style="1" customWidth="1"/>
    <col min="6" max="16384" width="11.42578125" style="1"/>
  </cols>
  <sheetData>
    <row r="2" spans="1:5" x14ac:dyDescent="0.2">
      <c r="A2" s="1" t="s">
        <v>1</v>
      </c>
      <c r="B2" s="1">
        <f>$E$28</f>
        <v>2015</v>
      </c>
      <c r="C2" s="1">
        <f>$D$28</f>
        <v>2016</v>
      </c>
      <c r="D2" s="1">
        <f>$C$28</f>
        <v>2017</v>
      </c>
      <c r="E2" s="1">
        <f>$B$28</f>
        <v>2018</v>
      </c>
    </row>
    <row r="3" spans="1:5" x14ac:dyDescent="0.2">
      <c r="A3" s="14"/>
      <c r="B3" s="2">
        <f>E56</f>
        <v>59</v>
      </c>
      <c r="C3" s="2">
        <f>D56</f>
        <v>1</v>
      </c>
      <c r="D3" s="2">
        <f>C56</f>
        <v>2</v>
      </c>
      <c r="E3" s="2">
        <f>B56</f>
        <v>22</v>
      </c>
    </row>
    <row r="5" spans="1:5" x14ac:dyDescent="0.2">
      <c r="A5" s="1" t="s">
        <v>0</v>
      </c>
      <c r="B5" s="1">
        <f>$E$28</f>
        <v>2015</v>
      </c>
      <c r="C5" s="1">
        <f>$D$28</f>
        <v>2016</v>
      </c>
      <c r="D5" s="1">
        <f>$C$28</f>
        <v>2017</v>
      </c>
      <c r="E5" s="1">
        <f>$B$28</f>
        <v>2018</v>
      </c>
    </row>
    <row r="6" spans="1:5" x14ac:dyDescent="0.2">
      <c r="B6" s="3">
        <f>E38/E42</f>
        <v>5.9363194819212088E-2</v>
      </c>
      <c r="C6" s="3">
        <f>D38/D42</f>
        <v>6.5986802639472111E-2</v>
      </c>
      <c r="D6" s="3">
        <f>C38/C42</f>
        <v>6.7237163814180934E-2</v>
      </c>
      <c r="E6" s="3">
        <f>B38/B42</f>
        <v>6.8792995622263917E-2</v>
      </c>
    </row>
    <row r="28" spans="1:6" ht="15.75" x14ac:dyDescent="0.25">
      <c r="A28" s="61"/>
      <c r="B28" s="55">
        <v>2018</v>
      </c>
      <c r="C28" s="55">
        <v>2017</v>
      </c>
      <c r="D28" s="55">
        <v>2016</v>
      </c>
      <c r="E28" s="55">
        <v>2015</v>
      </c>
    </row>
    <row r="29" spans="1:6" ht="17.100000000000001" customHeight="1" x14ac:dyDescent="0.25">
      <c r="A29" s="35" t="s">
        <v>2</v>
      </c>
      <c r="B29" s="35"/>
      <c r="C29" s="35"/>
      <c r="D29" s="35"/>
      <c r="E29" s="35"/>
    </row>
    <row r="30" spans="1:6" ht="17.100000000000001" customHeight="1" x14ac:dyDescent="0.25">
      <c r="A30" s="36" t="s">
        <v>48</v>
      </c>
      <c r="B30" s="29"/>
      <c r="C30" s="29"/>
      <c r="D30" s="29"/>
      <c r="E30" s="29"/>
      <c r="F30" s="11"/>
    </row>
    <row r="31" spans="1:6" ht="17.100000000000001" customHeight="1" x14ac:dyDescent="0.2">
      <c r="A31" s="36"/>
      <c r="B31" s="36"/>
      <c r="C31" s="36"/>
      <c r="D31" s="36"/>
      <c r="E31" s="36"/>
      <c r="F31" s="7"/>
    </row>
    <row r="32" spans="1:6" ht="17.100000000000001" customHeight="1" x14ac:dyDescent="0.2">
      <c r="A32" s="8" t="s">
        <v>4</v>
      </c>
      <c r="B32" s="24">
        <v>968</v>
      </c>
      <c r="C32" s="24">
        <v>1018</v>
      </c>
      <c r="D32" s="24">
        <v>1135</v>
      </c>
      <c r="E32" s="24">
        <v>1112</v>
      </c>
      <c r="F32" s="15"/>
    </row>
    <row r="33" spans="1:7" ht="17.100000000000001" customHeight="1" x14ac:dyDescent="0.2">
      <c r="A33" s="8" t="s">
        <v>5</v>
      </c>
      <c r="B33" s="24">
        <v>630</v>
      </c>
      <c r="C33" s="24">
        <v>617</v>
      </c>
      <c r="D33" s="24">
        <v>532</v>
      </c>
      <c r="E33" s="24">
        <v>740</v>
      </c>
      <c r="F33" s="15"/>
    </row>
    <row r="34" spans="1:7" ht="17.100000000000001" customHeight="1" x14ac:dyDescent="0.2">
      <c r="A34" s="8" t="s">
        <v>6</v>
      </c>
      <c r="B34" s="24">
        <v>1</v>
      </c>
      <c r="C34" s="24">
        <v>1</v>
      </c>
      <c r="D34" s="24">
        <v>0</v>
      </c>
      <c r="E34" s="24">
        <v>1</v>
      </c>
      <c r="F34" s="16"/>
    </row>
    <row r="35" spans="1:7" ht="17.100000000000001" customHeight="1" x14ac:dyDescent="0.2">
      <c r="A35" s="56"/>
      <c r="B35" s="57">
        <f t="shared" ref="B35:C35" si="0">SUM(B32:B34)</f>
        <v>1599</v>
      </c>
      <c r="C35" s="57">
        <f t="shared" si="0"/>
        <v>1636</v>
      </c>
      <c r="D35" s="57">
        <f t="shared" ref="D35" si="1">SUM(D32:D34)</f>
        <v>1667</v>
      </c>
      <c r="E35" s="57">
        <f t="shared" ref="E35" si="2">SUM(E32:E34)</f>
        <v>1853</v>
      </c>
      <c r="F35" s="17"/>
      <c r="G35" s="2">
        <f>B35-C35</f>
        <v>-37</v>
      </c>
    </row>
    <row r="36" spans="1:7" ht="17.100000000000001" customHeight="1" x14ac:dyDescent="0.2">
      <c r="A36" s="36" t="s">
        <v>7</v>
      </c>
      <c r="B36" s="42"/>
      <c r="C36" s="42"/>
      <c r="D36" s="42"/>
      <c r="E36" s="42"/>
      <c r="F36" s="18"/>
    </row>
    <row r="37" spans="1:7" ht="17.100000000000001" customHeight="1" x14ac:dyDescent="0.2">
      <c r="A37" s="36"/>
      <c r="B37" s="42"/>
      <c r="C37" s="42"/>
      <c r="D37" s="42"/>
      <c r="E37" s="42"/>
      <c r="F37" s="18"/>
    </row>
    <row r="38" spans="1:7" ht="17.100000000000001" customHeight="1" x14ac:dyDescent="0.2">
      <c r="A38" s="8" t="s">
        <v>8</v>
      </c>
      <c r="B38" s="24">
        <v>110</v>
      </c>
      <c r="C38" s="24">
        <v>110</v>
      </c>
      <c r="D38" s="24">
        <v>110</v>
      </c>
      <c r="E38" s="24">
        <v>110</v>
      </c>
      <c r="F38" s="15"/>
    </row>
    <row r="39" spans="1:7" ht="17.100000000000001" customHeight="1" x14ac:dyDescent="0.2">
      <c r="A39" s="8" t="s">
        <v>9</v>
      </c>
      <c r="B39" s="24">
        <v>150</v>
      </c>
      <c r="C39" s="24">
        <v>135</v>
      </c>
      <c r="D39" s="24">
        <v>154</v>
      </c>
      <c r="E39" s="24">
        <v>386</v>
      </c>
      <c r="F39" s="15"/>
    </row>
    <row r="40" spans="1:7" ht="17.100000000000001" customHeight="1" x14ac:dyDescent="0.2">
      <c r="A40" s="8" t="s">
        <v>10</v>
      </c>
      <c r="B40" s="24">
        <v>1339</v>
      </c>
      <c r="C40" s="24">
        <v>1391</v>
      </c>
      <c r="D40" s="24">
        <v>1403</v>
      </c>
      <c r="E40" s="24">
        <v>1357</v>
      </c>
      <c r="F40" s="15"/>
    </row>
    <row r="41" spans="1:7" ht="17.100000000000001" customHeight="1" x14ac:dyDescent="0.2">
      <c r="A41" s="8" t="s">
        <v>6</v>
      </c>
      <c r="B41" s="24">
        <v>0</v>
      </c>
      <c r="C41" s="24">
        <v>0</v>
      </c>
      <c r="D41" s="24">
        <v>0</v>
      </c>
      <c r="E41" s="24">
        <v>0</v>
      </c>
      <c r="F41" s="16"/>
    </row>
    <row r="42" spans="1:7" ht="17.100000000000001" customHeight="1" x14ac:dyDescent="0.2">
      <c r="A42" s="56"/>
      <c r="B42" s="57">
        <f t="shared" ref="B42:C42" si="3">SUM(B38:B41)</f>
        <v>1599</v>
      </c>
      <c r="C42" s="57">
        <f t="shared" si="3"/>
        <v>1636</v>
      </c>
      <c r="D42" s="57">
        <f t="shared" ref="D42" si="4">SUM(D38:D41)</f>
        <v>1667</v>
      </c>
      <c r="E42" s="57">
        <f t="shared" ref="E42" si="5">SUM(E38:E41)</f>
        <v>1853</v>
      </c>
      <c r="F42" s="17"/>
    </row>
    <row r="43" spans="1:7" ht="17.100000000000001" customHeight="1" x14ac:dyDescent="0.25">
      <c r="A43" s="35" t="s">
        <v>66</v>
      </c>
      <c r="B43" s="65"/>
      <c r="C43" s="65"/>
      <c r="D43" s="65"/>
      <c r="E43" s="65"/>
      <c r="F43" s="2"/>
    </row>
    <row r="44" spans="1:7" ht="17.100000000000001" customHeight="1" x14ac:dyDescent="0.2">
      <c r="A44" s="8" t="s">
        <v>12</v>
      </c>
      <c r="B44" s="24">
        <v>4062</v>
      </c>
      <c r="C44" s="24">
        <v>3996</v>
      </c>
      <c r="D44" s="24">
        <v>3941</v>
      </c>
      <c r="E44" s="24">
        <v>4181</v>
      </c>
      <c r="F44" s="15"/>
    </row>
    <row r="45" spans="1:7" ht="17.100000000000001" customHeight="1" x14ac:dyDescent="0.2">
      <c r="A45" s="8" t="s">
        <v>19</v>
      </c>
      <c r="B45" s="24">
        <v>175</v>
      </c>
      <c r="C45" s="24">
        <v>249</v>
      </c>
      <c r="D45" s="24">
        <v>326</v>
      </c>
      <c r="E45" s="24">
        <v>278</v>
      </c>
      <c r="F45" s="15"/>
    </row>
    <row r="46" spans="1:7" ht="17.100000000000001" customHeight="1" x14ac:dyDescent="0.2">
      <c r="A46" s="8" t="s">
        <v>13</v>
      </c>
      <c r="B46" s="24">
        <v>0</v>
      </c>
      <c r="C46" s="24">
        <v>0</v>
      </c>
      <c r="D46" s="24">
        <v>0</v>
      </c>
      <c r="E46" s="24">
        <v>0</v>
      </c>
      <c r="F46" s="16"/>
    </row>
    <row r="47" spans="1:7" ht="17.100000000000001" customHeight="1" x14ac:dyDescent="0.2">
      <c r="A47" s="56"/>
      <c r="B47" s="57">
        <f t="shared" ref="B47" si="6">SUM(B44:B46)</f>
        <v>4237</v>
      </c>
      <c r="C47" s="57">
        <f t="shared" ref="C47:E47" si="7">SUM(C44:C46)</f>
        <v>4245</v>
      </c>
      <c r="D47" s="57">
        <f t="shared" si="7"/>
        <v>4267</v>
      </c>
      <c r="E47" s="57">
        <f t="shared" si="7"/>
        <v>4459</v>
      </c>
      <c r="F47" s="17"/>
    </row>
    <row r="48" spans="1:7" ht="17.100000000000001" customHeight="1" x14ac:dyDescent="0.2">
      <c r="A48" s="8" t="s">
        <v>20</v>
      </c>
      <c r="B48" s="24">
        <v>629</v>
      </c>
      <c r="C48" s="24">
        <v>569</v>
      </c>
      <c r="D48" s="24">
        <f>394+187</f>
        <v>581</v>
      </c>
      <c r="E48" s="24">
        <v>633</v>
      </c>
      <c r="F48" s="15"/>
    </row>
    <row r="49" spans="1:6" ht="17.100000000000001" customHeight="1" x14ac:dyDescent="0.2">
      <c r="A49" s="8" t="s">
        <v>14</v>
      </c>
      <c r="B49" s="24">
        <v>2867</v>
      </c>
      <c r="C49" s="24">
        <v>2982</v>
      </c>
      <c r="D49" s="24">
        <f>2388+584</f>
        <v>2972</v>
      </c>
      <c r="E49" s="24">
        <v>2929</v>
      </c>
      <c r="F49" s="15"/>
    </row>
    <row r="50" spans="1:6" ht="17.100000000000001" customHeight="1" x14ac:dyDescent="0.2">
      <c r="A50" s="8" t="s">
        <v>15</v>
      </c>
      <c r="B50" s="24">
        <v>255</v>
      </c>
      <c r="C50" s="24">
        <v>258</v>
      </c>
      <c r="D50" s="24">
        <v>265</v>
      </c>
      <c r="E50" s="24">
        <v>267</v>
      </c>
      <c r="F50" s="15"/>
    </row>
    <row r="51" spans="1:6" ht="17.100000000000001" customHeight="1" x14ac:dyDescent="0.2">
      <c r="A51" s="8" t="s">
        <v>16</v>
      </c>
      <c r="B51" s="24">
        <v>446</v>
      </c>
      <c r="C51" s="24">
        <v>423</v>
      </c>
      <c r="D51" s="24">
        <v>435</v>
      </c>
      <c r="E51" s="24">
        <v>535</v>
      </c>
      <c r="F51" s="15"/>
    </row>
    <row r="52" spans="1:6" ht="17.100000000000001" customHeight="1" x14ac:dyDescent="0.2">
      <c r="A52" s="8" t="s">
        <v>17</v>
      </c>
      <c r="B52" s="24">
        <v>6</v>
      </c>
      <c r="C52" s="24">
        <v>7</v>
      </c>
      <c r="D52" s="24">
        <v>9</v>
      </c>
      <c r="E52" s="24">
        <v>8</v>
      </c>
      <c r="F52" s="15"/>
    </row>
    <row r="53" spans="1:6" ht="17.100000000000001" customHeight="1" x14ac:dyDescent="0.2">
      <c r="A53" s="8" t="s">
        <v>18</v>
      </c>
      <c r="B53" s="24">
        <v>12</v>
      </c>
      <c r="C53" s="24">
        <v>4</v>
      </c>
      <c r="D53" s="24">
        <v>4</v>
      </c>
      <c r="E53" s="24">
        <v>28</v>
      </c>
      <c r="F53" s="16"/>
    </row>
    <row r="54" spans="1:6" ht="17.100000000000001" customHeight="1" x14ac:dyDescent="0.2">
      <c r="A54" s="56"/>
      <c r="B54" s="57">
        <f>SUM(B48:B53)</f>
        <v>4215</v>
      </c>
      <c r="C54" s="57">
        <f>SUM(C48:C53)</f>
        <v>4243</v>
      </c>
      <c r="D54" s="57">
        <f>SUM(D48:D53)</f>
        <v>4266</v>
      </c>
      <c r="E54" s="57">
        <f>SUM(E48:E53)</f>
        <v>4400</v>
      </c>
      <c r="F54" s="17"/>
    </row>
    <row r="55" spans="1:6" ht="17.100000000000001" customHeight="1" x14ac:dyDescent="0.2">
      <c r="A55" s="8"/>
      <c r="B55" s="24"/>
      <c r="C55" s="24"/>
      <c r="D55" s="24"/>
      <c r="E55" s="24"/>
      <c r="F55" s="18"/>
    </row>
    <row r="56" spans="1:6" ht="17.100000000000001" customHeight="1" x14ac:dyDescent="0.2">
      <c r="A56" s="58" t="s">
        <v>60</v>
      </c>
      <c r="B56" s="57">
        <f>SUM(B47-B54)</f>
        <v>22</v>
      </c>
      <c r="C56" s="57">
        <f>SUM(C47-C54)</f>
        <v>2</v>
      </c>
      <c r="D56" s="57">
        <f>SUM(D47-D54)</f>
        <v>1</v>
      </c>
      <c r="E56" s="57">
        <f>SUM(E47-E54)</f>
        <v>59</v>
      </c>
      <c r="F56" s="21"/>
    </row>
    <row r="57" spans="1:6" ht="15.75" x14ac:dyDescent="0.25">
      <c r="A57" s="29"/>
      <c r="B57" s="35"/>
      <c r="C57" s="29"/>
      <c r="D57" s="29"/>
      <c r="E57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6"/>
  </sheetPr>
  <dimension ref="A2:F61"/>
  <sheetViews>
    <sheetView topLeftCell="A28" workbookViewId="0">
      <selection activeCell="A29" sqref="A29:E61"/>
    </sheetView>
  </sheetViews>
  <sheetFormatPr baseColWidth="10" defaultRowHeight="12.75" x14ac:dyDescent="0.2"/>
  <cols>
    <col min="1" max="1" width="39.140625" style="1" customWidth="1"/>
    <col min="2" max="16384" width="11.42578125" style="1"/>
  </cols>
  <sheetData>
    <row r="2" spans="1:5" x14ac:dyDescent="0.2">
      <c r="A2" s="1" t="s">
        <v>1</v>
      </c>
      <c r="B2" s="1">
        <f>$E$29</f>
        <v>2015</v>
      </c>
      <c r="C2" s="1">
        <f>$D$29</f>
        <v>2016</v>
      </c>
      <c r="D2" s="1">
        <f>$C$29</f>
        <v>2017</v>
      </c>
      <c r="E2" s="1">
        <f>$B$29</f>
        <v>2018</v>
      </c>
    </row>
    <row r="3" spans="1:5" x14ac:dyDescent="0.2">
      <c r="B3" s="2">
        <f>E61</f>
        <v>-484</v>
      </c>
      <c r="C3" s="2">
        <f>D61</f>
        <v>-980</v>
      </c>
      <c r="D3" s="2">
        <f>C61</f>
        <v>-954</v>
      </c>
      <c r="E3" s="2">
        <f>B61</f>
        <v>-1330</v>
      </c>
    </row>
    <row r="5" spans="1:5" x14ac:dyDescent="0.2">
      <c r="A5" s="1" t="s">
        <v>0</v>
      </c>
      <c r="B5" s="1">
        <f>$E$29</f>
        <v>2015</v>
      </c>
      <c r="C5" s="1">
        <f>$D$29</f>
        <v>2016</v>
      </c>
      <c r="D5" s="1">
        <f>$C$29</f>
        <v>2017</v>
      </c>
      <c r="E5" s="1">
        <f>$B$29</f>
        <v>2018</v>
      </c>
    </row>
    <row r="6" spans="1:5" x14ac:dyDescent="0.2">
      <c r="B6" s="3">
        <f>E40/E44</f>
        <v>5.0520965692503174E-2</v>
      </c>
      <c r="C6" s="3">
        <f>D40/D44</f>
        <v>4.1179882343193308E-2</v>
      </c>
      <c r="D6" s="3">
        <f>C40/C44</f>
        <v>5.2107360033550008E-2</v>
      </c>
      <c r="E6" s="3">
        <f>B40/B44</f>
        <v>4.978962131837307E-2</v>
      </c>
    </row>
    <row r="29" spans="1:5" ht="15.75" x14ac:dyDescent="0.25">
      <c r="A29" s="61"/>
      <c r="B29" s="55">
        <v>2018</v>
      </c>
      <c r="C29" s="55">
        <v>2017</v>
      </c>
      <c r="D29" s="55">
        <v>2016</v>
      </c>
      <c r="E29" s="55">
        <v>2015</v>
      </c>
    </row>
    <row r="30" spans="1:5" ht="17.100000000000001" customHeight="1" x14ac:dyDescent="0.25">
      <c r="A30" s="35" t="s">
        <v>2</v>
      </c>
      <c r="B30" s="4"/>
      <c r="C30" s="4"/>
      <c r="D30" s="4"/>
      <c r="E30" s="4"/>
    </row>
    <row r="31" spans="1:5" ht="17.100000000000001" customHeight="1" x14ac:dyDescent="0.25">
      <c r="A31" s="36" t="s">
        <v>48</v>
      </c>
      <c r="B31" s="29"/>
      <c r="C31" s="29"/>
      <c r="D31" s="29"/>
      <c r="E31" s="29"/>
    </row>
    <row r="32" spans="1:5" ht="17.100000000000001" customHeight="1" x14ac:dyDescent="0.25">
      <c r="A32" s="36"/>
      <c r="B32" s="29"/>
      <c r="C32" s="29"/>
      <c r="D32" s="29"/>
      <c r="E32" s="29"/>
    </row>
    <row r="33" spans="1:6" ht="17.100000000000001" customHeight="1" x14ac:dyDescent="0.2">
      <c r="A33" s="8" t="s">
        <v>4</v>
      </c>
      <c r="B33" s="24">
        <v>1</v>
      </c>
      <c r="C33" s="24">
        <v>2</v>
      </c>
      <c r="D33" s="24">
        <v>2</v>
      </c>
      <c r="E33" s="24">
        <v>2</v>
      </c>
    </row>
    <row r="34" spans="1:6" ht="17.100000000000001" customHeight="1" x14ac:dyDescent="0.2">
      <c r="A34" s="8" t="s">
        <v>5</v>
      </c>
      <c r="B34" s="24">
        <v>19909</v>
      </c>
      <c r="C34" s="24">
        <v>19016</v>
      </c>
      <c r="D34" s="24">
        <v>24066</v>
      </c>
      <c r="E34" s="24">
        <v>19591</v>
      </c>
    </row>
    <row r="35" spans="1:6" ht="17.100000000000001" customHeight="1" x14ac:dyDescent="0.2">
      <c r="A35" s="8" t="s">
        <v>6</v>
      </c>
      <c r="B35" s="64">
        <v>54</v>
      </c>
      <c r="C35" s="64">
        <v>58</v>
      </c>
      <c r="D35" s="64">
        <v>70</v>
      </c>
      <c r="E35" s="64">
        <v>82</v>
      </c>
    </row>
    <row r="36" spans="1:6" ht="17.100000000000001" customHeight="1" x14ac:dyDescent="0.25">
      <c r="A36" s="56"/>
      <c r="B36" s="60">
        <f>SUM(B33:B35)</f>
        <v>19964</v>
      </c>
      <c r="C36" s="60">
        <f>SUM(C33:C35)</f>
        <v>19076</v>
      </c>
      <c r="D36" s="60">
        <f>SUM(D33:D35)</f>
        <v>24138</v>
      </c>
      <c r="E36" s="60">
        <f>SUM(E33:E35)</f>
        <v>19675</v>
      </c>
      <c r="F36" s="2"/>
    </row>
    <row r="37" spans="1:6" ht="17.100000000000001" customHeight="1" x14ac:dyDescent="0.25">
      <c r="A37" s="8"/>
      <c r="B37" s="29"/>
      <c r="C37" s="29"/>
      <c r="D37" s="29"/>
      <c r="E37" s="29"/>
    </row>
    <row r="38" spans="1:6" ht="17.100000000000001" customHeight="1" x14ac:dyDescent="0.25">
      <c r="A38" s="36" t="s">
        <v>7</v>
      </c>
      <c r="B38" s="29"/>
      <c r="C38" s="29"/>
      <c r="D38" s="29"/>
      <c r="E38" s="29"/>
    </row>
    <row r="39" spans="1:6" ht="17.100000000000001" customHeight="1" x14ac:dyDescent="0.25">
      <c r="A39" s="36"/>
      <c r="B39" s="29"/>
      <c r="C39" s="29"/>
      <c r="D39" s="29"/>
      <c r="E39" s="29"/>
    </row>
    <row r="40" spans="1:6" ht="17.100000000000001" customHeight="1" x14ac:dyDescent="0.2">
      <c r="A40" s="8" t="s">
        <v>8</v>
      </c>
      <c r="B40" s="24">
        <v>994</v>
      </c>
      <c r="C40" s="24">
        <v>994</v>
      </c>
      <c r="D40" s="24">
        <v>994</v>
      </c>
      <c r="E40" s="24">
        <v>994</v>
      </c>
    </row>
    <row r="41" spans="1:6" ht="17.100000000000001" customHeight="1" x14ac:dyDescent="0.2">
      <c r="A41" s="8" t="s">
        <v>9</v>
      </c>
      <c r="B41" s="24">
        <v>7404</v>
      </c>
      <c r="C41" s="24">
        <v>8495</v>
      </c>
      <c r="D41" s="24">
        <v>7681</v>
      </c>
      <c r="E41" s="24">
        <v>7351</v>
      </c>
    </row>
    <row r="42" spans="1:6" ht="17.100000000000001" customHeight="1" x14ac:dyDescent="0.2">
      <c r="A42" s="8" t="s">
        <v>10</v>
      </c>
      <c r="B42" s="24">
        <v>11566</v>
      </c>
      <c r="C42" s="24">
        <v>9587</v>
      </c>
      <c r="D42" s="24">
        <v>15463</v>
      </c>
      <c r="E42" s="24">
        <v>11330</v>
      </c>
    </row>
    <row r="43" spans="1:6" ht="17.100000000000001" customHeight="1" x14ac:dyDescent="0.2">
      <c r="A43" s="8" t="s">
        <v>6</v>
      </c>
      <c r="B43" s="24">
        <v>0</v>
      </c>
      <c r="C43" s="24">
        <v>0</v>
      </c>
      <c r="D43" s="24">
        <v>0</v>
      </c>
      <c r="E43" s="24">
        <v>0</v>
      </c>
    </row>
    <row r="44" spans="1:6" ht="17.100000000000001" customHeight="1" x14ac:dyDescent="0.25">
      <c r="A44" s="56"/>
      <c r="B44" s="62">
        <f>SUM(B40:B43)</f>
        <v>19964</v>
      </c>
      <c r="C44" s="62">
        <f>SUM(C40:C43)</f>
        <v>19076</v>
      </c>
      <c r="D44" s="62">
        <f>SUM(D40:D43)</f>
        <v>24138</v>
      </c>
      <c r="E44" s="62">
        <f>SUM(E40:E43)</f>
        <v>19675</v>
      </c>
    </row>
    <row r="45" spans="1:6" ht="17.100000000000001" customHeight="1" x14ac:dyDescent="0.25">
      <c r="A45" s="8"/>
      <c r="B45" s="29"/>
      <c r="C45" s="29"/>
      <c r="D45" s="29"/>
      <c r="E45" s="29"/>
    </row>
    <row r="46" spans="1:6" ht="17.100000000000001" customHeight="1" x14ac:dyDescent="0.25">
      <c r="A46" s="35" t="s">
        <v>66</v>
      </c>
      <c r="B46" s="29"/>
      <c r="C46" s="29"/>
      <c r="D46" s="29"/>
      <c r="E46" s="29"/>
    </row>
    <row r="47" spans="1:6" ht="17.100000000000001" customHeight="1" x14ac:dyDescent="0.25">
      <c r="B47" s="29"/>
      <c r="C47" s="29"/>
      <c r="D47" s="29"/>
      <c r="E47" s="29"/>
    </row>
    <row r="48" spans="1:6" ht="17.100000000000001" customHeight="1" x14ac:dyDescent="0.2">
      <c r="A48" s="8" t="s">
        <v>12</v>
      </c>
      <c r="B48" s="24">
        <v>88181</v>
      </c>
      <c r="C48" s="24">
        <v>98994</v>
      </c>
      <c r="D48" s="24">
        <v>128969</v>
      </c>
      <c r="E48" s="24">
        <v>120786</v>
      </c>
    </row>
    <row r="49" spans="1:5" ht="17.100000000000001" customHeight="1" x14ac:dyDescent="0.2">
      <c r="A49" s="8" t="s">
        <v>19</v>
      </c>
      <c r="B49" s="24">
        <v>207</v>
      </c>
      <c r="C49" s="24">
        <v>269</v>
      </c>
      <c r="D49" s="24">
        <v>93</v>
      </c>
      <c r="E49" s="24">
        <v>92</v>
      </c>
    </row>
    <row r="50" spans="1:5" ht="17.100000000000001" customHeight="1" x14ac:dyDescent="0.2">
      <c r="A50" s="8" t="s">
        <v>13</v>
      </c>
      <c r="B50" s="24">
        <v>38</v>
      </c>
      <c r="C50" s="24">
        <v>29</v>
      </c>
      <c r="D50" s="24">
        <v>4</v>
      </c>
      <c r="E50" s="24">
        <v>12</v>
      </c>
    </row>
    <row r="51" spans="1:5" ht="17.100000000000001" customHeight="1" x14ac:dyDescent="0.25">
      <c r="A51" s="56"/>
      <c r="B51" s="60">
        <f>SUM(B48:B50)</f>
        <v>88426</v>
      </c>
      <c r="C51" s="60">
        <f>SUM(C48:C50)</f>
        <v>99292</v>
      </c>
      <c r="D51" s="60">
        <f>SUM(D48:D50)</f>
        <v>129066</v>
      </c>
      <c r="E51" s="60">
        <f>SUM(E48:E50)</f>
        <v>120890</v>
      </c>
    </row>
    <row r="52" spans="1:5" ht="17.100000000000001" customHeight="1" x14ac:dyDescent="0.25">
      <c r="A52" s="8"/>
      <c r="B52" s="29"/>
      <c r="C52" s="29"/>
      <c r="D52" s="29"/>
      <c r="E52" s="29"/>
    </row>
    <row r="53" spans="1:5" ht="17.100000000000001" customHeight="1" x14ac:dyDescent="0.2">
      <c r="A53" s="8" t="s">
        <v>20</v>
      </c>
      <c r="B53" s="24">
        <f>88031+129</f>
        <v>88160</v>
      </c>
      <c r="C53" s="24">
        <f>98031+150</f>
        <v>98181</v>
      </c>
      <c r="D53" s="24">
        <f>127814+180</f>
        <v>127994</v>
      </c>
      <c r="E53" s="24">
        <f>118894+200</f>
        <v>119094</v>
      </c>
    </row>
    <row r="54" spans="1:5" ht="17.100000000000001" customHeight="1" x14ac:dyDescent="0.2">
      <c r="A54" s="8" t="s">
        <v>14</v>
      </c>
      <c r="B54" s="24">
        <f>616+116</f>
        <v>732</v>
      </c>
      <c r="C54" s="24">
        <f>705+127</f>
        <v>832</v>
      </c>
      <c r="D54" s="24">
        <f>704+122</f>
        <v>826</v>
      </c>
      <c r="E54" s="24">
        <f>748+126</f>
        <v>874</v>
      </c>
    </row>
    <row r="55" spans="1:5" ht="17.100000000000001" customHeight="1" x14ac:dyDescent="0.2">
      <c r="A55" s="8" t="s">
        <v>15</v>
      </c>
      <c r="B55" s="24">
        <v>0</v>
      </c>
      <c r="C55" s="24">
        <v>0</v>
      </c>
      <c r="D55" s="24">
        <v>0</v>
      </c>
      <c r="E55" s="24">
        <v>1</v>
      </c>
    </row>
    <row r="56" spans="1:5" ht="17.100000000000001" customHeight="1" x14ac:dyDescent="0.2">
      <c r="A56" s="8" t="s">
        <v>16</v>
      </c>
      <c r="B56" s="24">
        <v>864</v>
      </c>
      <c r="C56" s="24">
        <v>1226</v>
      </c>
      <c r="D56" s="24">
        <v>1228</v>
      </c>
      <c r="E56" s="24">
        <v>1381</v>
      </c>
    </row>
    <row r="57" spans="1:5" ht="17.100000000000001" customHeight="1" x14ac:dyDescent="0.2">
      <c r="A57" s="8" t="s">
        <v>17</v>
      </c>
      <c r="B57" s="24">
        <v>0</v>
      </c>
      <c r="C57" s="24">
        <v>7</v>
      </c>
      <c r="D57" s="24">
        <v>9</v>
      </c>
      <c r="E57" s="24">
        <v>23</v>
      </c>
    </row>
    <row r="58" spans="1:5" ht="17.100000000000001" customHeight="1" x14ac:dyDescent="0.2">
      <c r="A58" s="8" t="s">
        <v>18</v>
      </c>
      <c r="B58" s="24">
        <v>0</v>
      </c>
      <c r="C58" s="24">
        <v>0</v>
      </c>
      <c r="D58" s="24">
        <f>-18+7</f>
        <v>-11</v>
      </c>
      <c r="E58" s="24">
        <v>1</v>
      </c>
    </row>
    <row r="59" spans="1:5" ht="17.100000000000001" customHeight="1" x14ac:dyDescent="0.25">
      <c r="A59" s="56"/>
      <c r="B59" s="60">
        <f>SUM(B53:B58)</f>
        <v>89756</v>
      </c>
      <c r="C59" s="60">
        <f>SUM(C53:C58)</f>
        <v>100246</v>
      </c>
      <c r="D59" s="60">
        <f>SUM(D53:D58)</f>
        <v>130046</v>
      </c>
      <c r="E59" s="60">
        <f>SUM(E53:E58)</f>
        <v>121374</v>
      </c>
    </row>
    <row r="60" spans="1:5" ht="17.100000000000001" customHeight="1" x14ac:dyDescent="0.25">
      <c r="A60" s="8"/>
      <c r="B60" s="29"/>
      <c r="C60" s="29"/>
      <c r="D60" s="29"/>
      <c r="E60" s="29"/>
    </row>
    <row r="61" spans="1:5" ht="16.5" customHeight="1" x14ac:dyDescent="0.25">
      <c r="A61" s="63" t="s">
        <v>60</v>
      </c>
      <c r="B61" s="60">
        <f>SUM(B51-B59)</f>
        <v>-1330</v>
      </c>
      <c r="C61" s="60">
        <f>SUM(C51-C59)</f>
        <v>-954</v>
      </c>
      <c r="D61" s="60">
        <f>SUM(D51-D59)</f>
        <v>-980</v>
      </c>
      <c r="E61" s="60">
        <f>SUM(E51-E59)</f>
        <v>-484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theme="6"/>
  </sheetPr>
  <dimension ref="A2:G54"/>
  <sheetViews>
    <sheetView topLeftCell="A20" workbookViewId="0">
      <selection activeCell="A26" sqref="A26:E54"/>
    </sheetView>
  </sheetViews>
  <sheetFormatPr baseColWidth="10" defaultRowHeight="12.75" x14ac:dyDescent="0.2"/>
  <cols>
    <col min="1" max="1" width="37.28515625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A3" s="14"/>
      <c r="B3" s="2">
        <f>E54</f>
        <v>5</v>
      </c>
      <c r="C3" s="2">
        <f>D54</f>
        <v>-35</v>
      </c>
      <c r="D3" s="2">
        <f>C54</f>
        <v>-16</v>
      </c>
      <c r="E3" s="2">
        <f>B54</f>
        <v>-35</v>
      </c>
    </row>
    <row r="4" spans="1:5" x14ac:dyDescent="0.2">
      <c r="B4" s="26"/>
      <c r="C4" s="26"/>
      <c r="D4" s="26"/>
      <c r="E4" s="26"/>
    </row>
    <row r="5" spans="1:5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E36/E40</f>
        <v>0.96871628910463858</v>
      </c>
      <c r="C6" s="3">
        <f>D36/D40</f>
        <v>0.94420131291028442</v>
      </c>
      <c r="D6" s="3">
        <f>C36/C40</f>
        <v>0.99064327485380121</v>
      </c>
      <c r="E6" s="3">
        <f>B36/B40</f>
        <v>0.99266503667481665</v>
      </c>
    </row>
    <row r="26" spans="1:6" ht="15.75" x14ac:dyDescent="0.25">
      <c r="A26" s="145"/>
      <c r="B26" s="67">
        <v>2018</v>
      </c>
      <c r="C26" s="67">
        <v>2017</v>
      </c>
      <c r="D26" s="67">
        <v>2016</v>
      </c>
      <c r="E26" s="67">
        <v>2015</v>
      </c>
    </row>
    <row r="27" spans="1:6" ht="17.100000000000001" customHeight="1" x14ac:dyDescent="0.25">
      <c r="A27" s="71" t="s">
        <v>2</v>
      </c>
      <c r="B27" s="33"/>
      <c r="C27" s="33"/>
      <c r="D27" s="33"/>
      <c r="E27" s="33"/>
    </row>
    <row r="28" spans="1:6" ht="17.100000000000001" customHeight="1" x14ac:dyDescent="0.2">
      <c r="A28" s="73" t="s">
        <v>48</v>
      </c>
      <c r="B28" s="33"/>
      <c r="C28" s="33"/>
      <c r="D28" s="33"/>
      <c r="E28" s="33"/>
      <c r="F28" s="11"/>
    </row>
    <row r="29" spans="1:6" ht="17.100000000000001" customHeight="1" x14ac:dyDescent="0.2">
      <c r="A29" s="73"/>
      <c r="B29" s="33"/>
      <c r="C29" s="33"/>
      <c r="D29" s="33"/>
      <c r="E29" s="33"/>
      <c r="F29" s="7"/>
    </row>
    <row r="30" spans="1:6" ht="17.100000000000001" customHeight="1" x14ac:dyDescent="0.2">
      <c r="A30" s="74" t="s">
        <v>4</v>
      </c>
      <c r="B30" s="131">
        <v>0</v>
      </c>
      <c r="C30" s="131">
        <v>0</v>
      </c>
      <c r="D30" s="131">
        <v>0</v>
      </c>
      <c r="E30" s="131">
        <v>0</v>
      </c>
      <c r="F30" s="15"/>
    </row>
    <row r="31" spans="1:6" ht="17.100000000000001" customHeight="1" x14ac:dyDescent="0.2">
      <c r="A31" s="74" t="s">
        <v>5</v>
      </c>
      <c r="B31" s="131">
        <v>818</v>
      </c>
      <c r="C31" s="131">
        <v>855</v>
      </c>
      <c r="D31" s="131">
        <v>914</v>
      </c>
      <c r="E31" s="131">
        <v>927</v>
      </c>
      <c r="F31" s="15"/>
    </row>
    <row r="32" spans="1:6" ht="17.100000000000001" customHeight="1" x14ac:dyDescent="0.2">
      <c r="A32" s="74" t="s">
        <v>6</v>
      </c>
      <c r="B32" s="131">
        <v>0</v>
      </c>
      <c r="C32" s="131">
        <v>0</v>
      </c>
      <c r="D32" s="131">
        <v>0</v>
      </c>
      <c r="E32" s="131">
        <v>0</v>
      </c>
      <c r="F32" s="15"/>
    </row>
    <row r="33" spans="1:7" ht="17.100000000000001" customHeight="1" x14ac:dyDescent="0.2">
      <c r="A33" s="68"/>
      <c r="B33" s="132">
        <f>SUM(B30:B32)</f>
        <v>818</v>
      </c>
      <c r="C33" s="132">
        <f>SUM(C30:C32)</f>
        <v>855</v>
      </c>
      <c r="D33" s="132">
        <f>SUM(D30:D32)</f>
        <v>914</v>
      </c>
      <c r="E33" s="132">
        <f>SUM(E30:E32)</f>
        <v>927</v>
      </c>
      <c r="F33" s="17"/>
      <c r="G33" s="130">
        <f>C33-B33</f>
        <v>37</v>
      </c>
    </row>
    <row r="34" spans="1:7" ht="17.100000000000001" customHeight="1" x14ac:dyDescent="0.2">
      <c r="A34" s="73" t="s">
        <v>7</v>
      </c>
      <c r="B34" s="131"/>
      <c r="C34" s="131"/>
      <c r="D34" s="131"/>
      <c r="E34" s="131"/>
      <c r="F34" s="18"/>
    </row>
    <row r="35" spans="1:7" ht="17.100000000000001" customHeight="1" x14ac:dyDescent="0.2">
      <c r="A35" s="73"/>
      <c r="B35" s="131"/>
      <c r="C35" s="131"/>
      <c r="D35" s="131"/>
      <c r="E35" s="131"/>
      <c r="F35" s="18"/>
    </row>
    <row r="36" spans="1:7" ht="17.100000000000001" customHeight="1" x14ac:dyDescent="0.2">
      <c r="A36" s="74" t="s">
        <v>8</v>
      </c>
      <c r="B36" s="131">
        <v>812</v>
      </c>
      <c r="C36" s="131">
        <v>847</v>
      </c>
      <c r="D36" s="131">
        <v>863</v>
      </c>
      <c r="E36" s="131">
        <v>898</v>
      </c>
      <c r="F36" s="15"/>
    </row>
    <row r="37" spans="1:7" ht="17.100000000000001" customHeight="1" x14ac:dyDescent="0.2">
      <c r="A37" s="74" t="s">
        <v>9</v>
      </c>
      <c r="B37" s="131">
        <v>6</v>
      </c>
      <c r="C37" s="131">
        <v>8</v>
      </c>
      <c r="D37" s="131">
        <v>7</v>
      </c>
      <c r="E37" s="131">
        <v>20</v>
      </c>
      <c r="F37" s="15"/>
    </row>
    <row r="38" spans="1:7" ht="17.100000000000001" customHeight="1" x14ac:dyDescent="0.2">
      <c r="A38" s="74" t="s">
        <v>10</v>
      </c>
      <c r="B38" s="131">
        <v>0</v>
      </c>
      <c r="C38" s="131">
        <v>0</v>
      </c>
      <c r="D38" s="131">
        <v>44</v>
      </c>
      <c r="E38" s="131">
        <v>9</v>
      </c>
      <c r="F38" s="15"/>
    </row>
    <row r="39" spans="1:7" ht="17.100000000000001" customHeight="1" x14ac:dyDescent="0.2">
      <c r="A39" s="74" t="s">
        <v>6</v>
      </c>
      <c r="B39" s="131">
        <v>0</v>
      </c>
      <c r="C39" s="131">
        <v>0</v>
      </c>
      <c r="D39" s="131">
        <v>0</v>
      </c>
      <c r="E39" s="131">
        <v>0</v>
      </c>
      <c r="F39" s="15"/>
    </row>
    <row r="40" spans="1:7" ht="17.100000000000001" customHeight="1" x14ac:dyDescent="0.2">
      <c r="A40" s="68"/>
      <c r="B40" s="132">
        <f>SUM(B36:B39)</f>
        <v>818</v>
      </c>
      <c r="C40" s="132">
        <f>SUM(C36:C39)</f>
        <v>855</v>
      </c>
      <c r="D40" s="132">
        <f>SUM(D36:D39)</f>
        <v>914</v>
      </c>
      <c r="E40" s="132">
        <f>SUM(E36:E39)</f>
        <v>927</v>
      </c>
      <c r="F40" s="17"/>
    </row>
    <row r="41" spans="1:7" ht="17.100000000000001" customHeight="1" x14ac:dyDescent="0.25">
      <c r="A41" s="71" t="s">
        <v>66</v>
      </c>
      <c r="B41" s="127"/>
      <c r="C41" s="127"/>
      <c r="D41" s="127"/>
      <c r="E41" s="127"/>
      <c r="F41" s="2"/>
    </row>
    <row r="42" spans="1:7" ht="17.100000000000001" customHeight="1" x14ac:dyDescent="0.2">
      <c r="A42" s="74" t="s">
        <v>12</v>
      </c>
      <c r="B42" s="75">
        <v>0</v>
      </c>
      <c r="C42" s="75">
        <v>562</v>
      </c>
      <c r="D42" s="75">
        <v>177</v>
      </c>
      <c r="E42" s="75">
        <v>1157</v>
      </c>
      <c r="F42" s="15"/>
    </row>
    <row r="43" spans="1:7" ht="17.100000000000001" customHeight="1" x14ac:dyDescent="0.2">
      <c r="A43" s="74" t="s">
        <v>19</v>
      </c>
      <c r="B43" s="75">
        <v>0</v>
      </c>
      <c r="C43" s="75">
        <v>0</v>
      </c>
      <c r="D43" s="75">
        <v>0</v>
      </c>
      <c r="E43" s="75">
        <v>0</v>
      </c>
      <c r="F43" s="15"/>
    </row>
    <row r="44" spans="1:7" ht="17.100000000000001" customHeight="1" x14ac:dyDescent="0.2">
      <c r="A44" s="74" t="s">
        <v>13</v>
      </c>
      <c r="B44" s="75">
        <v>0</v>
      </c>
      <c r="C44" s="75">
        <v>0</v>
      </c>
      <c r="D44" s="75">
        <v>0</v>
      </c>
      <c r="E44" s="75">
        <v>0</v>
      </c>
      <c r="F44" s="15"/>
    </row>
    <row r="45" spans="1:7" ht="17.100000000000001" customHeight="1" x14ac:dyDescent="0.2">
      <c r="A45" s="68"/>
      <c r="B45" s="69">
        <f>SUM(B42:B44)</f>
        <v>0</v>
      </c>
      <c r="C45" s="69">
        <f>SUM(C42:C44)</f>
        <v>562</v>
      </c>
      <c r="D45" s="69">
        <f>SUM(D42:D44)</f>
        <v>177</v>
      </c>
      <c r="E45" s="69">
        <f>SUM(E42:E44)</f>
        <v>1157</v>
      </c>
      <c r="F45" s="17"/>
    </row>
    <row r="46" spans="1:7" ht="17.100000000000001" customHeight="1" x14ac:dyDescent="0.2">
      <c r="A46" s="74" t="s">
        <v>20</v>
      </c>
      <c r="B46" s="75">
        <v>0</v>
      </c>
      <c r="C46" s="75">
        <v>514</v>
      </c>
      <c r="D46" s="75">
        <v>142</v>
      </c>
      <c r="E46" s="75">
        <v>1088</v>
      </c>
      <c r="F46" s="15"/>
    </row>
    <row r="47" spans="1:7" ht="17.100000000000001" customHeight="1" x14ac:dyDescent="0.2">
      <c r="A47" s="74" t="s">
        <v>14</v>
      </c>
      <c r="B47" s="75">
        <v>0</v>
      </c>
      <c r="C47" s="75">
        <v>0</v>
      </c>
      <c r="D47" s="75">
        <v>0</v>
      </c>
      <c r="E47" s="75">
        <v>0</v>
      </c>
      <c r="F47" s="15"/>
    </row>
    <row r="48" spans="1:7" ht="17.100000000000001" customHeight="1" x14ac:dyDescent="0.2">
      <c r="A48" s="74" t="s">
        <v>15</v>
      </c>
      <c r="B48" s="75">
        <v>0</v>
      </c>
      <c r="C48" s="75">
        <v>0</v>
      </c>
      <c r="D48" s="75">
        <v>0</v>
      </c>
      <c r="E48" s="75">
        <v>0</v>
      </c>
      <c r="F48" s="15"/>
    </row>
    <row r="49" spans="1:6" ht="17.100000000000001" customHeight="1" x14ac:dyDescent="0.2">
      <c r="A49" s="74" t="s">
        <v>16</v>
      </c>
      <c r="B49" s="75">
        <v>35</v>
      </c>
      <c r="C49" s="75">
        <v>63</v>
      </c>
      <c r="D49" s="75">
        <v>70</v>
      </c>
      <c r="E49" s="75">
        <v>64</v>
      </c>
      <c r="F49" s="15"/>
    </row>
    <row r="50" spans="1:6" ht="17.100000000000001" customHeight="1" x14ac:dyDescent="0.2">
      <c r="A50" s="74" t="s">
        <v>17</v>
      </c>
      <c r="B50" s="75">
        <v>0</v>
      </c>
      <c r="C50" s="75">
        <v>1</v>
      </c>
      <c r="D50" s="75">
        <v>0</v>
      </c>
      <c r="E50" s="75">
        <v>0</v>
      </c>
      <c r="F50" s="15"/>
    </row>
    <row r="51" spans="1:6" ht="17.100000000000001" customHeight="1" x14ac:dyDescent="0.2">
      <c r="A51" s="74" t="s">
        <v>18</v>
      </c>
      <c r="B51" s="75">
        <v>0</v>
      </c>
      <c r="C51" s="75">
        <v>0</v>
      </c>
      <c r="D51" s="75">
        <v>0</v>
      </c>
      <c r="E51" s="75">
        <v>0</v>
      </c>
      <c r="F51" s="15"/>
    </row>
    <row r="52" spans="1:6" ht="17.100000000000001" customHeight="1" x14ac:dyDescent="0.2">
      <c r="A52" s="68"/>
      <c r="B52" s="69">
        <f>SUM(B46:B51)</f>
        <v>35</v>
      </c>
      <c r="C52" s="69">
        <f>SUM(C46:C51)</f>
        <v>578</v>
      </c>
      <c r="D52" s="69">
        <f>SUM(D46:D51)</f>
        <v>212</v>
      </c>
      <c r="E52" s="69">
        <f>SUM(E46:E51)</f>
        <v>1152</v>
      </c>
      <c r="F52" s="17"/>
    </row>
    <row r="53" spans="1:6" ht="17.100000000000001" customHeight="1" x14ac:dyDescent="0.2">
      <c r="A53" s="74"/>
      <c r="B53" s="75"/>
      <c r="C53" s="75"/>
      <c r="D53" s="75"/>
      <c r="E53" s="75"/>
      <c r="F53" s="18"/>
    </row>
    <row r="54" spans="1:6" ht="17.100000000000001" customHeight="1" x14ac:dyDescent="0.2">
      <c r="A54" s="70" t="s">
        <v>56</v>
      </c>
      <c r="B54" s="69">
        <f>SUM(B45-B52)</f>
        <v>-35</v>
      </c>
      <c r="C54" s="69">
        <f>SUM(C45-C52)</f>
        <v>-16</v>
      </c>
      <c r="D54" s="69">
        <f>SUM(D45-D52)</f>
        <v>-35</v>
      </c>
      <c r="E54" s="69">
        <f>SUM(E45-E52)</f>
        <v>5</v>
      </c>
      <c r="F54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F56"/>
  <sheetViews>
    <sheetView topLeftCell="A22" workbookViewId="0">
      <selection activeCell="H28" sqref="H28"/>
    </sheetView>
  </sheetViews>
  <sheetFormatPr baseColWidth="10" defaultRowHeight="12.75" x14ac:dyDescent="0.2"/>
  <cols>
    <col min="1" max="1" width="45.85546875" style="1" customWidth="1"/>
    <col min="2" max="16384" width="11.42578125" style="1"/>
  </cols>
  <sheetData>
    <row r="2" spans="1:5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A3" s="14"/>
      <c r="B3" s="2">
        <f>E54</f>
        <v>88953</v>
      </c>
      <c r="C3" s="2">
        <f>D54</f>
        <v>10409</v>
      </c>
      <c r="D3" s="2">
        <f>C54</f>
        <v>-531448</v>
      </c>
      <c r="E3" s="2">
        <f>$B$54</f>
        <v>39070</v>
      </c>
    </row>
    <row r="4" spans="1:5" x14ac:dyDescent="0.2">
      <c r="B4" s="26"/>
      <c r="C4" s="26"/>
      <c r="D4" s="26"/>
      <c r="E4" s="26"/>
    </row>
    <row r="5" spans="1:5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E36/E40</f>
        <v>0.94397512525978311</v>
      </c>
      <c r="C6" s="3">
        <f>D36/D40</f>
        <v>0.96424508865388769</v>
      </c>
      <c r="D6" s="3">
        <f>C36/C40</f>
        <v>0.95064501561910797</v>
      </c>
      <c r="E6" s="3">
        <f>B36/B40</f>
        <v>0.9187751731655377</v>
      </c>
    </row>
    <row r="7" spans="1:5" x14ac:dyDescent="0.2">
      <c r="B7" s="3"/>
      <c r="C7" s="3"/>
      <c r="D7" s="3"/>
      <c r="E7" s="3"/>
    </row>
    <row r="8" spans="1:5" x14ac:dyDescent="0.2">
      <c r="B8" s="3"/>
      <c r="C8" s="3"/>
      <c r="D8" s="3"/>
      <c r="E8" s="3"/>
    </row>
    <row r="9" spans="1:5" x14ac:dyDescent="0.2">
      <c r="B9" s="3"/>
      <c r="C9" s="3"/>
      <c r="D9" s="3"/>
      <c r="E9" s="3"/>
    </row>
    <row r="10" spans="1:5" x14ac:dyDescent="0.2">
      <c r="B10" s="3"/>
      <c r="C10" s="3"/>
      <c r="D10" s="3"/>
      <c r="E10" s="3"/>
    </row>
    <row r="11" spans="1:5" x14ac:dyDescent="0.2">
      <c r="B11" s="3"/>
      <c r="C11" s="3"/>
      <c r="D11" s="3"/>
      <c r="E11" s="3"/>
    </row>
    <row r="12" spans="1:5" x14ac:dyDescent="0.2">
      <c r="B12" s="3"/>
      <c r="C12" s="3"/>
      <c r="D12" s="3"/>
      <c r="E12" s="3"/>
    </row>
    <row r="13" spans="1:5" x14ac:dyDescent="0.2">
      <c r="B13" s="3"/>
      <c r="C13" s="3"/>
      <c r="D13" s="3"/>
      <c r="E13" s="3"/>
    </row>
    <row r="14" spans="1:5" x14ac:dyDescent="0.2">
      <c r="B14" s="3"/>
      <c r="C14" s="3"/>
      <c r="D14" s="3"/>
      <c r="E14" s="3"/>
    </row>
    <row r="15" spans="1:5" x14ac:dyDescent="0.2">
      <c r="B15" s="3"/>
      <c r="C15" s="3"/>
      <c r="D15" s="3"/>
      <c r="E15" s="3"/>
    </row>
    <row r="16" spans="1:5" x14ac:dyDescent="0.2">
      <c r="B16" s="3"/>
      <c r="C16" s="3"/>
      <c r="D16" s="3"/>
      <c r="E16" s="3"/>
    </row>
    <row r="17" spans="1:5" x14ac:dyDescent="0.2">
      <c r="B17" s="3"/>
      <c r="C17" s="3"/>
      <c r="D17" s="3"/>
      <c r="E17" s="3"/>
    </row>
    <row r="18" spans="1:5" x14ac:dyDescent="0.2">
      <c r="B18" s="3"/>
      <c r="C18" s="3"/>
      <c r="D18" s="3"/>
      <c r="E18" s="3"/>
    </row>
    <row r="19" spans="1:5" x14ac:dyDescent="0.2">
      <c r="B19" s="3"/>
      <c r="C19" s="3"/>
      <c r="D19" s="3"/>
      <c r="E19" s="3"/>
    </row>
    <row r="20" spans="1:5" x14ac:dyDescent="0.2">
      <c r="B20" s="3"/>
      <c r="C20" s="3"/>
      <c r="D20" s="3"/>
      <c r="E20" s="3"/>
    </row>
    <row r="21" spans="1:5" x14ac:dyDescent="0.2">
      <c r="B21" s="3"/>
      <c r="C21" s="3"/>
      <c r="D21" s="3"/>
      <c r="E21" s="3"/>
    </row>
    <row r="22" spans="1:5" x14ac:dyDescent="0.2">
      <c r="B22" s="3"/>
      <c r="C22" s="3"/>
      <c r="D22" s="3"/>
      <c r="E22" s="3"/>
    </row>
    <row r="23" spans="1:5" x14ac:dyDescent="0.2">
      <c r="B23" s="3"/>
      <c r="C23" s="3"/>
      <c r="D23" s="3"/>
      <c r="E23" s="3"/>
    </row>
    <row r="24" spans="1:5" x14ac:dyDescent="0.2">
      <c r="B24" s="3"/>
      <c r="C24" s="3"/>
      <c r="D24" s="3"/>
      <c r="E24" s="3"/>
    </row>
    <row r="25" spans="1:5" ht="15.75" x14ac:dyDescent="0.25">
      <c r="A25" s="29"/>
    </row>
    <row r="26" spans="1:5" ht="15.75" x14ac:dyDescent="0.25">
      <c r="A26" s="95"/>
      <c r="B26" s="138">
        <v>2018</v>
      </c>
      <c r="C26" s="138">
        <v>2017</v>
      </c>
      <c r="D26" s="138">
        <v>2016</v>
      </c>
      <c r="E26" s="138">
        <v>2015</v>
      </c>
    </row>
    <row r="27" spans="1:5" ht="15.75" x14ac:dyDescent="0.25">
      <c r="A27" s="35" t="s">
        <v>2</v>
      </c>
      <c r="B27" s="139"/>
      <c r="C27" s="139"/>
      <c r="D27" s="139"/>
      <c r="E27" s="139"/>
    </row>
    <row r="28" spans="1:5" ht="17.100000000000001" customHeight="1" x14ac:dyDescent="0.25">
      <c r="A28" s="43" t="s">
        <v>48</v>
      </c>
      <c r="B28" s="139"/>
      <c r="C28" s="139"/>
      <c r="D28" s="139"/>
      <c r="E28" s="139"/>
    </row>
    <row r="29" spans="1:5" ht="17.100000000000001" customHeight="1" x14ac:dyDescent="0.25">
      <c r="A29" s="34"/>
      <c r="B29" s="139"/>
      <c r="C29" s="139"/>
      <c r="D29" s="139"/>
      <c r="E29" s="139"/>
    </row>
    <row r="30" spans="1:5" ht="17.100000000000001" customHeight="1" x14ac:dyDescent="0.25">
      <c r="A30" s="34" t="s">
        <v>4</v>
      </c>
      <c r="B30" s="18">
        <v>785466</v>
      </c>
      <c r="C30" s="18">
        <v>815665</v>
      </c>
      <c r="D30" s="18">
        <v>1415506</v>
      </c>
      <c r="E30" s="18">
        <v>1463536</v>
      </c>
    </row>
    <row r="31" spans="1:5" ht="17.100000000000001" customHeight="1" x14ac:dyDescent="0.25">
      <c r="A31" s="34" t="s">
        <v>5</v>
      </c>
      <c r="B31" s="18">
        <f>65173</f>
        <v>65173</v>
      </c>
      <c r="C31" s="18">
        <f>859204-815665-537</f>
        <v>43002</v>
      </c>
      <c r="D31" s="18">
        <v>59935</v>
      </c>
      <c r="E31" s="18">
        <v>88030</v>
      </c>
    </row>
    <row r="32" spans="1:5" ht="17.100000000000001" customHeight="1" x14ac:dyDescent="0.25">
      <c r="A32" s="34" t="s">
        <v>6</v>
      </c>
      <c r="B32" s="18">
        <v>714</v>
      </c>
      <c r="C32" s="18">
        <v>537</v>
      </c>
      <c r="D32" s="18">
        <v>580</v>
      </c>
      <c r="E32" s="18">
        <v>209</v>
      </c>
    </row>
    <row r="33" spans="1:6" ht="17.100000000000001" customHeight="1" x14ac:dyDescent="0.25">
      <c r="A33" s="95"/>
      <c r="B33" s="57">
        <f>SUM(B30:B32)</f>
        <v>851353</v>
      </c>
      <c r="C33" s="57">
        <f>SUM(C30:C32)</f>
        <v>859204</v>
      </c>
      <c r="D33" s="57">
        <f>SUM(D30:D32)</f>
        <v>1476021</v>
      </c>
      <c r="E33" s="57">
        <f>SUM(E30:E32)</f>
        <v>1551775</v>
      </c>
    </row>
    <row r="34" spans="1:6" ht="17.100000000000001" customHeight="1" x14ac:dyDescent="0.25">
      <c r="A34" s="43" t="s">
        <v>7</v>
      </c>
      <c r="B34" s="50"/>
      <c r="C34" s="50"/>
      <c r="D34" s="50"/>
      <c r="E34" s="50"/>
    </row>
    <row r="35" spans="1:6" ht="17.100000000000001" customHeight="1" x14ac:dyDescent="0.25">
      <c r="A35" s="34"/>
      <c r="B35" s="50"/>
      <c r="C35" s="50"/>
      <c r="D35" s="50"/>
      <c r="E35" s="50"/>
    </row>
    <row r="36" spans="1:6" ht="17.100000000000001" customHeight="1" x14ac:dyDescent="0.25">
      <c r="A36" s="34" t="s">
        <v>8</v>
      </c>
      <c r="B36" s="18">
        <v>782202</v>
      </c>
      <c r="C36" s="18">
        <v>816798</v>
      </c>
      <c r="D36" s="18">
        <v>1423246</v>
      </c>
      <c r="E36" s="18">
        <v>1464837</v>
      </c>
    </row>
    <row r="37" spans="1:6" ht="17.100000000000001" customHeight="1" x14ac:dyDescent="0.25">
      <c r="A37" s="34" t="s">
        <v>9</v>
      </c>
      <c r="B37" s="18">
        <v>48455</v>
      </c>
      <c r="C37" s="18">
        <v>34852</v>
      </c>
      <c r="D37" s="18">
        <v>15738</v>
      </c>
      <c r="E37" s="18">
        <v>37115</v>
      </c>
    </row>
    <row r="38" spans="1:6" ht="17.100000000000001" customHeight="1" x14ac:dyDescent="0.25">
      <c r="A38" s="34" t="s">
        <v>10</v>
      </c>
      <c r="B38" s="18">
        <v>20696</v>
      </c>
      <c r="C38" s="18">
        <v>7554</v>
      </c>
      <c r="D38" s="18">
        <v>37037</v>
      </c>
      <c r="E38" s="18">
        <v>49823</v>
      </c>
    </row>
    <row r="39" spans="1:6" ht="17.100000000000001" customHeight="1" x14ac:dyDescent="0.25">
      <c r="A39" s="34" t="s">
        <v>6</v>
      </c>
      <c r="B39" s="7">
        <v>0</v>
      </c>
      <c r="C39" s="7">
        <v>0</v>
      </c>
      <c r="D39" s="7">
        <v>0</v>
      </c>
      <c r="E39" s="7">
        <v>0</v>
      </c>
    </row>
    <row r="40" spans="1:6" ht="17.100000000000001" customHeight="1" x14ac:dyDescent="0.25">
      <c r="A40" s="95"/>
      <c r="B40" s="57">
        <f>SUM(B36:B39)</f>
        <v>851353</v>
      </c>
      <c r="C40" s="57">
        <f>SUM(C36:C39)</f>
        <v>859204</v>
      </c>
      <c r="D40" s="57">
        <f>SUM(D36:D39)</f>
        <v>1476021</v>
      </c>
      <c r="E40" s="57">
        <f>SUM(E36:E39)</f>
        <v>1551775</v>
      </c>
      <c r="F40" s="40"/>
    </row>
    <row r="41" spans="1:6" ht="17.100000000000001" customHeight="1" x14ac:dyDescent="0.25">
      <c r="A41" s="35" t="s">
        <v>66</v>
      </c>
      <c r="B41" s="50"/>
      <c r="C41" s="50"/>
      <c r="D41" s="50"/>
      <c r="E41" s="50"/>
    </row>
    <row r="42" spans="1:6" ht="17.100000000000001" customHeight="1" x14ac:dyDescent="0.25">
      <c r="A42" s="34" t="s">
        <v>12</v>
      </c>
      <c r="B42" s="18">
        <v>98756</v>
      </c>
      <c r="C42" s="18">
        <v>93169</v>
      </c>
      <c r="D42" s="18">
        <v>104231</v>
      </c>
      <c r="E42" s="18">
        <v>18846</v>
      </c>
    </row>
    <row r="43" spans="1:6" ht="17.100000000000001" customHeight="1" x14ac:dyDescent="0.25">
      <c r="A43" s="34" t="s">
        <v>19</v>
      </c>
      <c r="B43" s="18">
        <v>56404</v>
      </c>
      <c r="C43" s="18">
        <v>32900</v>
      </c>
      <c r="D43" s="18">
        <v>771</v>
      </c>
      <c r="E43" s="18">
        <v>111442</v>
      </c>
    </row>
    <row r="44" spans="1:6" ht="17.100000000000001" customHeight="1" x14ac:dyDescent="0.25">
      <c r="A44" s="34" t="s">
        <v>13</v>
      </c>
      <c r="B44" s="18">
        <v>195</v>
      </c>
      <c r="C44" s="18">
        <v>6</v>
      </c>
      <c r="D44" s="18">
        <v>5</v>
      </c>
      <c r="E44" s="18">
        <v>0</v>
      </c>
    </row>
    <row r="45" spans="1:6" ht="17.100000000000001" customHeight="1" x14ac:dyDescent="0.25">
      <c r="A45" s="95"/>
      <c r="B45" s="57">
        <f>SUM(B42:B44)</f>
        <v>155355</v>
      </c>
      <c r="C45" s="57">
        <f>SUM(C42:C44)</f>
        <v>126075</v>
      </c>
      <c r="D45" s="57">
        <f>SUM(D42:D44)</f>
        <v>105007</v>
      </c>
      <c r="E45" s="57">
        <f>SUM(E42:E44)</f>
        <v>130288</v>
      </c>
    </row>
    <row r="46" spans="1:6" ht="17.100000000000001" customHeight="1" x14ac:dyDescent="0.25">
      <c r="A46" s="34" t="s">
        <v>20</v>
      </c>
      <c r="B46" s="18">
        <f>13010+23433</f>
        <v>36443</v>
      </c>
      <c r="C46" s="18">
        <f>11398+21175</f>
        <v>32573</v>
      </c>
      <c r="D46" s="18">
        <f>10412+25433</f>
        <v>35845</v>
      </c>
      <c r="E46" s="18">
        <v>5161</v>
      </c>
    </row>
    <row r="47" spans="1:6" ht="17.100000000000001" customHeight="1" x14ac:dyDescent="0.25">
      <c r="A47" s="34" t="s">
        <v>14</v>
      </c>
      <c r="B47" s="18">
        <v>0</v>
      </c>
      <c r="C47" s="18">
        <v>0</v>
      </c>
      <c r="D47" s="18">
        <v>0</v>
      </c>
      <c r="E47" s="18">
        <v>0</v>
      </c>
    </row>
    <row r="48" spans="1:6" ht="17.100000000000001" customHeight="1" x14ac:dyDescent="0.25">
      <c r="A48" s="34" t="s">
        <v>15</v>
      </c>
      <c r="B48" s="18">
        <v>30633</v>
      </c>
      <c r="C48" s="18">
        <v>601851</v>
      </c>
      <c r="D48" s="18">
        <v>51114</v>
      </c>
      <c r="E48" s="18">
        <v>8750</v>
      </c>
    </row>
    <row r="49" spans="1:5" ht="17.100000000000001" customHeight="1" x14ac:dyDescent="0.25">
      <c r="A49" s="34" t="s">
        <v>16</v>
      </c>
      <c r="B49" s="18">
        <v>37247</v>
      </c>
      <c r="C49" s="18">
        <v>21706</v>
      </c>
      <c r="D49" s="18">
        <v>6983</v>
      </c>
      <c r="E49" s="18">
        <v>22780</v>
      </c>
    </row>
    <row r="50" spans="1:5" ht="17.100000000000001" customHeight="1" x14ac:dyDescent="0.25">
      <c r="A50" s="34" t="s">
        <v>17</v>
      </c>
      <c r="B50" s="18">
        <v>745</v>
      </c>
      <c r="C50" s="18">
        <v>487</v>
      </c>
      <c r="D50" s="18">
        <v>476</v>
      </c>
      <c r="E50" s="18">
        <v>225</v>
      </c>
    </row>
    <row r="51" spans="1:5" ht="17.100000000000001" customHeight="1" x14ac:dyDescent="0.25">
      <c r="A51" s="34" t="s">
        <v>18</v>
      </c>
      <c r="B51" s="18">
        <f>-56+11271+2</f>
        <v>11217</v>
      </c>
      <c r="C51" s="18">
        <f>580+326</f>
        <v>906</v>
      </c>
      <c r="D51" s="18">
        <f>-20+200</f>
        <v>180</v>
      </c>
      <c r="E51" s="18">
        <v>4419</v>
      </c>
    </row>
    <row r="52" spans="1:5" ht="17.100000000000001" customHeight="1" x14ac:dyDescent="0.25">
      <c r="A52" s="95"/>
      <c r="B52" s="57">
        <f>SUM(B46:B51)</f>
        <v>116285</v>
      </c>
      <c r="C52" s="57">
        <f>SUM(C46:C51)</f>
        <v>657523</v>
      </c>
      <c r="D52" s="57">
        <f>SUM(D46:D51)</f>
        <v>94598</v>
      </c>
      <c r="E52" s="57">
        <f>SUM(E46:E51)</f>
        <v>41335</v>
      </c>
    </row>
    <row r="53" spans="1:5" ht="17.100000000000001" customHeight="1" x14ac:dyDescent="0.25">
      <c r="A53" s="34"/>
      <c r="B53" s="50"/>
      <c r="C53" s="50"/>
      <c r="D53" s="50"/>
      <c r="E53" s="50"/>
    </row>
    <row r="54" spans="1:5" ht="17.100000000000001" customHeight="1" x14ac:dyDescent="0.25">
      <c r="A54" s="96" t="s">
        <v>79</v>
      </c>
      <c r="B54" s="57">
        <f>SUM(B45-B52)</f>
        <v>39070</v>
      </c>
      <c r="C54" s="57">
        <f>SUM(C45-C52)</f>
        <v>-531448</v>
      </c>
      <c r="D54" s="57">
        <f>SUM(D45-D52)</f>
        <v>10409</v>
      </c>
      <c r="E54" s="57">
        <f>SUM(E45-E52)</f>
        <v>88953</v>
      </c>
    </row>
    <row r="56" spans="1:5" x14ac:dyDescent="0.2">
      <c r="A56" s="1" t="s">
        <v>80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F56"/>
  <sheetViews>
    <sheetView topLeftCell="A23" workbookViewId="0">
      <selection activeCell="H16" sqref="H16"/>
    </sheetView>
  </sheetViews>
  <sheetFormatPr baseColWidth="10" defaultRowHeight="12.75" x14ac:dyDescent="0.2"/>
  <cols>
    <col min="1" max="1" width="43.5703125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$E$24</f>
        <v>2015</v>
      </c>
      <c r="C2" s="1">
        <f>$D$24</f>
        <v>2016</v>
      </c>
      <c r="D2" s="1">
        <f>$C$24</f>
        <v>2017</v>
      </c>
      <c r="E2" s="1">
        <f>$B$24</f>
        <v>2018</v>
      </c>
    </row>
    <row r="3" spans="1:5" x14ac:dyDescent="0.2">
      <c r="A3" s="14"/>
      <c r="B3" s="2">
        <f>E56</f>
        <v>1</v>
      </c>
      <c r="C3" s="2">
        <f>D56</f>
        <v>1</v>
      </c>
      <c r="D3" s="2">
        <f>C56</f>
        <v>1</v>
      </c>
      <c r="E3" s="2">
        <f>B56</f>
        <v>1</v>
      </c>
    </row>
    <row r="4" spans="1:5" x14ac:dyDescent="0.2">
      <c r="B4" s="26"/>
      <c r="C4" s="26"/>
      <c r="D4" s="26"/>
      <c r="E4" s="26"/>
    </row>
    <row r="5" spans="1:5" x14ac:dyDescent="0.2">
      <c r="A5" s="1" t="s">
        <v>0</v>
      </c>
      <c r="B5" s="1">
        <f>$E$24</f>
        <v>2015</v>
      </c>
      <c r="C5" s="1">
        <f>$D$24</f>
        <v>2016</v>
      </c>
      <c r="D5" s="1">
        <f>$C$24</f>
        <v>2017</v>
      </c>
      <c r="E5" s="1">
        <f>$B$24</f>
        <v>2018</v>
      </c>
    </row>
    <row r="6" spans="1:5" x14ac:dyDescent="0.2">
      <c r="B6" s="3">
        <f>E35/E39</f>
        <v>0.79411764705882348</v>
      </c>
      <c r="C6" s="3">
        <f>D35/D39</f>
        <v>1</v>
      </c>
      <c r="D6" s="3">
        <f>C35/C39</f>
        <v>1</v>
      </c>
      <c r="E6" s="3">
        <f>B35/B39</f>
        <v>0.83333333333333337</v>
      </c>
    </row>
    <row r="7" spans="1:5" ht="15.75" x14ac:dyDescent="0.25">
      <c r="A7" s="29"/>
    </row>
    <row r="8" spans="1:5" ht="15.75" x14ac:dyDescent="0.25">
      <c r="A8" s="29"/>
    </row>
    <row r="9" spans="1:5" ht="15.75" x14ac:dyDescent="0.25">
      <c r="A9" s="29"/>
    </row>
    <row r="10" spans="1:5" ht="15.75" x14ac:dyDescent="0.25">
      <c r="A10" s="29"/>
    </row>
    <row r="11" spans="1:5" ht="15.75" x14ac:dyDescent="0.25">
      <c r="A11" s="29"/>
    </row>
    <row r="12" spans="1:5" ht="15.75" x14ac:dyDescent="0.25">
      <c r="A12" s="29"/>
    </row>
    <row r="13" spans="1:5" ht="15.75" x14ac:dyDescent="0.25">
      <c r="A13" s="29"/>
    </row>
    <row r="14" spans="1:5" ht="15.75" x14ac:dyDescent="0.25">
      <c r="A14" s="29"/>
    </row>
    <row r="15" spans="1:5" ht="15.75" x14ac:dyDescent="0.25">
      <c r="A15" s="29"/>
    </row>
    <row r="16" spans="1:5" ht="15.75" x14ac:dyDescent="0.25">
      <c r="A16" s="29"/>
    </row>
    <row r="17" spans="1:5" ht="15.75" x14ac:dyDescent="0.25">
      <c r="A17" s="29"/>
    </row>
    <row r="18" spans="1:5" ht="15.75" x14ac:dyDescent="0.25">
      <c r="A18" s="29"/>
    </row>
    <row r="19" spans="1:5" ht="15.75" x14ac:dyDescent="0.25">
      <c r="A19" s="29"/>
    </row>
    <row r="20" spans="1:5" ht="15.75" x14ac:dyDescent="0.25">
      <c r="A20" s="29"/>
    </row>
    <row r="21" spans="1:5" ht="15.75" x14ac:dyDescent="0.25">
      <c r="A21" s="29"/>
    </row>
    <row r="22" spans="1:5" ht="15.75" x14ac:dyDescent="0.25">
      <c r="A22" s="29"/>
    </row>
    <row r="23" spans="1:5" ht="15.75" x14ac:dyDescent="0.25">
      <c r="A23" s="29"/>
    </row>
    <row r="24" spans="1:5" ht="15.75" x14ac:dyDescent="0.25">
      <c r="A24" s="61"/>
      <c r="B24" s="94">
        <v>2018</v>
      </c>
      <c r="C24" s="94">
        <v>2017</v>
      </c>
      <c r="D24" s="94">
        <v>2016</v>
      </c>
      <c r="E24" s="94">
        <v>2015</v>
      </c>
    </row>
    <row r="25" spans="1:5" ht="15.75" x14ac:dyDescent="0.25">
      <c r="A25" s="35" t="s">
        <v>2</v>
      </c>
    </row>
    <row r="26" spans="1:5" ht="17.100000000000001" customHeight="1" x14ac:dyDescent="0.25">
      <c r="A26" s="43" t="s">
        <v>48</v>
      </c>
    </row>
    <row r="27" spans="1:5" ht="17.100000000000001" customHeight="1" x14ac:dyDescent="0.25">
      <c r="A27" s="34"/>
    </row>
    <row r="28" spans="1:5" ht="17.100000000000001" customHeight="1" x14ac:dyDescent="0.25">
      <c r="A28" s="34" t="s">
        <v>4</v>
      </c>
      <c r="B28" s="27">
        <v>0</v>
      </c>
      <c r="C28" s="27">
        <v>0</v>
      </c>
      <c r="D28" s="27">
        <v>0</v>
      </c>
      <c r="E28" s="27">
        <v>0</v>
      </c>
    </row>
    <row r="29" spans="1:5" ht="17.100000000000001" customHeight="1" x14ac:dyDescent="0.25">
      <c r="A29" s="34" t="s">
        <v>5</v>
      </c>
      <c r="B29" s="27">
        <v>36</v>
      </c>
      <c r="C29" s="27">
        <v>30</v>
      </c>
      <c r="D29" s="27">
        <v>29</v>
      </c>
      <c r="E29" s="27">
        <v>34</v>
      </c>
    </row>
    <row r="30" spans="1:5" ht="17.100000000000001" customHeight="1" x14ac:dyDescent="0.25">
      <c r="A30" s="34" t="s">
        <v>6</v>
      </c>
      <c r="B30" s="27">
        <v>0</v>
      </c>
      <c r="C30" s="27">
        <v>0</v>
      </c>
      <c r="D30" s="27">
        <v>0</v>
      </c>
      <c r="E30" s="27">
        <v>0</v>
      </c>
    </row>
    <row r="31" spans="1:5" ht="17.100000000000001" customHeight="1" x14ac:dyDescent="0.25">
      <c r="A31" s="95"/>
      <c r="B31" s="60">
        <f>SUM(B28:B30)</f>
        <v>36</v>
      </c>
      <c r="C31" s="60">
        <f>SUM(C28:C30)</f>
        <v>30</v>
      </c>
      <c r="D31" s="60">
        <f>SUM(D28:D30)</f>
        <v>29</v>
      </c>
      <c r="E31" s="60">
        <f>SUM(E28:E30)</f>
        <v>34</v>
      </c>
    </row>
    <row r="32" spans="1:5" ht="17.100000000000001" customHeight="1" x14ac:dyDescent="0.25">
      <c r="A32" s="34"/>
      <c r="B32" s="29"/>
      <c r="C32" s="29"/>
      <c r="D32" s="29"/>
      <c r="E32" s="29"/>
    </row>
    <row r="33" spans="1:6" ht="17.100000000000001" customHeight="1" x14ac:dyDescent="0.25">
      <c r="A33" s="43" t="s">
        <v>7</v>
      </c>
      <c r="B33" s="29"/>
      <c r="C33" s="29"/>
      <c r="D33" s="29"/>
      <c r="E33" s="29"/>
    </row>
    <row r="34" spans="1:6" ht="17.100000000000001" customHeight="1" x14ac:dyDescent="0.25">
      <c r="A34" s="34"/>
      <c r="B34" s="29"/>
      <c r="C34" s="29"/>
      <c r="D34" s="29"/>
      <c r="E34" s="29"/>
    </row>
    <row r="35" spans="1:6" ht="17.100000000000001" customHeight="1" x14ac:dyDescent="0.25">
      <c r="A35" s="34" t="s">
        <v>8</v>
      </c>
      <c r="B35" s="27">
        <v>30</v>
      </c>
      <c r="C35" s="27">
        <v>30</v>
      </c>
      <c r="D35" s="27">
        <v>29</v>
      </c>
      <c r="E35" s="27">
        <v>27</v>
      </c>
    </row>
    <row r="36" spans="1:6" ht="17.100000000000001" customHeight="1" x14ac:dyDescent="0.25">
      <c r="A36" s="34" t="s">
        <v>9</v>
      </c>
      <c r="B36" s="27">
        <v>0</v>
      </c>
      <c r="C36" s="27">
        <v>0</v>
      </c>
      <c r="D36" s="27">
        <v>0</v>
      </c>
      <c r="E36" s="27">
        <v>5</v>
      </c>
    </row>
    <row r="37" spans="1:6" ht="17.100000000000001" customHeight="1" x14ac:dyDescent="0.25">
      <c r="A37" s="34" t="s">
        <v>10</v>
      </c>
      <c r="B37" s="27">
        <v>6</v>
      </c>
      <c r="C37" s="27">
        <v>0</v>
      </c>
      <c r="D37" s="27">
        <v>0</v>
      </c>
      <c r="E37" s="27">
        <v>2</v>
      </c>
    </row>
    <row r="38" spans="1:6" ht="17.100000000000001" customHeight="1" x14ac:dyDescent="0.25">
      <c r="A38" s="34" t="s">
        <v>6</v>
      </c>
      <c r="B38" s="93">
        <v>0</v>
      </c>
      <c r="C38" s="93">
        <v>0</v>
      </c>
      <c r="D38" s="93">
        <v>0</v>
      </c>
      <c r="E38" s="93">
        <v>0</v>
      </c>
    </row>
    <row r="39" spans="1:6" ht="17.100000000000001" customHeight="1" x14ac:dyDescent="0.25">
      <c r="A39" s="95"/>
      <c r="B39" s="60">
        <f>SUM(B35:B38)</f>
        <v>36</v>
      </c>
      <c r="C39" s="60">
        <f>SUM(C35:C38)</f>
        <v>30</v>
      </c>
      <c r="D39" s="60">
        <f>SUM(D35:D38)</f>
        <v>29</v>
      </c>
      <c r="E39" s="60">
        <f>SUM(E35:E38)</f>
        <v>34</v>
      </c>
    </row>
    <row r="40" spans="1:6" ht="17.100000000000001" customHeight="1" x14ac:dyDescent="0.25">
      <c r="A40" s="34"/>
      <c r="B40" s="29"/>
      <c r="C40" s="29"/>
      <c r="D40" s="29"/>
      <c r="E40" s="29"/>
    </row>
    <row r="41" spans="1:6" ht="17.100000000000001" customHeight="1" x14ac:dyDescent="0.25">
      <c r="A41" s="34"/>
      <c r="B41" s="29"/>
      <c r="C41" s="29"/>
      <c r="D41" s="29"/>
      <c r="E41" s="29"/>
      <c r="F41" s="2"/>
    </row>
    <row r="42" spans="1:6" ht="17.100000000000001" customHeight="1" x14ac:dyDescent="0.25">
      <c r="A42" s="35" t="s">
        <v>66</v>
      </c>
      <c r="B42" s="29"/>
      <c r="C42" s="29"/>
      <c r="D42" s="29"/>
      <c r="E42" s="29"/>
    </row>
    <row r="43" spans="1:6" ht="17.100000000000001" customHeight="1" x14ac:dyDescent="0.25">
      <c r="A43" s="34" t="s">
        <v>12</v>
      </c>
      <c r="B43" s="27">
        <v>5</v>
      </c>
      <c r="C43" s="27">
        <v>5</v>
      </c>
      <c r="D43" s="27">
        <v>6</v>
      </c>
      <c r="E43" s="27">
        <v>11</v>
      </c>
    </row>
    <row r="44" spans="1:6" ht="17.100000000000001" customHeight="1" x14ac:dyDescent="0.25">
      <c r="A44" s="34" t="s">
        <v>19</v>
      </c>
      <c r="B44" s="27">
        <v>1</v>
      </c>
      <c r="C44" s="27">
        <v>1</v>
      </c>
      <c r="D44" s="27">
        <v>0</v>
      </c>
      <c r="E44" s="27">
        <v>0</v>
      </c>
    </row>
    <row r="45" spans="1:6" ht="17.100000000000001" customHeight="1" x14ac:dyDescent="0.25">
      <c r="A45" s="34" t="s">
        <v>13</v>
      </c>
      <c r="B45" s="27">
        <v>0</v>
      </c>
      <c r="C45" s="27">
        <v>0</v>
      </c>
      <c r="D45" s="27">
        <v>0</v>
      </c>
      <c r="E45" s="27">
        <v>0</v>
      </c>
    </row>
    <row r="46" spans="1:6" ht="17.100000000000001" customHeight="1" x14ac:dyDescent="0.25">
      <c r="A46" s="95"/>
      <c r="B46" s="60">
        <f>SUM(B43:B45)</f>
        <v>6</v>
      </c>
      <c r="C46" s="60">
        <f>SUM(C43:C45)</f>
        <v>6</v>
      </c>
      <c r="D46" s="60">
        <f>SUM(D43:D45)</f>
        <v>6</v>
      </c>
      <c r="E46" s="60">
        <f>SUM(E43:E45)</f>
        <v>11</v>
      </c>
    </row>
    <row r="47" spans="1:6" ht="17.100000000000001" customHeight="1" x14ac:dyDescent="0.25">
      <c r="A47" s="34"/>
      <c r="B47" s="29"/>
      <c r="C47" s="29"/>
      <c r="D47" s="29"/>
      <c r="E47" s="29"/>
    </row>
    <row r="48" spans="1:6" ht="17.100000000000001" customHeight="1" x14ac:dyDescent="0.25">
      <c r="A48" s="34" t="s">
        <v>20</v>
      </c>
      <c r="B48" s="27">
        <v>0</v>
      </c>
      <c r="C48" s="27">
        <v>0</v>
      </c>
      <c r="D48" s="27">
        <v>0</v>
      </c>
      <c r="E48" s="27">
        <v>0</v>
      </c>
    </row>
    <row r="49" spans="1:5" ht="17.100000000000001" customHeight="1" x14ac:dyDescent="0.25">
      <c r="A49" s="34" t="s">
        <v>14</v>
      </c>
      <c r="B49" s="27">
        <v>0</v>
      </c>
      <c r="C49" s="27">
        <v>0</v>
      </c>
      <c r="D49" s="27">
        <v>0</v>
      </c>
      <c r="E49" s="27">
        <v>0</v>
      </c>
    </row>
    <row r="50" spans="1:5" ht="17.100000000000001" customHeight="1" x14ac:dyDescent="0.25">
      <c r="A50" s="34" t="s">
        <v>15</v>
      </c>
      <c r="B50" s="27">
        <v>0</v>
      </c>
      <c r="C50" s="27">
        <v>0</v>
      </c>
      <c r="D50" s="27">
        <v>0</v>
      </c>
      <c r="E50" s="27">
        <v>0</v>
      </c>
    </row>
    <row r="51" spans="1:5" ht="17.100000000000001" customHeight="1" x14ac:dyDescent="0.25">
      <c r="A51" s="34" t="s">
        <v>16</v>
      </c>
      <c r="B51" s="27">
        <v>5</v>
      </c>
      <c r="C51" s="27">
        <v>5</v>
      </c>
      <c r="D51" s="27">
        <v>5</v>
      </c>
      <c r="E51" s="27">
        <v>10</v>
      </c>
    </row>
    <row r="52" spans="1:5" ht="17.100000000000001" customHeight="1" x14ac:dyDescent="0.25">
      <c r="A52" s="34" t="s">
        <v>17</v>
      </c>
      <c r="B52" s="27">
        <v>0</v>
      </c>
      <c r="C52" s="27">
        <v>0</v>
      </c>
      <c r="D52" s="27">
        <v>0</v>
      </c>
      <c r="E52" s="27">
        <v>0</v>
      </c>
    </row>
    <row r="53" spans="1:5" ht="17.100000000000001" customHeight="1" x14ac:dyDescent="0.25">
      <c r="A53" s="34" t="s">
        <v>18</v>
      </c>
      <c r="B53" s="27">
        <v>0</v>
      </c>
      <c r="C53" s="27">
        <v>0</v>
      </c>
      <c r="D53" s="27">
        <v>0</v>
      </c>
      <c r="E53" s="27">
        <v>0</v>
      </c>
    </row>
    <row r="54" spans="1:5" ht="15.75" x14ac:dyDescent="0.25">
      <c r="A54" s="95"/>
      <c r="B54" s="60">
        <f>SUM(B48:B53)</f>
        <v>5</v>
      </c>
      <c r="C54" s="60">
        <f>SUM(C48:C53)</f>
        <v>5</v>
      </c>
      <c r="D54" s="60">
        <f>SUM(D48:D53)</f>
        <v>5</v>
      </c>
      <c r="E54" s="60">
        <f>SUM(E48:E53)</f>
        <v>10</v>
      </c>
    </row>
    <row r="55" spans="1:5" ht="15.75" x14ac:dyDescent="0.25">
      <c r="A55" s="34"/>
      <c r="B55" s="29"/>
      <c r="C55" s="29"/>
      <c r="D55" s="29"/>
      <c r="E55" s="29"/>
    </row>
    <row r="56" spans="1:5" ht="15.75" x14ac:dyDescent="0.25">
      <c r="A56" s="96" t="s">
        <v>56</v>
      </c>
      <c r="B56" s="60">
        <f>SUM(B46-B54)</f>
        <v>1</v>
      </c>
      <c r="C56" s="60">
        <f>SUM(C46-C54)</f>
        <v>1</v>
      </c>
      <c r="D56" s="60">
        <f>SUM(D46-D54)</f>
        <v>1</v>
      </c>
      <c r="E56" s="60">
        <f>SUM(E46-E54)</f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F53"/>
  <sheetViews>
    <sheetView topLeftCell="A20" workbookViewId="0">
      <selection activeCell="H20" sqref="H20"/>
    </sheetView>
  </sheetViews>
  <sheetFormatPr baseColWidth="10" defaultRowHeight="12.75" x14ac:dyDescent="0.2"/>
  <cols>
    <col min="1" max="1" width="43.5703125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$E$24</f>
        <v>2015</v>
      </c>
      <c r="C2" s="1">
        <f>$D$24</f>
        <v>2016</v>
      </c>
      <c r="D2" s="1">
        <f>$C$24</f>
        <v>2017</v>
      </c>
      <c r="E2" s="1">
        <f>$B$24</f>
        <v>2018</v>
      </c>
    </row>
    <row r="3" spans="1:5" x14ac:dyDescent="0.2">
      <c r="A3" s="14"/>
      <c r="B3" s="2">
        <f>E53</f>
        <v>471</v>
      </c>
      <c r="C3" s="2">
        <f>D53</f>
        <v>127</v>
      </c>
      <c r="D3" s="2">
        <f>C53</f>
        <v>110</v>
      </c>
      <c r="E3" s="2">
        <f>B53</f>
        <v>476</v>
      </c>
    </row>
    <row r="4" spans="1:5" x14ac:dyDescent="0.2">
      <c r="B4" s="26"/>
      <c r="C4" s="26"/>
      <c r="D4" s="26"/>
      <c r="E4" s="26"/>
    </row>
    <row r="5" spans="1:5" x14ac:dyDescent="0.2">
      <c r="A5" s="1" t="s">
        <v>0</v>
      </c>
      <c r="B5" s="1">
        <f>$E$24</f>
        <v>2015</v>
      </c>
      <c r="C5" s="1">
        <f>$D$24</f>
        <v>2016</v>
      </c>
      <c r="D5" s="1">
        <f>$C$24</f>
        <v>2017</v>
      </c>
      <c r="E5" s="1">
        <f>$B$24</f>
        <v>2018</v>
      </c>
    </row>
    <row r="6" spans="1:5" x14ac:dyDescent="0.2">
      <c r="B6" s="3">
        <f>E34/E38</f>
        <v>0.987474922734913</v>
      </c>
      <c r="C6" s="3">
        <f>D34/D38</f>
        <v>0.98539843934736349</v>
      </c>
      <c r="D6" s="3">
        <f>C34/C38</f>
        <v>0.973722351754994</v>
      </c>
      <c r="E6" s="3">
        <f>B34/B38</f>
        <v>0.98068984817742955</v>
      </c>
    </row>
    <row r="7" spans="1:5" ht="15.75" x14ac:dyDescent="0.25">
      <c r="A7" s="29"/>
    </row>
    <row r="8" spans="1:5" ht="15.75" x14ac:dyDescent="0.25">
      <c r="A8" s="29"/>
    </row>
    <row r="9" spans="1:5" ht="15.75" x14ac:dyDescent="0.25">
      <c r="A9" s="29"/>
    </row>
    <row r="10" spans="1:5" ht="15.75" x14ac:dyDescent="0.25">
      <c r="A10" s="29"/>
    </row>
    <row r="11" spans="1:5" ht="15.75" x14ac:dyDescent="0.25">
      <c r="A11" s="29"/>
    </row>
    <row r="12" spans="1:5" ht="15.75" x14ac:dyDescent="0.25">
      <c r="A12" s="29"/>
    </row>
    <row r="13" spans="1:5" ht="15.75" x14ac:dyDescent="0.25">
      <c r="A13" s="29"/>
    </row>
    <row r="14" spans="1:5" ht="15.75" x14ac:dyDescent="0.25">
      <c r="A14" s="29"/>
    </row>
    <row r="15" spans="1:5" ht="15.75" x14ac:dyDescent="0.25">
      <c r="A15" s="29"/>
    </row>
    <row r="16" spans="1:5" ht="15.75" x14ac:dyDescent="0.25">
      <c r="A16" s="29"/>
    </row>
    <row r="17" spans="1:5" ht="15.75" x14ac:dyDescent="0.25">
      <c r="A17" s="29"/>
    </row>
    <row r="18" spans="1:5" ht="15.75" x14ac:dyDescent="0.25">
      <c r="A18" s="29"/>
    </row>
    <row r="19" spans="1:5" ht="15.75" x14ac:dyDescent="0.25">
      <c r="A19" s="29"/>
    </row>
    <row r="20" spans="1:5" ht="15.75" x14ac:dyDescent="0.25">
      <c r="A20" s="29"/>
    </row>
    <row r="21" spans="1:5" ht="15.75" x14ac:dyDescent="0.25">
      <c r="A21" s="29"/>
    </row>
    <row r="22" spans="1:5" ht="15.75" x14ac:dyDescent="0.25">
      <c r="A22" s="29"/>
    </row>
    <row r="23" spans="1:5" ht="15.75" x14ac:dyDescent="0.25">
      <c r="A23" s="29"/>
    </row>
    <row r="24" spans="1:5" ht="15.75" x14ac:dyDescent="0.25">
      <c r="A24" s="59"/>
      <c r="B24" s="94">
        <v>2018</v>
      </c>
      <c r="C24" s="94">
        <v>2017</v>
      </c>
      <c r="D24" s="94">
        <v>2016</v>
      </c>
      <c r="E24" s="94">
        <v>2015</v>
      </c>
    </row>
    <row r="25" spans="1:5" ht="15.75" x14ac:dyDescent="0.25">
      <c r="A25" s="35" t="s">
        <v>2</v>
      </c>
    </row>
    <row r="26" spans="1:5" ht="17.100000000000001" customHeight="1" x14ac:dyDescent="0.25">
      <c r="A26" s="43" t="s">
        <v>48</v>
      </c>
    </row>
    <row r="27" spans="1:5" ht="17.100000000000001" customHeight="1" x14ac:dyDescent="0.25">
      <c r="A27" s="34"/>
    </row>
    <row r="28" spans="1:5" ht="17.100000000000001" customHeight="1" x14ac:dyDescent="0.25">
      <c r="A28" s="34" t="s">
        <v>4</v>
      </c>
      <c r="B28" s="27">
        <v>12974</v>
      </c>
      <c r="C28" s="27">
        <v>14338</v>
      </c>
      <c r="D28" s="27">
        <v>15714</v>
      </c>
      <c r="E28" s="27">
        <v>17091</v>
      </c>
    </row>
    <row r="29" spans="1:5" ht="17.100000000000001" customHeight="1" x14ac:dyDescent="0.25">
      <c r="A29" s="34" t="s">
        <v>5</v>
      </c>
      <c r="B29" s="27">
        <v>1319</v>
      </c>
      <c r="C29" s="27">
        <v>1526</v>
      </c>
      <c r="D29" s="27">
        <v>1196</v>
      </c>
      <c r="E29" s="27">
        <v>1352</v>
      </c>
    </row>
    <row r="30" spans="1:5" ht="17.100000000000001" customHeight="1" x14ac:dyDescent="0.25">
      <c r="A30" s="34" t="s">
        <v>6</v>
      </c>
      <c r="B30" s="27">
        <v>0</v>
      </c>
      <c r="C30" s="27">
        <v>5</v>
      </c>
      <c r="D30" s="27">
        <v>6</v>
      </c>
      <c r="E30" s="27">
        <v>0</v>
      </c>
    </row>
    <row r="31" spans="1:5" ht="17.100000000000001" customHeight="1" x14ac:dyDescent="0.25">
      <c r="A31" s="95"/>
      <c r="B31" s="60">
        <f>SUM(B28:B30)</f>
        <v>14293</v>
      </c>
      <c r="C31" s="60">
        <f>SUM(C28:C30)</f>
        <v>15869</v>
      </c>
      <c r="D31" s="60">
        <f>SUM(D28:D30)</f>
        <v>16916</v>
      </c>
      <c r="E31" s="60">
        <f>SUM(E28:E30)</f>
        <v>18443</v>
      </c>
    </row>
    <row r="32" spans="1:5" ht="17.100000000000001" customHeight="1" x14ac:dyDescent="0.25">
      <c r="A32" s="43" t="s">
        <v>7</v>
      </c>
      <c r="B32" s="29"/>
      <c r="C32" s="29"/>
      <c r="D32" s="29"/>
      <c r="E32" s="29"/>
    </row>
    <row r="33" spans="1:6" ht="17.100000000000001" customHeight="1" x14ac:dyDescent="0.25">
      <c r="A33" s="34"/>
      <c r="B33" s="29"/>
      <c r="C33" s="29"/>
      <c r="D33" s="29"/>
      <c r="E33" s="29"/>
    </row>
    <row r="34" spans="1:6" ht="17.100000000000001" customHeight="1" x14ac:dyDescent="0.25">
      <c r="A34" s="34" t="s">
        <v>8</v>
      </c>
      <c r="B34" s="27">
        <v>14017</v>
      </c>
      <c r="C34" s="27">
        <v>15452</v>
      </c>
      <c r="D34" s="27">
        <v>16669</v>
      </c>
      <c r="E34" s="27">
        <v>18212</v>
      </c>
    </row>
    <row r="35" spans="1:6" ht="17.100000000000001" customHeight="1" x14ac:dyDescent="0.25">
      <c r="A35" s="34" t="s">
        <v>9</v>
      </c>
      <c r="B35" s="27">
        <v>169</v>
      </c>
      <c r="C35" s="27">
        <v>344</v>
      </c>
      <c r="D35" s="27">
        <v>130</v>
      </c>
      <c r="E35" s="27">
        <v>127</v>
      </c>
    </row>
    <row r="36" spans="1:6" ht="17.100000000000001" customHeight="1" x14ac:dyDescent="0.25">
      <c r="A36" s="34" t="s">
        <v>10</v>
      </c>
      <c r="B36" s="27">
        <v>107</v>
      </c>
      <c r="C36" s="27">
        <v>73</v>
      </c>
      <c r="D36" s="27">
        <v>117</v>
      </c>
      <c r="E36" s="27">
        <v>104</v>
      </c>
    </row>
    <row r="37" spans="1:6" ht="17.100000000000001" customHeight="1" x14ac:dyDescent="0.25">
      <c r="A37" s="34" t="s">
        <v>6</v>
      </c>
      <c r="B37" s="93">
        <v>0</v>
      </c>
      <c r="C37" s="93">
        <v>0</v>
      </c>
      <c r="D37" s="93">
        <v>0</v>
      </c>
      <c r="E37" s="93">
        <v>0</v>
      </c>
    </row>
    <row r="38" spans="1:6" ht="17.100000000000001" customHeight="1" x14ac:dyDescent="0.25">
      <c r="A38" s="95"/>
      <c r="B38" s="60">
        <f>SUM(B34:B37)</f>
        <v>14293</v>
      </c>
      <c r="C38" s="60">
        <f>SUM(C34:C37)</f>
        <v>15869</v>
      </c>
      <c r="D38" s="60">
        <f>SUM(D34:D37)</f>
        <v>16916</v>
      </c>
      <c r="E38" s="60">
        <f>SUM(E34:E37)</f>
        <v>18443</v>
      </c>
    </row>
    <row r="39" spans="1:6" ht="17.100000000000001" customHeight="1" x14ac:dyDescent="0.25">
      <c r="A39" s="35" t="s">
        <v>66</v>
      </c>
      <c r="B39" s="29"/>
      <c r="C39" s="29"/>
      <c r="D39" s="29"/>
      <c r="E39" s="29"/>
    </row>
    <row r="40" spans="1:6" ht="17.100000000000001" customHeight="1" x14ac:dyDescent="0.25">
      <c r="A40" s="34"/>
      <c r="B40" s="29"/>
      <c r="C40" s="29"/>
      <c r="D40" s="29"/>
      <c r="E40" s="29"/>
    </row>
    <row r="41" spans="1:6" ht="17.100000000000001" customHeight="1" x14ac:dyDescent="0.25">
      <c r="A41" s="34" t="s">
        <v>12</v>
      </c>
      <c r="B41" s="27">
        <v>2151</v>
      </c>
      <c r="C41" s="27">
        <v>2142</v>
      </c>
      <c r="D41" s="27">
        <v>1997</v>
      </c>
      <c r="E41" s="27">
        <v>2283</v>
      </c>
      <c r="F41" s="2"/>
    </row>
    <row r="42" spans="1:6" ht="17.100000000000001" customHeight="1" x14ac:dyDescent="0.25">
      <c r="A42" s="34" t="s">
        <v>19</v>
      </c>
      <c r="B42" s="27">
        <v>172</v>
      </c>
      <c r="C42" s="27">
        <v>16</v>
      </c>
      <c r="D42" s="27">
        <v>2</v>
      </c>
      <c r="E42" s="27">
        <v>27</v>
      </c>
    </row>
    <row r="43" spans="1:6" ht="17.100000000000001" customHeight="1" x14ac:dyDescent="0.25">
      <c r="A43" s="34" t="s">
        <v>13</v>
      </c>
      <c r="B43" s="27">
        <v>0</v>
      </c>
      <c r="C43" s="27">
        <v>0</v>
      </c>
      <c r="D43" s="27">
        <v>0</v>
      </c>
      <c r="E43" s="27">
        <v>2</v>
      </c>
    </row>
    <row r="44" spans="1:6" ht="17.100000000000001" customHeight="1" x14ac:dyDescent="0.25">
      <c r="A44" s="95"/>
      <c r="B44" s="60">
        <f>SUM(B41:B43)</f>
        <v>2323</v>
      </c>
      <c r="C44" s="60">
        <f>SUM(C41:C43)</f>
        <v>2158</v>
      </c>
      <c r="D44" s="60">
        <f>SUM(D41:D43)</f>
        <v>1999</v>
      </c>
      <c r="E44" s="60">
        <f>SUM(E41:E43)</f>
        <v>2312</v>
      </c>
    </row>
    <row r="45" spans="1:6" ht="17.100000000000001" customHeight="1" x14ac:dyDescent="0.25">
      <c r="A45" s="34" t="s">
        <v>20</v>
      </c>
      <c r="B45" s="27">
        <f>15+239</f>
        <v>254</v>
      </c>
      <c r="C45" s="27">
        <f>14+420</f>
        <v>434</v>
      </c>
      <c r="D45" s="27">
        <f>12+258</f>
        <v>270</v>
      </c>
      <c r="E45" s="27">
        <v>0</v>
      </c>
    </row>
    <row r="46" spans="1:6" ht="17.100000000000001" customHeight="1" x14ac:dyDescent="0.25">
      <c r="A46" s="34" t="s">
        <v>14</v>
      </c>
      <c r="B46" s="27">
        <f>B460</f>
        <v>0</v>
      </c>
      <c r="C46" s="27">
        <v>0</v>
      </c>
      <c r="D46" s="27">
        <v>0</v>
      </c>
      <c r="E46" s="27">
        <v>0</v>
      </c>
    </row>
    <row r="47" spans="1:6" ht="17.100000000000001" customHeight="1" x14ac:dyDescent="0.25">
      <c r="A47" s="34" t="s">
        <v>15</v>
      </c>
      <c r="B47" s="27">
        <v>1376</v>
      </c>
      <c r="C47" s="27">
        <v>1376</v>
      </c>
      <c r="D47" s="27">
        <v>1377</v>
      </c>
      <c r="E47" s="27">
        <v>1376</v>
      </c>
    </row>
    <row r="48" spans="1:6" ht="17.100000000000001" customHeight="1" x14ac:dyDescent="0.25">
      <c r="A48" s="34" t="s">
        <v>16</v>
      </c>
      <c r="B48" s="27">
        <v>198</v>
      </c>
      <c r="C48" s="27">
        <v>229</v>
      </c>
      <c r="D48" s="27">
        <v>215</v>
      </c>
      <c r="E48" s="27">
        <v>458</v>
      </c>
    </row>
    <row r="49" spans="1:5" ht="17.100000000000001" customHeight="1" x14ac:dyDescent="0.25">
      <c r="A49" s="34" t="s">
        <v>17</v>
      </c>
      <c r="B49" s="27">
        <v>19</v>
      </c>
      <c r="C49" s="27">
        <v>9</v>
      </c>
      <c r="D49" s="27">
        <v>10</v>
      </c>
      <c r="E49" s="27">
        <v>7</v>
      </c>
    </row>
    <row r="50" spans="1:5" ht="17.100000000000001" customHeight="1" x14ac:dyDescent="0.25">
      <c r="A50" s="34" t="s">
        <v>18</v>
      </c>
      <c r="B50" s="27">
        <v>0</v>
      </c>
      <c r="C50" s="27">
        <v>0</v>
      </c>
      <c r="D50" s="27">
        <v>0</v>
      </c>
      <c r="E50" s="27">
        <v>0</v>
      </c>
    </row>
    <row r="51" spans="1:5" ht="17.100000000000001" customHeight="1" x14ac:dyDescent="0.25">
      <c r="A51" s="95"/>
      <c r="B51" s="60">
        <f>SUM(B45:B50)</f>
        <v>1847</v>
      </c>
      <c r="C51" s="60">
        <f>SUM(C45:C50)</f>
        <v>2048</v>
      </c>
      <c r="D51" s="60">
        <f>SUM(D45:D50)</f>
        <v>1872</v>
      </c>
      <c r="E51" s="60">
        <f>SUM(E45:E50)</f>
        <v>1841</v>
      </c>
    </row>
    <row r="52" spans="1:5" ht="17.100000000000001" customHeight="1" x14ac:dyDescent="0.25">
      <c r="A52" s="34"/>
      <c r="B52" s="29"/>
      <c r="C52" s="29"/>
      <c r="D52" s="29"/>
      <c r="E52" s="29"/>
    </row>
    <row r="53" spans="1:5" ht="17.100000000000001" customHeight="1" x14ac:dyDescent="0.25">
      <c r="A53" s="96" t="s">
        <v>56</v>
      </c>
      <c r="B53" s="60">
        <f>SUM(B44-B51)</f>
        <v>476</v>
      </c>
      <c r="C53" s="60">
        <f>SUM(C44-C51)</f>
        <v>110</v>
      </c>
      <c r="D53" s="60">
        <f>SUM(D44-D51)</f>
        <v>127</v>
      </c>
      <c r="E53" s="60">
        <f>SUM(E44-E51)</f>
        <v>471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6"/>
  </sheetPr>
  <dimension ref="A1:F56"/>
  <sheetViews>
    <sheetView topLeftCell="A16" workbookViewId="0">
      <selection activeCell="R46" sqref="R46"/>
    </sheetView>
  </sheetViews>
  <sheetFormatPr baseColWidth="10" defaultRowHeight="12.75" x14ac:dyDescent="0.2"/>
  <cols>
    <col min="1" max="1" width="37.42578125" style="1" customWidth="1"/>
    <col min="2" max="4" width="11.42578125" style="1"/>
    <col min="5" max="5" width="11" style="1" customWidth="1"/>
    <col min="6" max="16384" width="11.42578125" style="1"/>
  </cols>
  <sheetData>
    <row r="1" spans="1:5" x14ac:dyDescent="0.2">
      <c r="A1" s="1" t="s">
        <v>52</v>
      </c>
    </row>
    <row r="2" spans="1:5" x14ac:dyDescent="0.2">
      <c r="A2" s="1" t="s">
        <v>1</v>
      </c>
      <c r="B2" s="1">
        <f>$E$25</f>
        <v>2015</v>
      </c>
      <c r="C2" s="1">
        <f>$D$25</f>
        <v>2016</v>
      </c>
      <c r="D2" s="1">
        <f>$C$25</f>
        <v>2017</v>
      </c>
      <c r="E2" s="1">
        <f>$B$25</f>
        <v>2018</v>
      </c>
    </row>
    <row r="3" spans="1:5" x14ac:dyDescent="0.2">
      <c r="A3" s="14"/>
      <c r="B3" s="2">
        <f>E54</f>
        <v>5676</v>
      </c>
      <c r="C3" s="2">
        <f>D54</f>
        <v>382</v>
      </c>
      <c r="D3" s="2">
        <f>C54</f>
        <v>799</v>
      </c>
      <c r="E3" s="2">
        <f>B54</f>
        <v>1727</v>
      </c>
    </row>
    <row r="5" spans="1:5" x14ac:dyDescent="0.2">
      <c r="A5" s="1" t="s">
        <v>0</v>
      </c>
      <c r="B5" s="1">
        <f>$E$25</f>
        <v>2015</v>
      </c>
      <c r="C5" s="1">
        <f>$D$25</f>
        <v>2016</v>
      </c>
      <c r="D5" s="1">
        <f>$C$25</f>
        <v>2017</v>
      </c>
      <c r="E5" s="1">
        <f>$B$25</f>
        <v>2018</v>
      </c>
    </row>
    <row r="6" spans="1:5" x14ac:dyDescent="0.2">
      <c r="B6" s="3">
        <f>E35/E39</f>
        <v>0.63088316837338143</v>
      </c>
      <c r="C6" s="3">
        <f>D35/D39</f>
        <v>0.61404381203061431</v>
      </c>
      <c r="D6" s="3">
        <f>C35/C39</f>
        <v>0.60708170798156957</v>
      </c>
      <c r="E6" s="3">
        <f>B35/B39</f>
        <v>0.5850880122953056</v>
      </c>
    </row>
    <row r="25" spans="1:6" ht="15.75" x14ac:dyDescent="0.2">
      <c r="A25" s="59"/>
      <c r="B25" s="55">
        <v>2018</v>
      </c>
      <c r="C25" s="55">
        <v>2017</v>
      </c>
      <c r="D25" s="55">
        <v>2016</v>
      </c>
      <c r="E25" s="55">
        <v>2015</v>
      </c>
    </row>
    <row r="26" spans="1:6" ht="17.100000000000001" customHeight="1" x14ac:dyDescent="0.25">
      <c r="A26" s="35" t="s">
        <v>2</v>
      </c>
      <c r="B26" s="4"/>
      <c r="C26" s="4"/>
      <c r="D26" s="4"/>
      <c r="E26" s="4"/>
    </row>
    <row r="27" spans="1:6" ht="17.100000000000001" customHeight="1" x14ac:dyDescent="0.2">
      <c r="A27" s="36" t="s">
        <v>48</v>
      </c>
      <c r="F27" s="11"/>
    </row>
    <row r="28" spans="1:6" ht="17.100000000000001" customHeight="1" x14ac:dyDescent="0.25">
      <c r="A28" s="36"/>
      <c r="B28" s="29"/>
      <c r="C28" s="29"/>
      <c r="D28" s="29"/>
      <c r="E28" s="29"/>
      <c r="F28" s="7"/>
    </row>
    <row r="29" spans="1:6" ht="17.100000000000001" customHeight="1" x14ac:dyDescent="0.25">
      <c r="A29" s="8" t="s">
        <v>4</v>
      </c>
      <c r="B29" s="9">
        <v>371143</v>
      </c>
      <c r="C29" s="9">
        <v>367944</v>
      </c>
      <c r="D29" s="9">
        <v>368059</v>
      </c>
      <c r="E29" s="9">
        <v>349718</v>
      </c>
      <c r="F29" s="15"/>
    </row>
    <row r="30" spans="1:6" ht="17.100000000000001" customHeight="1" x14ac:dyDescent="0.25">
      <c r="A30" s="8" t="s">
        <v>5</v>
      </c>
      <c r="B30" s="9">
        <v>86514</v>
      </c>
      <c r="C30" s="9">
        <v>70178</v>
      </c>
      <c r="D30" s="9">
        <v>63744</v>
      </c>
      <c r="E30" s="9">
        <v>70007</v>
      </c>
      <c r="F30" s="15"/>
    </row>
    <row r="31" spans="1:6" ht="17.100000000000001" customHeight="1" x14ac:dyDescent="0.25">
      <c r="A31" s="8" t="s">
        <v>6</v>
      </c>
      <c r="B31" s="9">
        <v>404</v>
      </c>
      <c r="C31" s="9">
        <v>501</v>
      </c>
      <c r="D31" s="9">
        <v>544</v>
      </c>
      <c r="E31" s="9">
        <v>478</v>
      </c>
      <c r="F31" s="16"/>
    </row>
    <row r="32" spans="1:6" ht="17.100000000000001" customHeight="1" x14ac:dyDescent="0.25">
      <c r="A32" s="56"/>
      <c r="B32" s="60">
        <f>SUM(B29:B31)</f>
        <v>458061</v>
      </c>
      <c r="C32" s="60">
        <f>SUM(C29:C31)</f>
        <v>438623</v>
      </c>
      <c r="D32" s="60">
        <f>SUM(D29:D31)</f>
        <v>432347</v>
      </c>
      <c r="E32" s="60">
        <f>SUM(E29:E31)</f>
        <v>420203</v>
      </c>
      <c r="F32" s="17"/>
    </row>
    <row r="33" spans="1:6" ht="17.100000000000001" customHeight="1" x14ac:dyDescent="0.25">
      <c r="A33" s="36" t="s">
        <v>7</v>
      </c>
      <c r="B33" s="29"/>
      <c r="C33" s="29"/>
      <c r="D33" s="29"/>
      <c r="E33" s="29"/>
      <c r="F33" s="18"/>
    </row>
    <row r="34" spans="1:6" ht="17.100000000000001" customHeight="1" x14ac:dyDescent="0.25">
      <c r="A34" s="36"/>
      <c r="B34" s="29"/>
      <c r="C34" s="29"/>
      <c r="D34" s="29"/>
      <c r="E34" s="29"/>
      <c r="F34" s="18"/>
    </row>
    <row r="35" spans="1:6" ht="17.100000000000001" customHeight="1" x14ac:dyDescent="0.25">
      <c r="A35" s="8" t="s">
        <v>8</v>
      </c>
      <c r="B35" s="9">
        <v>268006</v>
      </c>
      <c r="C35" s="9">
        <v>266280</v>
      </c>
      <c r="D35" s="9">
        <v>265480</v>
      </c>
      <c r="E35" s="9">
        <v>265099</v>
      </c>
      <c r="F35" s="15"/>
    </row>
    <row r="36" spans="1:6" ht="17.100000000000001" customHeight="1" x14ac:dyDescent="0.25">
      <c r="A36" s="8" t="s">
        <v>9</v>
      </c>
      <c r="B36" s="9">
        <v>23256</v>
      </c>
      <c r="C36" s="9">
        <v>19850</v>
      </c>
      <c r="D36" s="9">
        <v>18457</v>
      </c>
      <c r="E36" s="9">
        <v>22819</v>
      </c>
      <c r="F36" s="15"/>
    </row>
    <row r="37" spans="1:6" ht="17.100000000000001" customHeight="1" x14ac:dyDescent="0.25">
      <c r="A37" s="8" t="s">
        <v>10</v>
      </c>
      <c r="B37" s="9">
        <v>166796</v>
      </c>
      <c r="C37" s="9">
        <v>152488</v>
      </c>
      <c r="D37" s="9">
        <v>148406</v>
      </c>
      <c r="E37" s="9">
        <v>132283</v>
      </c>
      <c r="F37" s="15"/>
    </row>
    <row r="38" spans="1:6" ht="17.100000000000001" customHeight="1" x14ac:dyDescent="0.25">
      <c r="A38" s="8" t="s">
        <v>6</v>
      </c>
      <c r="B38" s="9">
        <v>3</v>
      </c>
      <c r="C38" s="9">
        <v>5</v>
      </c>
      <c r="D38" s="9">
        <v>4</v>
      </c>
      <c r="E38" s="9">
        <v>2</v>
      </c>
      <c r="F38" s="16"/>
    </row>
    <row r="39" spans="1:6" ht="17.100000000000001" customHeight="1" x14ac:dyDescent="0.25">
      <c r="A39" s="56"/>
      <c r="B39" s="60">
        <f>SUM(B35:B38)</f>
        <v>458061</v>
      </c>
      <c r="C39" s="60">
        <f>SUM(C35:C38)</f>
        <v>438623</v>
      </c>
      <c r="D39" s="60">
        <f>SUM(D35:D38)</f>
        <v>432347</v>
      </c>
      <c r="E39" s="60">
        <f>SUM(E35:E38)</f>
        <v>420203</v>
      </c>
      <c r="F39" s="19"/>
    </row>
    <row r="40" spans="1:6" ht="17.100000000000001" customHeight="1" x14ac:dyDescent="0.25">
      <c r="A40" s="35" t="s">
        <v>66</v>
      </c>
      <c r="B40" s="144"/>
      <c r="C40" s="144"/>
      <c r="D40" s="144"/>
      <c r="E40" s="29"/>
      <c r="F40" s="2"/>
    </row>
    <row r="41" spans="1:6" ht="17.100000000000001" customHeight="1" x14ac:dyDescent="0.25">
      <c r="A41" s="8" t="s">
        <v>12</v>
      </c>
      <c r="B41" s="9">
        <v>70064</v>
      </c>
      <c r="C41" s="9">
        <v>68882</v>
      </c>
      <c r="D41" s="9">
        <v>66533</v>
      </c>
      <c r="E41" s="9">
        <v>64795</v>
      </c>
      <c r="F41" s="15"/>
    </row>
    <row r="42" spans="1:6" ht="17.100000000000001" customHeight="1" x14ac:dyDescent="0.25">
      <c r="A42" s="8" t="s">
        <v>19</v>
      </c>
      <c r="B42" s="9">
        <f>496+3548+139+59922</f>
        <v>64105</v>
      </c>
      <c r="C42" s="9">
        <f>347+2705+126+58715</f>
        <v>61893</v>
      </c>
      <c r="D42" s="9">
        <f>117+52142+142+3062</f>
        <v>55463</v>
      </c>
      <c r="E42" s="9">
        <f>309+7887+123+57140+1</f>
        <v>65460</v>
      </c>
      <c r="F42" s="15"/>
    </row>
    <row r="43" spans="1:6" ht="17.100000000000001" customHeight="1" x14ac:dyDescent="0.25">
      <c r="A43" s="8" t="s">
        <v>13</v>
      </c>
      <c r="B43" s="9">
        <v>270</v>
      </c>
      <c r="C43" s="9">
        <v>243</v>
      </c>
      <c r="D43" s="9">
        <v>456</v>
      </c>
      <c r="E43" s="9">
        <v>403</v>
      </c>
      <c r="F43" s="16"/>
    </row>
    <row r="44" spans="1:6" ht="17.100000000000001" customHeight="1" x14ac:dyDescent="0.25">
      <c r="A44" s="56"/>
      <c r="B44" s="60">
        <f>SUM(B41:B43)</f>
        <v>134439</v>
      </c>
      <c r="C44" s="60">
        <f>SUM(C41:C43)</f>
        <v>131018</v>
      </c>
      <c r="D44" s="60">
        <f>SUM(D41:D43)</f>
        <v>122452</v>
      </c>
      <c r="E44" s="60">
        <f>SUM(E41:E43)</f>
        <v>130658</v>
      </c>
      <c r="F44" s="17"/>
    </row>
    <row r="45" spans="1:6" ht="17.100000000000001" customHeight="1" x14ac:dyDescent="0.25">
      <c r="A45" s="8" t="s">
        <v>20</v>
      </c>
      <c r="B45" s="9">
        <f>8023+4122</f>
        <v>12145</v>
      </c>
      <c r="C45" s="9">
        <f>6602+4544</f>
        <v>11146</v>
      </c>
      <c r="D45" s="9">
        <f>6617+4305</f>
        <v>10922</v>
      </c>
      <c r="E45" s="9">
        <f>6729+3966</f>
        <v>10695</v>
      </c>
      <c r="F45" s="15"/>
    </row>
    <row r="46" spans="1:6" ht="17.100000000000001" customHeight="1" x14ac:dyDescent="0.25">
      <c r="A46" s="8" t="s">
        <v>14</v>
      </c>
      <c r="B46" s="9">
        <f>36991+9174</f>
        <v>46165</v>
      </c>
      <c r="C46" s="9">
        <f>37222+8733</f>
        <v>45955</v>
      </c>
      <c r="D46" s="9">
        <f>34850+8469</f>
        <v>43319</v>
      </c>
      <c r="E46" s="9">
        <f>34649+8567</f>
        <v>43216</v>
      </c>
      <c r="F46" s="15"/>
    </row>
    <row r="47" spans="1:6" ht="17.100000000000001" customHeight="1" x14ac:dyDescent="0.25">
      <c r="A47" s="8" t="s">
        <v>15</v>
      </c>
      <c r="B47" s="9">
        <f>2730+90</f>
        <v>2820</v>
      </c>
      <c r="C47" s="9">
        <v>2867</v>
      </c>
      <c r="D47" s="9">
        <v>3416</v>
      </c>
      <c r="E47" s="9">
        <f>4911</f>
        <v>4911</v>
      </c>
      <c r="F47" s="15"/>
    </row>
    <row r="48" spans="1:6" ht="17.100000000000001" customHeight="1" x14ac:dyDescent="0.25">
      <c r="A48" s="8" t="s">
        <v>16</v>
      </c>
      <c r="B48" s="9">
        <v>13298</v>
      </c>
      <c r="C48" s="9">
        <f>13196</f>
        <v>13196</v>
      </c>
      <c r="D48" s="9">
        <v>12841</v>
      </c>
      <c r="E48" s="9">
        <f>14935</f>
        <v>14935</v>
      </c>
      <c r="F48" s="15"/>
    </row>
    <row r="49" spans="1:6" ht="17.100000000000001" customHeight="1" x14ac:dyDescent="0.25">
      <c r="A49" s="8" t="s">
        <v>24</v>
      </c>
      <c r="B49" s="9">
        <v>53838</v>
      </c>
      <c r="C49" s="9">
        <v>52120</v>
      </c>
      <c r="D49" s="9">
        <v>44608</v>
      </c>
      <c r="E49" s="9">
        <f>46672</f>
        <v>46672</v>
      </c>
      <c r="F49" s="20"/>
    </row>
    <row r="50" spans="1:6" ht="17.100000000000001" customHeight="1" x14ac:dyDescent="0.25">
      <c r="A50" s="8" t="s">
        <v>17</v>
      </c>
      <c r="B50" s="9">
        <v>5621</v>
      </c>
      <c r="C50" s="9">
        <v>5618</v>
      </c>
      <c r="D50" s="9">
        <v>5842</v>
      </c>
      <c r="E50" s="9">
        <f>5471</f>
        <v>5471</v>
      </c>
      <c r="F50" s="15"/>
    </row>
    <row r="51" spans="1:6" ht="17.100000000000001" customHeight="1" x14ac:dyDescent="0.25">
      <c r="A51" s="8" t="s">
        <v>18</v>
      </c>
      <c r="B51" s="9">
        <f>-1356+181</f>
        <v>-1175</v>
      </c>
      <c r="C51" s="9">
        <f>-824+141</f>
        <v>-683</v>
      </c>
      <c r="D51" s="9">
        <f>972+150</f>
        <v>1122</v>
      </c>
      <c r="E51" s="9">
        <f>-1088+170</f>
        <v>-918</v>
      </c>
      <c r="F51" s="21"/>
    </row>
    <row r="52" spans="1:6" ht="17.100000000000001" customHeight="1" x14ac:dyDescent="0.25">
      <c r="A52" s="56"/>
      <c r="B52" s="60">
        <f>SUM(B45:B51)</f>
        <v>132712</v>
      </c>
      <c r="C52" s="60">
        <f>SUM(C45:C51)</f>
        <v>130219</v>
      </c>
      <c r="D52" s="60">
        <f>SUM(D45:D51)</f>
        <v>122070</v>
      </c>
      <c r="E52" s="60">
        <f>SUM(E45:E51)</f>
        <v>124982</v>
      </c>
      <c r="F52" s="17"/>
    </row>
    <row r="53" spans="1:6" ht="17.100000000000001" customHeight="1" x14ac:dyDescent="0.2">
      <c r="A53" s="8"/>
      <c r="F53" s="18"/>
    </row>
    <row r="54" spans="1:6" ht="17.100000000000001" customHeight="1" x14ac:dyDescent="0.25">
      <c r="A54" s="58" t="s">
        <v>56</v>
      </c>
      <c r="B54" s="60">
        <f>B44-B52</f>
        <v>1727</v>
      </c>
      <c r="C54" s="60">
        <f>C44-C52</f>
        <v>799</v>
      </c>
      <c r="D54" s="60">
        <f>D44-D52</f>
        <v>382</v>
      </c>
      <c r="E54" s="60">
        <f>E44-E52</f>
        <v>5676</v>
      </c>
      <c r="F54" s="21"/>
    </row>
    <row r="55" spans="1:6" x14ac:dyDescent="0.2">
      <c r="C55" s="2"/>
      <c r="D55" s="2"/>
      <c r="E55" s="2"/>
      <c r="F55" s="2"/>
    </row>
    <row r="56" spans="1:6" x14ac:dyDescent="0.2">
      <c r="B56" s="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F53"/>
  <sheetViews>
    <sheetView topLeftCell="A20" workbookViewId="0">
      <selection activeCell="A24" sqref="A24"/>
    </sheetView>
  </sheetViews>
  <sheetFormatPr baseColWidth="10" defaultRowHeight="12.75" x14ac:dyDescent="0.2"/>
  <cols>
    <col min="1" max="1" width="43.5703125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$E$24</f>
        <v>2017</v>
      </c>
      <c r="C2" s="1">
        <f>$D$24</f>
        <v>2018</v>
      </c>
    </row>
    <row r="3" spans="1:5" x14ac:dyDescent="0.2">
      <c r="A3" s="14"/>
      <c r="B3" s="2">
        <f>E53</f>
        <v>-1179</v>
      </c>
      <c r="C3" s="2">
        <f>D53</f>
        <v>-60</v>
      </c>
      <c r="D3" s="2"/>
      <c r="E3" s="2"/>
    </row>
    <row r="4" spans="1:5" x14ac:dyDescent="0.2">
      <c r="B4" s="26"/>
      <c r="C4" s="26"/>
      <c r="D4" s="26"/>
      <c r="E4" s="26"/>
    </row>
    <row r="5" spans="1:5" x14ac:dyDescent="0.2">
      <c r="A5" s="1" t="s">
        <v>0</v>
      </c>
      <c r="B5" s="1">
        <f>$E$24</f>
        <v>2017</v>
      </c>
      <c r="C5" s="1">
        <f>$D$24</f>
        <v>2018</v>
      </c>
    </row>
    <row r="6" spans="1:5" x14ac:dyDescent="0.2">
      <c r="B6" s="3">
        <f>E34/E38</f>
        <v>1.6897081413210445E-3</v>
      </c>
      <c r="C6" s="3">
        <f>D34/D38</f>
        <v>0</v>
      </c>
      <c r="D6" s="3"/>
      <c r="E6" s="3"/>
    </row>
    <row r="7" spans="1:5" ht="15.75" x14ac:dyDescent="0.25">
      <c r="A7" s="29"/>
    </row>
    <row r="8" spans="1:5" ht="15.75" x14ac:dyDescent="0.25">
      <c r="A8" s="29"/>
    </row>
    <row r="9" spans="1:5" ht="15.75" x14ac:dyDescent="0.25">
      <c r="A9" s="29"/>
    </row>
    <row r="10" spans="1:5" ht="15.75" x14ac:dyDescent="0.25">
      <c r="A10" s="29"/>
    </row>
    <row r="11" spans="1:5" ht="15.75" x14ac:dyDescent="0.25">
      <c r="A11" s="29"/>
    </row>
    <row r="12" spans="1:5" ht="15.75" x14ac:dyDescent="0.25">
      <c r="A12" s="29"/>
    </row>
    <row r="13" spans="1:5" ht="15.75" x14ac:dyDescent="0.25">
      <c r="A13" s="29"/>
    </row>
    <row r="14" spans="1:5" ht="15.75" x14ac:dyDescent="0.25">
      <c r="A14" s="29"/>
    </row>
    <row r="15" spans="1:5" ht="15.75" x14ac:dyDescent="0.25">
      <c r="A15" s="29"/>
    </row>
    <row r="16" spans="1:5" ht="15.75" x14ac:dyDescent="0.25">
      <c r="A16" s="29"/>
    </row>
    <row r="17" spans="1:5" ht="15.75" x14ac:dyDescent="0.25">
      <c r="A17" s="29"/>
    </row>
    <row r="18" spans="1:5" ht="15.75" x14ac:dyDescent="0.25">
      <c r="A18" s="29"/>
    </row>
    <row r="19" spans="1:5" ht="15.75" x14ac:dyDescent="0.25">
      <c r="A19" s="29"/>
    </row>
    <row r="20" spans="1:5" ht="15.75" x14ac:dyDescent="0.25">
      <c r="A20" s="29"/>
    </row>
    <row r="21" spans="1:5" ht="15.75" x14ac:dyDescent="0.25">
      <c r="A21" s="29"/>
    </row>
    <row r="22" spans="1:5" ht="15.75" x14ac:dyDescent="0.25">
      <c r="A22" s="29"/>
    </row>
    <row r="23" spans="1:5" ht="15.75" x14ac:dyDescent="0.25">
      <c r="A23" s="29"/>
    </row>
    <row r="24" spans="1:5" ht="15.75" x14ac:dyDescent="0.25">
      <c r="A24" s="59"/>
      <c r="B24" s="94"/>
      <c r="C24" s="94"/>
      <c r="D24" s="94">
        <v>2018</v>
      </c>
      <c r="E24" s="94">
        <v>2017</v>
      </c>
    </row>
    <row r="25" spans="1:5" ht="15.75" x14ac:dyDescent="0.25">
      <c r="A25" s="35" t="s">
        <v>2</v>
      </c>
    </row>
    <row r="26" spans="1:5" ht="17.100000000000001" customHeight="1" x14ac:dyDescent="0.25">
      <c r="A26" s="43" t="s">
        <v>48</v>
      </c>
    </row>
    <row r="27" spans="1:5" ht="17.100000000000001" customHeight="1" x14ac:dyDescent="0.25">
      <c r="A27" s="34"/>
    </row>
    <row r="28" spans="1:5" ht="17.100000000000001" customHeight="1" x14ac:dyDescent="0.25">
      <c r="A28" s="34" t="s">
        <v>4</v>
      </c>
      <c r="B28" s="27"/>
      <c r="C28" s="27"/>
      <c r="D28" s="27">
        <v>1651</v>
      </c>
      <c r="E28" s="27">
        <v>1651</v>
      </c>
    </row>
    <row r="29" spans="1:5" ht="17.100000000000001" customHeight="1" x14ac:dyDescent="0.25">
      <c r="A29" s="34" t="s">
        <v>5</v>
      </c>
      <c r="B29" s="27"/>
      <c r="C29" s="27"/>
      <c r="D29" s="27">
        <v>11569</v>
      </c>
      <c r="E29" s="27">
        <v>11369</v>
      </c>
    </row>
    <row r="30" spans="1:5" ht="17.100000000000001" customHeight="1" x14ac:dyDescent="0.25">
      <c r="A30" s="34" t="s">
        <v>49</v>
      </c>
      <c r="B30" s="27"/>
      <c r="C30" s="27"/>
      <c r="D30" s="27">
        <v>39</v>
      </c>
      <c r="E30" s="27">
        <v>0</v>
      </c>
    </row>
    <row r="31" spans="1:5" ht="17.100000000000001" customHeight="1" x14ac:dyDescent="0.25">
      <c r="A31" s="95"/>
      <c r="B31" s="60">
        <f>SUM(B28:B30)</f>
        <v>0</v>
      </c>
      <c r="C31" s="60">
        <f>SUM(C28:C30)</f>
        <v>0</v>
      </c>
      <c r="D31" s="60">
        <f>SUM(D28:D30)</f>
        <v>13259</v>
      </c>
      <c r="E31" s="60">
        <f>SUM(E28:E30)</f>
        <v>13020</v>
      </c>
    </row>
    <row r="32" spans="1:5" ht="17.100000000000001" customHeight="1" x14ac:dyDescent="0.25">
      <c r="A32" s="43" t="s">
        <v>7</v>
      </c>
      <c r="B32" s="29"/>
      <c r="C32" s="29"/>
      <c r="D32" s="29"/>
      <c r="E32" s="29"/>
    </row>
    <row r="33" spans="1:6" ht="17.100000000000001" customHeight="1" x14ac:dyDescent="0.25">
      <c r="A33" s="34"/>
      <c r="B33" s="29"/>
      <c r="C33" s="29"/>
      <c r="D33" s="29"/>
      <c r="E33" s="29"/>
    </row>
    <row r="34" spans="1:6" ht="17.100000000000001" customHeight="1" x14ac:dyDescent="0.25">
      <c r="A34" s="34" t="s">
        <v>8</v>
      </c>
      <c r="B34" s="27"/>
      <c r="C34" s="27"/>
      <c r="D34" s="27">
        <v>0</v>
      </c>
      <c r="E34" s="27">
        <v>22</v>
      </c>
    </row>
    <row r="35" spans="1:6" ht="17.100000000000001" customHeight="1" x14ac:dyDescent="0.25">
      <c r="A35" s="34" t="s">
        <v>9</v>
      </c>
      <c r="B35" s="27"/>
      <c r="C35" s="27"/>
      <c r="D35" s="27">
        <v>6</v>
      </c>
      <c r="E35" s="27">
        <v>17</v>
      </c>
    </row>
    <row r="36" spans="1:6" ht="17.100000000000001" customHeight="1" x14ac:dyDescent="0.25">
      <c r="A36" s="34" t="s">
        <v>10</v>
      </c>
      <c r="B36" s="27"/>
      <c r="C36" s="27"/>
      <c r="D36" s="27">
        <v>13253</v>
      </c>
      <c r="E36" s="27">
        <v>12981</v>
      </c>
    </row>
    <row r="37" spans="1:6" ht="17.100000000000001" customHeight="1" x14ac:dyDescent="0.25">
      <c r="A37" s="34" t="s">
        <v>6</v>
      </c>
      <c r="B37" s="93"/>
      <c r="C37" s="93"/>
      <c r="D37" s="93"/>
      <c r="E37" s="93">
        <v>0</v>
      </c>
    </row>
    <row r="38" spans="1:6" ht="17.100000000000001" customHeight="1" x14ac:dyDescent="0.25">
      <c r="A38" s="95"/>
      <c r="B38" s="60">
        <f>SUM(B34:B37)</f>
        <v>0</v>
      </c>
      <c r="C38" s="60">
        <f>SUM(C34:C37)</f>
        <v>0</v>
      </c>
      <c r="D38" s="60">
        <f>SUM(D34:D37)</f>
        <v>13259</v>
      </c>
      <c r="E38" s="60">
        <f>SUM(E34:E37)</f>
        <v>13020</v>
      </c>
    </row>
    <row r="39" spans="1:6" ht="17.100000000000001" customHeight="1" x14ac:dyDescent="0.25">
      <c r="A39" s="35" t="s">
        <v>66</v>
      </c>
      <c r="B39" s="29"/>
      <c r="C39" s="29"/>
      <c r="D39" s="29"/>
      <c r="E39" s="29"/>
    </row>
    <row r="40" spans="1:6" ht="17.100000000000001" customHeight="1" x14ac:dyDescent="0.25">
      <c r="A40" s="34"/>
      <c r="B40" s="29"/>
      <c r="C40" s="29"/>
      <c r="D40" s="29"/>
      <c r="E40" s="29"/>
    </row>
    <row r="41" spans="1:6" ht="17.100000000000001" customHeight="1" x14ac:dyDescent="0.25">
      <c r="A41" s="34" t="s">
        <v>12</v>
      </c>
      <c r="B41" s="27"/>
      <c r="C41" s="27"/>
      <c r="D41" s="27">
        <v>443</v>
      </c>
      <c r="E41" s="27">
        <v>550</v>
      </c>
      <c r="F41" s="2"/>
    </row>
    <row r="42" spans="1:6" ht="17.100000000000001" customHeight="1" x14ac:dyDescent="0.25">
      <c r="A42" s="34" t="s">
        <v>19</v>
      </c>
      <c r="B42" s="27"/>
      <c r="C42" s="27"/>
      <c r="D42" s="27">
        <f>2522+276</f>
        <v>2798</v>
      </c>
      <c r="E42" s="27">
        <f>5883+74</f>
        <v>5957</v>
      </c>
    </row>
    <row r="43" spans="1:6" ht="17.100000000000001" customHeight="1" x14ac:dyDescent="0.25">
      <c r="A43" s="34" t="s">
        <v>13</v>
      </c>
      <c r="B43" s="27"/>
      <c r="C43" s="27"/>
      <c r="D43" s="27">
        <v>0</v>
      </c>
      <c r="E43" s="27">
        <v>37</v>
      </c>
    </row>
    <row r="44" spans="1:6" ht="17.100000000000001" customHeight="1" x14ac:dyDescent="0.25">
      <c r="A44" s="95"/>
      <c r="B44" s="60">
        <f>SUM(B41:B43)</f>
        <v>0</v>
      </c>
      <c r="C44" s="60">
        <f>SUM(C41:C43)</f>
        <v>0</v>
      </c>
      <c r="D44" s="60">
        <f>SUM(D41:D43)</f>
        <v>3241</v>
      </c>
      <c r="E44" s="60">
        <f>SUM(E41:E43)</f>
        <v>6544</v>
      </c>
    </row>
    <row r="45" spans="1:6" ht="17.100000000000001" customHeight="1" x14ac:dyDescent="0.25">
      <c r="A45" s="34" t="s">
        <v>20</v>
      </c>
      <c r="B45" s="27"/>
      <c r="C45" s="27"/>
      <c r="D45" s="27">
        <v>3159</v>
      </c>
      <c r="E45" s="27">
        <v>7455</v>
      </c>
    </row>
    <row r="46" spans="1:6" ht="17.100000000000001" customHeight="1" x14ac:dyDescent="0.25">
      <c r="A46" s="34" t="s">
        <v>14</v>
      </c>
      <c r="B46" s="27"/>
      <c r="C46" s="27"/>
      <c r="D46" s="27">
        <v>0</v>
      </c>
      <c r="E46" s="27">
        <v>0</v>
      </c>
    </row>
    <row r="47" spans="1:6" ht="17.100000000000001" customHeight="1" x14ac:dyDescent="0.25">
      <c r="A47" s="34" t="s">
        <v>15</v>
      </c>
      <c r="B47" s="27"/>
      <c r="C47" s="27"/>
      <c r="D47" s="27">
        <v>0</v>
      </c>
      <c r="E47" s="27">
        <v>0</v>
      </c>
    </row>
    <row r="48" spans="1:6" ht="17.100000000000001" customHeight="1" x14ac:dyDescent="0.25">
      <c r="A48" s="34" t="s">
        <v>16</v>
      </c>
      <c r="B48" s="27"/>
      <c r="C48" s="27"/>
      <c r="D48" s="27">
        <v>21</v>
      </c>
      <c r="E48" s="27">
        <v>159</v>
      </c>
    </row>
    <row r="49" spans="1:5" ht="17.100000000000001" customHeight="1" x14ac:dyDescent="0.25">
      <c r="A49" s="34" t="s">
        <v>17</v>
      </c>
      <c r="B49" s="27"/>
      <c r="C49" s="27"/>
      <c r="D49" s="27">
        <v>121</v>
      </c>
      <c r="E49" s="27">
        <v>109</v>
      </c>
    </row>
    <row r="50" spans="1:5" ht="17.100000000000001" customHeight="1" x14ac:dyDescent="0.25">
      <c r="A50" s="34" t="s">
        <v>18</v>
      </c>
      <c r="B50" s="27"/>
      <c r="C50" s="27"/>
      <c r="D50" s="27">
        <v>0</v>
      </c>
      <c r="E50" s="27">
        <v>0</v>
      </c>
    </row>
    <row r="51" spans="1:5" ht="17.100000000000001" customHeight="1" x14ac:dyDescent="0.25">
      <c r="A51" s="95"/>
      <c r="B51" s="60">
        <f>SUM(B45:B50)</f>
        <v>0</v>
      </c>
      <c r="C51" s="60">
        <f>SUM(C45:C50)</f>
        <v>0</v>
      </c>
      <c r="D51" s="60">
        <f>SUM(D45:D50)</f>
        <v>3301</v>
      </c>
      <c r="E51" s="60">
        <f>SUM(E45:E50)</f>
        <v>7723</v>
      </c>
    </row>
    <row r="52" spans="1:5" ht="17.100000000000001" customHeight="1" x14ac:dyDescent="0.25">
      <c r="A52" s="34"/>
      <c r="B52" s="29"/>
      <c r="C52" s="29"/>
      <c r="D52" s="29"/>
      <c r="E52" s="29"/>
    </row>
    <row r="53" spans="1:5" ht="17.100000000000001" customHeight="1" x14ac:dyDescent="0.25">
      <c r="A53" s="96" t="s">
        <v>56</v>
      </c>
      <c r="B53" s="60">
        <f>SUM(B44-B51)</f>
        <v>0</v>
      </c>
      <c r="C53" s="60">
        <f>SUM(C44-C51)</f>
        <v>0</v>
      </c>
      <c r="D53" s="60">
        <f>SUM(D44-D51)</f>
        <v>-60</v>
      </c>
      <c r="E53" s="60">
        <f>SUM(E44-E51)</f>
        <v>-1179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F53"/>
  <sheetViews>
    <sheetView topLeftCell="A20" workbookViewId="0">
      <selection activeCell="I25" sqref="I25"/>
    </sheetView>
  </sheetViews>
  <sheetFormatPr baseColWidth="10" defaultRowHeight="12.75" x14ac:dyDescent="0.2"/>
  <cols>
    <col min="1" max="1" width="43.5703125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$E$24</f>
        <v>2017</v>
      </c>
      <c r="C2" s="1">
        <f>$D$24</f>
        <v>2018</v>
      </c>
      <c r="D2" s="1">
        <f>$C$24</f>
        <v>0</v>
      </c>
      <c r="E2" s="1">
        <f>$B$24</f>
        <v>0</v>
      </c>
    </row>
    <row r="3" spans="1:5" x14ac:dyDescent="0.2">
      <c r="A3" s="14"/>
      <c r="B3" s="2">
        <f>E53</f>
        <v>-1179</v>
      </c>
      <c r="C3" s="2">
        <f>D53</f>
        <v>-60</v>
      </c>
      <c r="D3" s="2">
        <f>C53</f>
        <v>0</v>
      </c>
      <c r="E3" s="2">
        <f>B53</f>
        <v>0</v>
      </c>
    </row>
    <row r="4" spans="1:5" x14ac:dyDescent="0.2">
      <c r="B4" s="26"/>
      <c r="C4" s="26"/>
      <c r="D4" s="26"/>
      <c r="E4" s="26"/>
    </row>
    <row r="5" spans="1:5" x14ac:dyDescent="0.2">
      <c r="A5" s="1" t="s">
        <v>0</v>
      </c>
      <c r="B5" s="1">
        <f>$E$24</f>
        <v>2017</v>
      </c>
      <c r="C5" s="1">
        <f>$D$24</f>
        <v>2018</v>
      </c>
      <c r="D5" s="1">
        <f>$C$24</f>
        <v>0</v>
      </c>
      <c r="E5" s="1">
        <f>$B$24</f>
        <v>0</v>
      </c>
    </row>
    <row r="6" spans="1:5" x14ac:dyDescent="0.2">
      <c r="B6" s="3">
        <f>E34/E38</f>
        <v>1.6897081413210445E-3</v>
      </c>
      <c r="C6" s="3">
        <f>D34/D38</f>
        <v>0</v>
      </c>
      <c r="D6" s="3"/>
      <c r="E6" s="3"/>
    </row>
    <row r="7" spans="1:5" ht="15.75" x14ac:dyDescent="0.25">
      <c r="A7" s="29"/>
    </row>
    <row r="8" spans="1:5" ht="15.75" x14ac:dyDescent="0.25">
      <c r="A8" s="29"/>
    </row>
    <row r="9" spans="1:5" ht="15.75" x14ac:dyDescent="0.25">
      <c r="A9" s="29"/>
    </row>
    <row r="10" spans="1:5" ht="15.75" x14ac:dyDescent="0.25">
      <c r="A10" s="29"/>
    </row>
    <row r="11" spans="1:5" ht="15.75" x14ac:dyDescent="0.25">
      <c r="A11" s="29"/>
    </row>
    <row r="12" spans="1:5" ht="15.75" x14ac:dyDescent="0.25">
      <c r="A12" s="29"/>
    </row>
    <row r="13" spans="1:5" ht="15.75" x14ac:dyDescent="0.25">
      <c r="A13" s="29"/>
    </row>
    <row r="14" spans="1:5" ht="15.75" x14ac:dyDescent="0.25">
      <c r="A14" s="29"/>
    </row>
    <row r="15" spans="1:5" ht="15.75" x14ac:dyDescent="0.25">
      <c r="A15" s="29"/>
    </row>
    <row r="16" spans="1:5" ht="15.75" x14ac:dyDescent="0.25">
      <c r="A16" s="29"/>
    </row>
    <row r="17" spans="1:5" ht="15.75" x14ac:dyDescent="0.25">
      <c r="A17" s="29"/>
    </row>
    <row r="18" spans="1:5" ht="15.75" x14ac:dyDescent="0.25">
      <c r="A18" s="29"/>
    </row>
    <row r="19" spans="1:5" ht="15.75" x14ac:dyDescent="0.25">
      <c r="A19" s="29"/>
    </row>
    <row r="20" spans="1:5" ht="15.75" x14ac:dyDescent="0.25">
      <c r="A20" s="29"/>
    </row>
    <row r="21" spans="1:5" ht="15.75" x14ac:dyDescent="0.25">
      <c r="A21" s="29"/>
    </row>
    <row r="22" spans="1:5" ht="15.75" x14ac:dyDescent="0.25">
      <c r="A22" s="29"/>
    </row>
    <row r="23" spans="1:5" ht="15.75" x14ac:dyDescent="0.25">
      <c r="A23" s="29"/>
    </row>
    <row r="24" spans="1:5" ht="15.75" x14ac:dyDescent="0.25">
      <c r="A24" s="59"/>
      <c r="B24" s="94"/>
      <c r="C24" s="94"/>
      <c r="D24" s="94">
        <v>2018</v>
      </c>
      <c r="E24" s="94">
        <v>2017</v>
      </c>
    </row>
    <row r="25" spans="1:5" ht="15.75" x14ac:dyDescent="0.25">
      <c r="A25" s="35" t="s">
        <v>2</v>
      </c>
    </row>
    <row r="26" spans="1:5" ht="17.100000000000001" customHeight="1" x14ac:dyDescent="0.25">
      <c r="A26" s="43" t="s">
        <v>48</v>
      </c>
    </row>
    <row r="27" spans="1:5" ht="17.100000000000001" customHeight="1" x14ac:dyDescent="0.25">
      <c r="A27" s="34"/>
    </row>
    <row r="28" spans="1:5" ht="17.100000000000001" customHeight="1" x14ac:dyDescent="0.25">
      <c r="A28" s="34" t="s">
        <v>4</v>
      </c>
      <c r="B28" s="27"/>
      <c r="C28" s="27"/>
      <c r="D28" s="27">
        <v>1651</v>
      </c>
      <c r="E28" s="27">
        <v>1651</v>
      </c>
    </row>
    <row r="29" spans="1:5" ht="17.100000000000001" customHeight="1" x14ac:dyDescent="0.25">
      <c r="A29" s="34" t="s">
        <v>5</v>
      </c>
      <c r="B29" s="27"/>
      <c r="C29" s="27"/>
      <c r="D29" s="27">
        <v>11569</v>
      </c>
      <c r="E29" s="27">
        <v>11369</v>
      </c>
    </row>
    <row r="30" spans="1:5" ht="17.100000000000001" customHeight="1" x14ac:dyDescent="0.25">
      <c r="A30" s="34" t="s">
        <v>49</v>
      </c>
      <c r="B30" s="27"/>
      <c r="C30" s="27"/>
      <c r="D30" s="27">
        <v>39</v>
      </c>
      <c r="E30" s="27">
        <v>0</v>
      </c>
    </row>
    <row r="31" spans="1:5" ht="17.100000000000001" customHeight="1" x14ac:dyDescent="0.25">
      <c r="A31" s="95"/>
      <c r="B31" s="60">
        <f>SUM(B28:B30)</f>
        <v>0</v>
      </c>
      <c r="C31" s="60">
        <f>SUM(C28:C30)</f>
        <v>0</v>
      </c>
      <c r="D31" s="60">
        <f>SUM(D28:D30)</f>
        <v>13259</v>
      </c>
      <c r="E31" s="60">
        <f>SUM(E28:E30)</f>
        <v>13020</v>
      </c>
    </row>
    <row r="32" spans="1:5" ht="17.100000000000001" customHeight="1" x14ac:dyDescent="0.25">
      <c r="A32" s="43" t="s">
        <v>7</v>
      </c>
      <c r="B32" s="29"/>
      <c r="C32" s="29"/>
      <c r="D32" s="29"/>
      <c r="E32" s="29"/>
    </row>
    <row r="33" spans="1:6" ht="17.100000000000001" customHeight="1" x14ac:dyDescent="0.25">
      <c r="A33" s="34"/>
      <c r="B33" s="29"/>
      <c r="C33" s="29"/>
      <c r="D33" s="29"/>
      <c r="E33" s="29"/>
    </row>
    <row r="34" spans="1:6" ht="17.100000000000001" customHeight="1" x14ac:dyDescent="0.25">
      <c r="A34" s="34" t="s">
        <v>8</v>
      </c>
      <c r="B34" s="27"/>
      <c r="C34" s="27"/>
      <c r="D34" s="27">
        <v>0</v>
      </c>
      <c r="E34" s="27">
        <v>22</v>
      </c>
    </row>
    <row r="35" spans="1:6" ht="17.100000000000001" customHeight="1" x14ac:dyDescent="0.25">
      <c r="A35" s="34" t="s">
        <v>9</v>
      </c>
      <c r="B35" s="27"/>
      <c r="C35" s="27"/>
      <c r="D35" s="27">
        <v>6</v>
      </c>
      <c r="E35" s="27">
        <v>17</v>
      </c>
    </row>
    <row r="36" spans="1:6" ht="17.100000000000001" customHeight="1" x14ac:dyDescent="0.25">
      <c r="A36" s="34" t="s">
        <v>10</v>
      </c>
      <c r="B36" s="27"/>
      <c r="C36" s="27"/>
      <c r="D36" s="27">
        <v>13253</v>
      </c>
      <c r="E36" s="27">
        <v>12981</v>
      </c>
    </row>
    <row r="37" spans="1:6" ht="17.100000000000001" customHeight="1" x14ac:dyDescent="0.25">
      <c r="A37" s="34" t="s">
        <v>6</v>
      </c>
      <c r="B37" s="93"/>
      <c r="C37" s="93"/>
      <c r="D37" s="93"/>
      <c r="E37" s="93">
        <v>0</v>
      </c>
    </row>
    <row r="38" spans="1:6" ht="17.100000000000001" customHeight="1" x14ac:dyDescent="0.25">
      <c r="A38" s="95"/>
      <c r="B38" s="60">
        <f>SUM(B34:B37)</f>
        <v>0</v>
      </c>
      <c r="C38" s="60">
        <f>SUM(C34:C37)</f>
        <v>0</v>
      </c>
      <c r="D38" s="60">
        <f>SUM(D34:D37)</f>
        <v>13259</v>
      </c>
      <c r="E38" s="60">
        <f>SUM(E34:E37)</f>
        <v>13020</v>
      </c>
    </row>
    <row r="39" spans="1:6" ht="17.100000000000001" customHeight="1" x14ac:dyDescent="0.25">
      <c r="A39" s="35" t="s">
        <v>66</v>
      </c>
      <c r="B39" s="29"/>
      <c r="C39" s="29"/>
      <c r="D39" s="29"/>
      <c r="E39" s="29"/>
    </row>
    <row r="40" spans="1:6" ht="17.100000000000001" customHeight="1" x14ac:dyDescent="0.25">
      <c r="A40" s="34"/>
      <c r="B40" s="29"/>
      <c r="C40" s="29"/>
      <c r="D40" s="29"/>
      <c r="E40" s="29"/>
    </row>
    <row r="41" spans="1:6" ht="17.100000000000001" customHeight="1" x14ac:dyDescent="0.25">
      <c r="A41" s="34" t="s">
        <v>12</v>
      </c>
      <c r="B41" s="27"/>
      <c r="C41" s="27"/>
      <c r="D41" s="27">
        <v>443</v>
      </c>
      <c r="E41" s="27">
        <v>550</v>
      </c>
      <c r="F41" s="2"/>
    </row>
    <row r="42" spans="1:6" ht="17.100000000000001" customHeight="1" x14ac:dyDescent="0.25">
      <c r="A42" s="34" t="s">
        <v>19</v>
      </c>
      <c r="B42" s="27"/>
      <c r="C42" s="27"/>
      <c r="D42" s="27">
        <f>2522+276</f>
        <v>2798</v>
      </c>
      <c r="E42" s="27">
        <f>5883+74</f>
        <v>5957</v>
      </c>
    </row>
    <row r="43" spans="1:6" ht="17.100000000000001" customHeight="1" x14ac:dyDescent="0.25">
      <c r="A43" s="34" t="s">
        <v>13</v>
      </c>
      <c r="B43" s="27"/>
      <c r="C43" s="27"/>
      <c r="D43" s="27">
        <v>0</v>
      </c>
      <c r="E43" s="27">
        <v>37</v>
      </c>
    </row>
    <row r="44" spans="1:6" ht="17.100000000000001" customHeight="1" x14ac:dyDescent="0.25">
      <c r="A44" s="95"/>
      <c r="B44" s="60">
        <f>SUM(B41:B43)</f>
        <v>0</v>
      </c>
      <c r="C44" s="60">
        <f>SUM(C41:C43)</f>
        <v>0</v>
      </c>
      <c r="D44" s="60">
        <f>SUM(D41:D43)</f>
        <v>3241</v>
      </c>
      <c r="E44" s="60">
        <f>SUM(E41:E43)</f>
        <v>6544</v>
      </c>
    </row>
    <row r="45" spans="1:6" ht="17.100000000000001" customHeight="1" x14ac:dyDescent="0.25">
      <c r="A45" s="34" t="s">
        <v>20</v>
      </c>
      <c r="B45" s="27"/>
      <c r="C45" s="27"/>
      <c r="D45" s="27">
        <v>3159</v>
      </c>
      <c r="E45" s="27">
        <v>7455</v>
      </c>
    </row>
    <row r="46" spans="1:6" ht="17.100000000000001" customHeight="1" x14ac:dyDescent="0.25">
      <c r="A46" s="34" t="s">
        <v>14</v>
      </c>
      <c r="B46" s="27"/>
      <c r="C46" s="27"/>
      <c r="D46" s="27">
        <v>0</v>
      </c>
      <c r="E46" s="27">
        <v>0</v>
      </c>
    </row>
    <row r="47" spans="1:6" ht="17.100000000000001" customHeight="1" x14ac:dyDescent="0.25">
      <c r="A47" s="34" t="s">
        <v>15</v>
      </c>
      <c r="B47" s="27"/>
      <c r="C47" s="27"/>
      <c r="D47" s="27">
        <v>0</v>
      </c>
      <c r="E47" s="27">
        <v>0</v>
      </c>
    </row>
    <row r="48" spans="1:6" ht="17.100000000000001" customHeight="1" x14ac:dyDescent="0.25">
      <c r="A48" s="34" t="s">
        <v>16</v>
      </c>
      <c r="B48" s="27"/>
      <c r="C48" s="27"/>
      <c r="D48" s="27">
        <v>21</v>
      </c>
      <c r="E48" s="27">
        <v>159</v>
      </c>
    </row>
    <row r="49" spans="1:5" ht="17.100000000000001" customHeight="1" x14ac:dyDescent="0.25">
      <c r="A49" s="34" t="s">
        <v>17</v>
      </c>
      <c r="B49" s="27"/>
      <c r="C49" s="27"/>
      <c r="D49" s="27">
        <v>121</v>
      </c>
      <c r="E49" s="27">
        <v>109</v>
      </c>
    </row>
    <row r="50" spans="1:5" ht="17.100000000000001" customHeight="1" x14ac:dyDescent="0.25">
      <c r="A50" s="34" t="s">
        <v>18</v>
      </c>
      <c r="B50" s="27"/>
      <c r="C50" s="27"/>
      <c r="D50" s="27">
        <v>0</v>
      </c>
      <c r="E50" s="27">
        <v>0</v>
      </c>
    </row>
    <row r="51" spans="1:5" ht="17.100000000000001" customHeight="1" x14ac:dyDescent="0.25">
      <c r="A51" s="95"/>
      <c r="B51" s="60">
        <f>SUM(B45:B50)</f>
        <v>0</v>
      </c>
      <c r="C51" s="60">
        <f>SUM(C45:C50)</f>
        <v>0</v>
      </c>
      <c r="D51" s="60">
        <f>SUM(D45:D50)</f>
        <v>3301</v>
      </c>
      <c r="E51" s="60">
        <f>SUM(E45:E50)</f>
        <v>7723</v>
      </c>
    </row>
    <row r="52" spans="1:5" ht="17.100000000000001" customHeight="1" x14ac:dyDescent="0.25">
      <c r="A52" s="34"/>
      <c r="B52" s="29"/>
      <c r="C52" s="29"/>
      <c r="D52" s="29"/>
      <c r="E52" s="29"/>
    </row>
    <row r="53" spans="1:5" ht="17.100000000000001" customHeight="1" x14ac:dyDescent="0.25">
      <c r="A53" s="96" t="s">
        <v>56</v>
      </c>
      <c r="B53" s="60">
        <f>SUM(B44-B51)</f>
        <v>0</v>
      </c>
      <c r="C53" s="60">
        <f>SUM(C44-C51)</f>
        <v>0</v>
      </c>
      <c r="D53" s="60">
        <f>SUM(D44-D51)</f>
        <v>-60</v>
      </c>
      <c r="E53" s="60">
        <f>SUM(E44-E51)</f>
        <v>-1179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F54"/>
  <sheetViews>
    <sheetView topLeftCell="A22" workbookViewId="0">
      <selection activeCell="E2" sqref="E2"/>
    </sheetView>
  </sheetViews>
  <sheetFormatPr baseColWidth="10" defaultRowHeight="12.75" x14ac:dyDescent="0.2"/>
  <cols>
    <col min="1" max="1" width="43.5703125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$E$24</f>
        <v>2017</v>
      </c>
      <c r="C2" s="1">
        <f>$D$24</f>
        <v>2018</v>
      </c>
    </row>
    <row r="3" spans="1:5" x14ac:dyDescent="0.2">
      <c r="A3" s="14"/>
      <c r="B3" s="2">
        <f>E54</f>
        <v>-106</v>
      </c>
      <c r="C3" s="2">
        <f>D54</f>
        <v>-62</v>
      </c>
      <c r="D3" s="2"/>
      <c r="E3" s="2"/>
    </row>
    <row r="4" spans="1:5" x14ac:dyDescent="0.2">
      <c r="B4" s="26"/>
      <c r="C4" s="26"/>
      <c r="D4" s="26"/>
      <c r="E4" s="26"/>
    </row>
    <row r="5" spans="1:5" x14ac:dyDescent="0.2">
      <c r="A5" s="1" t="s">
        <v>0</v>
      </c>
      <c r="B5" s="1">
        <f>$E$24</f>
        <v>2017</v>
      </c>
      <c r="C5" s="1">
        <f>$D$24</f>
        <v>2018</v>
      </c>
    </row>
    <row r="6" spans="1:5" x14ac:dyDescent="0.2">
      <c r="B6" s="3">
        <f>E35/E39</f>
        <v>0</v>
      </c>
      <c r="C6" s="3">
        <f>D35/D39</f>
        <v>0.17970049916805325</v>
      </c>
      <c r="D6" s="3"/>
      <c r="E6" s="3"/>
    </row>
    <row r="7" spans="1:5" ht="15.75" x14ac:dyDescent="0.25">
      <c r="A7" s="29"/>
    </row>
    <row r="8" spans="1:5" ht="15.75" x14ac:dyDescent="0.25">
      <c r="A8" s="29"/>
    </row>
    <row r="9" spans="1:5" ht="15.75" x14ac:dyDescent="0.25">
      <c r="A9" s="29"/>
    </row>
    <row r="10" spans="1:5" ht="15.75" x14ac:dyDescent="0.25">
      <c r="A10" s="29"/>
    </row>
    <row r="11" spans="1:5" ht="15.75" x14ac:dyDescent="0.25">
      <c r="A11" s="29"/>
    </row>
    <row r="12" spans="1:5" ht="15.75" x14ac:dyDescent="0.25">
      <c r="A12" s="29"/>
    </row>
    <row r="13" spans="1:5" ht="15.75" x14ac:dyDescent="0.25">
      <c r="A13" s="29"/>
    </row>
    <row r="14" spans="1:5" ht="15.75" x14ac:dyDescent="0.25">
      <c r="A14" s="29"/>
    </row>
    <row r="15" spans="1:5" ht="15.75" x14ac:dyDescent="0.25">
      <c r="A15" s="29"/>
    </row>
    <row r="16" spans="1:5" ht="15.75" x14ac:dyDescent="0.25">
      <c r="A16" s="29"/>
    </row>
    <row r="17" spans="1:5" ht="15.75" x14ac:dyDescent="0.25">
      <c r="A17" s="29"/>
    </row>
    <row r="18" spans="1:5" ht="15.75" x14ac:dyDescent="0.25">
      <c r="A18" s="29"/>
    </row>
    <row r="19" spans="1:5" ht="15.75" x14ac:dyDescent="0.25">
      <c r="A19" s="29"/>
    </row>
    <row r="20" spans="1:5" ht="15.75" x14ac:dyDescent="0.25">
      <c r="A20" s="29"/>
    </row>
    <row r="21" spans="1:5" ht="15.75" x14ac:dyDescent="0.25">
      <c r="A21" s="29"/>
    </row>
    <row r="22" spans="1:5" ht="15.75" x14ac:dyDescent="0.25">
      <c r="A22" s="29"/>
    </row>
    <row r="23" spans="1:5" ht="15.75" x14ac:dyDescent="0.25">
      <c r="A23" s="29"/>
    </row>
    <row r="24" spans="1:5" ht="15.75" x14ac:dyDescent="0.25">
      <c r="A24" s="59"/>
      <c r="B24" s="94"/>
      <c r="C24" s="94"/>
      <c r="D24" s="94">
        <v>2018</v>
      </c>
      <c r="E24" s="94">
        <v>2017</v>
      </c>
    </row>
    <row r="25" spans="1:5" ht="15.75" x14ac:dyDescent="0.25">
      <c r="A25" s="35" t="s">
        <v>2</v>
      </c>
    </row>
    <row r="26" spans="1:5" ht="17.100000000000001" customHeight="1" x14ac:dyDescent="0.25">
      <c r="A26" s="43" t="s">
        <v>48</v>
      </c>
    </row>
    <row r="27" spans="1:5" ht="17.100000000000001" customHeight="1" x14ac:dyDescent="0.25">
      <c r="A27" s="34"/>
    </row>
    <row r="28" spans="1:5" ht="17.100000000000001" customHeight="1" x14ac:dyDescent="0.25">
      <c r="A28" s="34" t="s">
        <v>4</v>
      </c>
      <c r="B28" s="27"/>
      <c r="C28" s="27"/>
      <c r="D28" s="27">
        <v>5299</v>
      </c>
      <c r="E28" s="27">
        <v>4945</v>
      </c>
    </row>
    <row r="29" spans="1:5" ht="17.100000000000001" customHeight="1" x14ac:dyDescent="0.25">
      <c r="A29" s="34" t="s">
        <v>5</v>
      </c>
      <c r="B29" s="27"/>
      <c r="C29" s="27"/>
      <c r="D29" s="27">
        <v>92</v>
      </c>
      <c r="E29" s="27">
        <v>954</v>
      </c>
    </row>
    <row r="30" spans="1:5" ht="17.100000000000001" customHeight="1" x14ac:dyDescent="0.25">
      <c r="A30" s="34" t="s">
        <v>6</v>
      </c>
      <c r="B30" s="27"/>
      <c r="C30" s="27"/>
      <c r="D30" s="27">
        <v>18</v>
      </c>
      <c r="E30" s="27">
        <v>0</v>
      </c>
    </row>
    <row r="31" spans="1:5" ht="30" customHeight="1" x14ac:dyDescent="0.25">
      <c r="A31" s="34" t="s">
        <v>90</v>
      </c>
      <c r="B31" s="27"/>
      <c r="C31" s="27"/>
      <c r="D31" s="27">
        <v>0</v>
      </c>
      <c r="E31" s="27">
        <v>106</v>
      </c>
    </row>
    <row r="32" spans="1:5" ht="17.100000000000001" customHeight="1" x14ac:dyDescent="0.25">
      <c r="A32" s="95"/>
      <c r="B32" s="60"/>
      <c r="C32" s="60"/>
      <c r="D32" s="60">
        <f>SUM(D28:D31)</f>
        <v>5409</v>
      </c>
      <c r="E32" s="60">
        <f>SUM(E28:E31)</f>
        <v>6005</v>
      </c>
    </row>
    <row r="33" spans="1:6" ht="17.100000000000001" customHeight="1" x14ac:dyDescent="0.25">
      <c r="A33" s="43" t="s">
        <v>7</v>
      </c>
      <c r="B33" s="29"/>
      <c r="C33" s="29"/>
      <c r="D33" s="29"/>
      <c r="E33" s="29"/>
    </row>
    <row r="34" spans="1:6" ht="17.100000000000001" customHeight="1" x14ac:dyDescent="0.25">
      <c r="A34" s="34"/>
      <c r="B34" s="29"/>
      <c r="C34" s="29"/>
      <c r="D34" s="29"/>
      <c r="E34" s="29"/>
    </row>
    <row r="35" spans="1:6" ht="17.100000000000001" customHeight="1" x14ac:dyDescent="0.25">
      <c r="A35" s="34" t="s">
        <v>8</v>
      </c>
      <c r="B35" s="27"/>
      <c r="C35" s="27"/>
      <c r="D35" s="27">
        <v>972</v>
      </c>
      <c r="E35" s="27">
        <v>0</v>
      </c>
    </row>
    <row r="36" spans="1:6" ht="17.100000000000001" customHeight="1" x14ac:dyDescent="0.25">
      <c r="A36" s="34" t="s">
        <v>9</v>
      </c>
      <c r="B36" s="27"/>
      <c r="C36" s="27"/>
      <c r="D36" s="27">
        <v>17</v>
      </c>
      <c r="E36" s="27">
        <v>11</v>
      </c>
    </row>
    <row r="37" spans="1:6" ht="17.100000000000001" customHeight="1" x14ac:dyDescent="0.25">
      <c r="A37" s="34" t="s">
        <v>10</v>
      </c>
      <c r="B37" s="27"/>
      <c r="C37" s="27"/>
      <c r="D37" s="27">
        <v>4420</v>
      </c>
      <c r="E37" s="27">
        <v>5994</v>
      </c>
    </row>
    <row r="38" spans="1:6" ht="17.100000000000001" customHeight="1" x14ac:dyDescent="0.25">
      <c r="A38" s="34" t="s">
        <v>6</v>
      </c>
      <c r="B38" s="93"/>
      <c r="C38" s="93"/>
      <c r="D38" s="93">
        <v>0</v>
      </c>
      <c r="E38" s="93">
        <v>0</v>
      </c>
    </row>
    <row r="39" spans="1:6" ht="17.100000000000001" customHeight="1" x14ac:dyDescent="0.25">
      <c r="A39" s="95"/>
      <c r="B39" s="60"/>
      <c r="C39" s="60"/>
      <c r="D39" s="60">
        <f>SUM(D35:D38)</f>
        <v>5409</v>
      </c>
      <c r="E39" s="60">
        <f>SUM(E35:E38)</f>
        <v>6005</v>
      </c>
    </row>
    <row r="40" spans="1:6" ht="17.100000000000001" customHeight="1" x14ac:dyDescent="0.25">
      <c r="A40" s="35" t="s">
        <v>66</v>
      </c>
      <c r="B40" s="29"/>
      <c r="C40" s="29"/>
      <c r="D40" s="29"/>
      <c r="E40" s="29"/>
    </row>
    <row r="41" spans="1:6" ht="17.100000000000001" customHeight="1" x14ac:dyDescent="0.25">
      <c r="A41" s="34"/>
      <c r="B41" s="29"/>
      <c r="C41" s="29"/>
      <c r="D41" s="29"/>
      <c r="E41" s="29"/>
    </row>
    <row r="42" spans="1:6" ht="17.100000000000001" customHeight="1" x14ac:dyDescent="0.25">
      <c r="A42" s="34" t="s">
        <v>12</v>
      </c>
      <c r="B42" s="27"/>
      <c r="C42" s="27"/>
      <c r="D42" s="27">
        <v>551</v>
      </c>
      <c r="E42" s="27">
        <v>262</v>
      </c>
      <c r="F42" s="2"/>
    </row>
    <row r="43" spans="1:6" ht="17.100000000000001" customHeight="1" x14ac:dyDescent="0.25">
      <c r="A43" s="34" t="s">
        <v>19</v>
      </c>
      <c r="B43" s="27"/>
      <c r="C43" s="27"/>
      <c r="D43" s="27">
        <v>0</v>
      </c>
      <c r="E43" s="27">
        <v>0</v>
      </c>
    </row>
    <row r="44" spans="1:6" ht="17.100000000000001" customHeight="1" x14ac:dyDescent="0.25">
      <c r="A44" s="34" t="s">
        <v>13</v>
      </c>
      <c r="B44" s="27"/>
      <c r="C44" s="27"/>
      <c r="D44" s="27">
        <v>0</v>
      </c>
      <c r="E44" s="27">
        <v>0</v>
      </c>
    </row>
    <row r="45" spans="1:6" ht="17.100000000000001" customHeight="1" x14ac:dyDescent="0.25">
      <c r="A45" s="95"/>
      <c r="B45" s="60"/>
      <c r="C45" s="60"/>
      <c r="D45" s="60">
        <f>SUM(D42:D44)</f>
        <v>551</v>
      </c>
      <c r="E45" s="60">
        <f>SUM(E42:E44)</f>
        <v>262</v>
      </c>
    </row>
    <row r="46" spans="1:6" ht="17.100000000000001" customHeight="1" x14ac:dyDescent="0.25">
      <c r="A46" s="34" t="s">
        <v>20</v>
      </c>
      <c r="B46" s="27"/>
      <c r="C46" s="27"/>
      <c r="D46" s="27">
        <v>59</v>
      </c>
      <c r="E46" s="27">
        <v>16</v>
      </c>
    </row>
    <row r="47" spans="1:6" ht="17.100000000000001" customHeight="1" x14ac:dyDescent="0.25">
      <c r="A47" s="34" t="s">
        <v>14</v>
      </c>
      <c r="B47" s="27"/>
      <c r="C47" s="27"/>
      <c r="D47" s="27">
        <v>0</v>
      </c>
      <c r="E47" s="27">
        <v>0</v>
      </c>
    </row>
    <row r="48" spans="1:6" ht="17.100000000000001" customHeight="1" x14ac:dyDescent="0.25">
      <c r="A48" s="34" t="s">
        <v>15</v>
      </c>
      <c r="B48" s="27"/>
      <c r="C48" s="27"/>
      <c r="D48" s="27">
        <v>354</v>
      </c>
      <c r="E48" s="27">
        <v>160</v>
      </c>
    </row>
    <row r="49" spans="1:5" ht="17.100000000000001" customHeight="1" x14ac:dyDescent="0.25">
      <c r="A49" s="34" t="s">
        <v>16</v>
      </c>
      <c r="B49" s="27"/>
      <c r="C49" s="27"/>
      <c r="D49" s="27">
        <v>89</v>
      </c>
      <c r="E49" s="27">
        <v>88</v>
      </c>
    </row>
    <row r="50" spans="1:5" ht="17.100000000000001" customHeight="1" x14ac:dyDescent="0.25">
      <c r="A50" s="34" t="s">
        <v>17</v>
      </c>
      <c r="B50" s="27"/>
      <c r="C50" s="27"/>
      <c r="D50" s="27">
        <v>111</v>
      </c>
      <c r="E50" s="27">
        <v>104</v>
      </c>
    </row>
    <row r="51" spans="1:5" ht="17.100000000000001" customHeight="1" x14ac:dyDescent="0.25">
      <c r="A51" s="34" t="s">
        <v>18</v>
      </c>
      <c r="B51" s="27"/>
      <c r="C51" s="27"/>
      <c r="D51" s="27">
        <v>0</v>
      </c>
      <c r="E51" s="27">
        <v>0</v>
      </c>
    </row>
    <row r="52" spans="1:5" ht="17.100000000000001" customHeight="1" x14ac:dyDescent="0.25">
      <c r="A52" s="95"/>
      <c r="B52" s="60"/>
      <c r="C52" s="60"/>
      <c r="D52" s="60">
        <f>SUM(D46:D51)</f>
        <v>613</v>
      </c>
      <c r="E52" s="60">
        <f>SUM(E46:E51)</f>
        <v>368</v>
      </c>
    </row>
    <row r="53" spans="1:5" ht="17.100000000000001" customHeight="1" x14ac:dyDescent="0.25">
      <c r="A53" s="34"/>
      <c r="B53" s="29"/>
      <c r="C53" s="29"/>
      <c r="D53" s="29"/>
      <c r="E53" s="29"/>
    </row>
    <row r="54" spans="1:5" ht="17.100000000000001" customHeight="1" x14ac:dyDescent="0.25">
      <c r="A54" s="96" t="s">
        <v>56</v>
      </c>
      <c r="B54" s="60"/>
      <c r="C54" s="60"/>
      <c r="D54" s="60">
        <f>SUM(D45-D52)</f>
        <v>-62</v>
      </c>
      <c r="E54" s="60">
        <f>SUM(E45-E52)</f>
        <v>-106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F53"/>
  <sheetViews>
    <sheetView topLeftCell="A20" workbookViewId="0">
      <selection activeCell="J20" sqref="J20"/>
    </sheetView>
  </sheetViews>
  <sheetFormatPr baseColWidth="10" defaultRowHeight="12.75" x14ac:dyDescent="0.2"/>
  <cols>
    <col min="1" max="1" width="43.5703125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$E$24</f>
        <v>2017</v>
      </c>
      <c r="C2" s="1">
        <f>$D$24</f>
        <v>2018</v>
      </c>
    </row>
    <row r="3" spans="1:5" x14ac:dyDescent="0.2">
      <c r="A3" s="14"/>
      <c r="B3" s="2">
        <f>E53</f>
        <v>123</v>
      </c>
      <c r="C3" s="2"/>
      <c r="D3" s="2"/>
      <c r="E3" s="2"/>
    </row>
    <row r="4" spans="1:5" x14ac:dyDescent="0.2">
      <c r="B4" s="26"/>
      <c r="C4" s="26"/>
      <c r="D4" s="26"/>
      <c r="E4" s="26"/>
    </row>
    <row r="5" spans="1:5" x14ac:dyDescent="0.2">
      <c r="A5" s="1" t="s">
        <v>0</v>
      </c>
      <c r="B5" s="1">
        <f>$E$24</f>
        <v>2017</v>
      </c>
      <c r="C5" s="1">
        <f>$D$24</f>
        <v>2018</v>
      </c>
    </row>
    <row r="6" spans="1:5" x14ac:dyDescent="0.2">
      <c r="B6" s="3">
        <f>E34/E38</f>
        <v>3.7641154328732745E-2</v>
      </c>
      <c r="C6" s="3"/>
      <c r="D6" s="3"/>
      <c r="E6" s="3"/>
    </row>
    <row r="7" spans="1:5" ht="15.75" x14ac:dyDescent="0.25">
      <c r="A7" s="29"/>
    </row>
    <row r="8" spans="1:5" ht="15.75" x14ac:dyDescent="0.25">
      <c r="A8" s="29"/>
    </row>
    <row r="9" spans="1:5" ht="15.75" x14ac:dyDescent="0.25">
      <c r="A9" s="29"/>
    </row>
    <row r="10" spans="1:5" ht="15.75" x14ac:dyDescent="0.25">
      <c r="A10" s="29"/>
    </row>
    <row r="11" spans="1:5" ht="15.75" x14ac:dyDescent="0.25">
      <c r="A11" s="29"/>
    </row>
    <row r="12" spans="1:5" ht="15.75" x14ac:dyDescent="0.25">
      <c r="A12" s="29"/>
    </row>
    <row r="13" spans="1:5" ht="15.75" x14ac:dyDescent="0.25">
      <c r="A13" s="29"/>
    </row>
    <row r="14" spans="1:5" ht="15.75" x14ac:dyDescent="0.25">
      <c r="A14" s="29"/>
    </row>
    <row r="15" spans="1:5" ht="15.75" x14ac:dyDescent="0.25">
      <c r="A15" s="29"/>
    </row>
    <row r="16" spans="1:5" ht="15.75" x14ac:dyDescent="0.25">
      <c r="A16" s="29"/>
    </row>
    <row r="17" spans="1:5" ht="15.75" x14ac:dyDescent="0.25">
      <c r="A17" s="29"/>
    </row>
    <row r="18" spans="1:5" ht="15.75" x14ac:dyDescent="0.25">
      <c r="A18" s="29"/>
    </row>
    <row r="19" spans="1:5" ht="15.75" x14ac:dyDescent="0.25">
      <c r="A19" s="29"/>
    </row>
    <row r="20" spans="1:5" ht="15.75" x14ac:dyDescent="0.25">
      <c r="A20" s="29"/>
    </row>
    <row r="21" spans="1:5" ht="15.75" x14ac:dyDescent="0.25">
      <c r="A21" s="29"/>
    </row>
    <row r="22" spans="1:5" ht="15.75" x14ac:dyDescent="0.25">
      <c r="A22" s="29"/>
    </row>
    <row r="23" spans="1:5" ht="15.75" x14ac:dyDescent="0.25">
      <c r="A23" s="29"/>
    </row>
    <row r="24" spans="1:5" ht="15.75" x14ac:dyDescent="0.25">
      <c r="A24" s="59"/>
      <c r="B24" s="94"/>
      <c r="C24" s="94"/>
      <c r="D24" s="169">
        <v>2018</v>
      </c>
      <c r="E24" s="169">
        <v>2017</v>
      </c>
    </row>
    <row r="25" spans="1:5" ht="15.75" x14ac:dyDescent="0.25">
      <c r="A25" s="35" t="s">
        <v>2</v>
      </c>
    </row>
    <row r="26" spans="1:5" ht="17.100000000000001" customHeight="1" x14ac:dyDescent="0.25">
      <c r="A26" s="43" t="s">
        <v>48</v>
      </c>
    </row>
    <row r="27" spans="1:5" ht="17.100000000000001" customHeight="1" x14ac:dyDescent="0.25">
      <c r="A27" s="34"/>
    </row>
    <row r="28" spans="1:5" ht="17.100000000000001" customHeight="1" x14ac:dyDescent="0.25">
      <c r="A28" s="34" t="s">
        <v>4</v>
      </c>
      <c r="B28" s="27"/>
      <c r="C28" s="27"/>
      <c r="D28" s="27"/>
      <c r="E28" s="27">
        <v>4353</v>
      </c>
    </row>
    <row r="29" spans="1:5" ht="17.100000000000001" customHeight="1" x14ac:dyDescent="0.25">
      <c r="A29" s="34" t="s">
        <v>5</v>
      </c>
      <c r="B29" s="27"/>
      <c r="C29" s="27"/>
      <c r="D29" s="27"/>
      <c r="E29" s="27">
        <f>229+200</f>
        <v>429</v>
      </c>
    </row>
    <row r="30" spans="1:5" ht="17.100000000000001" customHeight="1" x14ac:dyDescent="0.25">
      <c r="A30" s="34" t="s">
        <v>6</v>
      </c>
      <c r="B30" s="27"/>
      <c r="C30" s="27"/>
      <c r="D30" s="27"/>
      <c r="E30" s="27">
        <v>0</v>
      </c>
    </row>
    <row r="31" spans="1:5" ht="17.100000000000001" customHeight="1" x14ac:dyDescent="0.25">
      <c r="A31" s="95"/>
      <c r="B31" s="60"/>
      <c r="C31" s="60"/>
      <c r="D31" s="60"/>
      <c r="E31" s="60">
        <f>SUM(E28:E30)</f>
        <v>4782</v>
      </c>
    </row>
    <row r="32" spans="1:5" ht="17.100000000000001" customHeight="1" x14ac:dyDescent="0.25">
      <c r="A32" s="43" t="s">
        <v>7</v>
      </c>
      <c r="B32" s="29"/>
      <c r="C32" s="29"/>
      <c r="D32" s="29"/>
      <c r="E32" s="29"/>
    </row>
    <row r="33" spans="1:6" ht="17.100000000000001" customHeight="1" x14ac:dyDescent="0.25">
      <c r="A33" s="34"/>
      <c r="B33" s="29"/>
      <c r="C33" s="29"/>
      <c r="D33" s="29"/>
      <c r="E33" s="29"/>
    </row>
    <row r="34" spans="1:6" ht="17.100000000000001" customHeight="1" x14ac:dyDescent="0.25">
      <c r="A34" s="34" t="s">
        <v>8</v>
      </c>
      <c r="B34" s="27"/>
      <c r="C34" s="27"/>
      <c r="D34" s="27"/>
      <c r="E34" s="27">
        <f>56+124</f>
        <v>180</v>
      </c>
    </row>
    <row r="35" spans="1:6" ht="17.100000000000001" customHeight="1" x14ac:dyDescent="0.25">
      <c r="A35" s="34" t="s">
        <v>9</v>
      </c>
      <c r="B35" s="27"/>
      <c r="C35" s="27"/>
      <c r="D35" s="27"/>
      <c r="E35" s="27">
        <v>5</v>
      </c>
    </row>
    <row r="36" spans="1:6" ht="17.100000000000001" customHeight="1" x14ac:dyDescent="0.25">
      <c r="A36" s="34" t="s">
        <v>10</v>
      </c>
      <c r="B36" s="27"/>
      <c r="C36" s="27"/>
      <c r="D36" s="27"/>
      <c r="E36" s="27">
        <v>4597</v>
      </c>
    </row>
    <row r="37" spans="1:6" ht="17.100000000000001" customHeight="1" x14ac:dyDescent="0.25">
      <c r="A37" s="34" t="s">
        <v>6</v>
      </c>
      <c r="B37" s="93"/>
      <c r="C37" s="93"/>
      <c r="D37" s="93"/>
      <c r="E37" s="93">
        <v>0</v>
      </c>
    </row>
    <row r="38" spans="1:6" ht="17.100000000000001" customHeight="1" x14ac:dyDescent="0.25">
      <c r="A38" s="95"/>
      <c r="B38" s="60"/>
      <c r="C38" s="60"/>
      <c r="D38" s="60"/>
      <c r="E38" s="60">
        <f>SUM(E34:E37)</f>
        <v>4782</v>
      </c>
    </row>
    <row r="39" spans="1:6" ht="17.100000000000001" customHeight="1" x14ac:dyDescent="0.25">
      <c r="A39" s="35" t="s">
        <v>66</v>
      </c>
      <c r="B39" s="29"/>
      <c r="C39" s="29"/>
      <c r="D39" s="29"/>
      <c r="E39" s="29"/>
    </row>
    <row r="40" spans="1:6" ht="17.100000000000001" customHeight="1" x14ac:dyDescent="0.25">
      <c r="A40" s="34"/>
      <c r="B40" s="29"/>
      <c r="C40" s="29"/>
      <c r="D40" s="29"/>
      <c r="E40" s="29"/>
    </row>
    <row r="41" spans="1:6" ht="17.100000000000001" customHeight="1" x14ac:dyDescent="0.25">
      <c r="A41" s="34" t="s">
        <v>12</v>
      </c>
      <c r="B41" s="27"/>
      <c r="C41" s="27"/>
      <c r="D41" s="27"/>
      <c r="E41" s="27">
        <v>665</v>
      </c>
      <c r="F41" s="2"/>
    </row>
    <row r="42" spans="1:6" ht="17.100000000000001" customHeight="1" x14ac:dyDescent="0.25">
      <c r="A42" s="34" t="s">
        <v>19</v>
      </c>
      <c r="B42" s="27"/>
      <c r="C42" s="27"/>
      <c r="D42" s="27"/>
      <c r="E42" s="27">
        <v>0</v>
      </c>
    </row>
    <row r="43" spans="1:6" ht="17.100000000000001" customHeight="1" x14ac:dyDescent="0.25">
      <c r="A43" s="34" t="s">
        <v>13</v>
      </c>
      <c r="B43" s="27"/>
      <c r="C43" s="27"/>
      <c r="D43" s="27"/>
      <c r="E43" s="27">
        <v>0</v>
      </c>
    </row>
    <row r="44" spans="1:6" ht="17.100000000000001" customHeight="1" x14ac:dyDescent="0.25">
      <c r="A44" s="95"/>
      <c r="B44" s="60"/>
      <c r="C44" s="60"/>
      <c r="D44" s="60"/>
      <c r="E44" s="60">
        <f>SUM(E41:E43)</f>
        <v>665</v>
      </c>
    </row>
    <row r="45" spans="1:6" ht="17.100000000000001" customHeight="1" x14ac:dyDescent="0.25">
      <c r="A45" s="34" t="s">
        <v>20</v>
      </c>
      <c r="B45" s="27"/>
      <c r="C45" s="27"/>
      <c r="D45" s="27"/>
      <c r="E45" s="27">
        <v>0</v>
      </c>
    </row>
    <row r="46" spans="1:6" ht="17.100000000000001" customHeight="1" x14ac:dyDescent="0.25">
      <c r="A46" s="34" t="s">
        <v>14</v>
      </c>
      <c r="B46" s="27"/>
      <c r="C46" s="27"/>
      <c r="D46" s="27"/>
      <c r="E46" s="27">
        <v>0</v>
      </c>
    </row>
    <row r="47" spans="1:6" ht="17.100000000000001" customHeight="1" x14ac:dyDescent="0.25">
      <c r="A47" s="34" t="s">
        <v>15</v>
      </c>
      <c r="B47" s="27"/>
      <c r="C47" s="27"/>
      <c r="D47" s="27"/>
      <c r="E47" s="27">
        <v>299</v>
      </c>
    </row>
    <row r="48" spans="1:6" ht="17.100000000000001" customHeight="1" x14ac:dyDescent="0.25">
      <c r="A48" s="34" t="s">
        <v>16</v>
      </c>
      <c r="B48" s="27"/>
      <c r="C48" s="27"/>
      <c r="D48" s="27"/>
      <c r="E48" s="27">
        <v>153</v>
      </c>
    </row>
    <row r="49" spans="1:5" ht="17.100000000000001" customHeight="1" x14ac:dyDescent="0.25">
      <c r="A49" s="34" t="s">
        <v>17</v>
      </c>
      <c r="B49" s="27"/>
      <c r="C49" s="27"/>
      <c r="D49" s="27"/>
      <c r="E49" s="27">
        <v>90</v>
      </c>
    </row>
    <row r="50" spans="1:5" ht="17.100000000000001" customHeight="1" x14ac:dyDescent="0.25">
      <c r="A50" s="34" t="s">
        <v>18</v>
      </c>
      <c r="B50" s="27"/>
      <c r="C50" s="27"/>
      <c r="D50" s="27"/>
      <c r="E50" s="27">
        <v>0</v>
      </c>
    </row>
    <row r="51" spans="1:5" ht="17.100000000000001" customHeight="1" x14ac:dyDescent="0.25">
      <c r="A51" s="95"/>
      <c r="B51" s="60"/>
      <c r="C51" s="60"/>
      <c r="D51" s="60"/>
      <c r="E51" s="60">
        <f>SUM(E45:E50)</f>
        <v>542</v>
      </c>
    </row>
    <row r="52" spans="1:5" ht="17.100000000000001" customHeight="1" x14ac:dyDescent="0.25">
      <c r="A52" s="34"/>
      <c r="B52" s="29"/>
      <c r="C52" s="29"/>
      <c r="D52" s="29"/>
      <c r="E52" s="29"/>
    </row>
    <row r="53" spans="1:5" ht="17.100000000000001" customHeight="1" x14ac:dyDescent="0.25">
      <c r="A53" s="96" t="s">
        <v>56</v>
      </c>
      <c r="B53" s="60"/>
      <c r="C53" s="60"/>
      <c r="D53" s="60"/>
      <c r="E53" s="60">
        <f>E44-E51</f>
        <v>123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6"/>
  </sheetPr>
  <dimension ref="A2:I56"/>
  <sheetViews>
    <sheetView topLeftCell="A23" workbookViewId="0">
      <selection activeCell="I31" sqref="I31"/>
    </sheetView>
  </sheetViews>
  <sheetFormatPr baseColWidth="10" defaultRowHeight="12.75" x14ac:dyDescent="0.2"/>
  <cols>
    <col min="1" max="1" width="36.7109375" style="1" customWidth="1"/>
    <col min="2" max="16384" width="11.42578125" style="1"/>
  </cols>
  <sheetData>
    <row r="2" spans="1:5" x14ac:dyDescent="0.2">
      <c r="A2" s="1" t="s">
        <v>32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A3" s="14"/>
      <c r="B3" s="2">
        <f>E55</f>
        <v>-46026</v>
      </c>
      <c r="C3" s="2">
        <f>D55</f>
        <v>-44514</v>
      </c>
      <c r="D3" s="2">
        <f>C55</f>
        <v>-51867</v>
      </c>
      <c r="E3" s="2">
        <f>B55</f>
        <v>-53495</v>
      </c>
    </row>
    <row r="5" spans="1:5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E36/E41</f>
        <v>0.15013248696968814</v>
      </c>
      <c r="C6" s="3">
        <f>D36/D41</f>
        <v>0.25984788284708821</v>
      </c>
      <c r="D6" s="3">
        <f>C36/C41</f>
        <v>0.25940910481759766</v>
      </c>
      <c r="E6" s="3">
        <f>B36/B41</f>
        <v>0.2361973160803009</v>
      </c>
    </row>
    <row r="26" spans="1:9" ht="15.75" x14ac:dyDescent="0.25">
      <c r="A26" s="61" t="s">
        <v>52</v>
      </c>
      <c r="B26" s="55">
        <v>2018</v>
      </c>
      <c r="C26" s="55">
        <v>2017</v>
      </c>
      <c r="D26" s="55">
        <v>2016</v>
      </c>
      <c r="E26" s="55">
        <v>2015</v>
      </c>
    </row>
    <row r="27" spans="1:9" ht="17.100000000000001" customHeight="1" x14ac:dyDescent="0.25">
      <c r="A27" s="35" t="s">
        <v>2</v>
      </c>
      <c r="B27" s="35"/>
      <c r="C27" s="35"/>
      <c r="D27" s="35"/>
      <c r="E27" s="35"/>
    </row>
    <row r="28" spans="1:9" ht="17.100000000000001" customHeight="1" x14ac:dyDescent="0.25">
      <c r="A28" s="36" t="s">
        <v>48</v>
      </c>
      <c r="B28" s="29"/>
      <c r="C28" s="29"/>
      <c r="D28" s="29"/>
      <c r="E28" s="29"/>
      <c r="F28" s="11"/>
    </row>
    <row r="29" spans="1:9" ht="17.100000000000001" customHeight="1" x14ac:dyDescent="0.25">
      <c r="A29" s="36"/>
      <c r="B29" s="29"/>
      <c r="C29" s="29"/>
      <c r="D29" s="29"/>
      <c r="E29" s="29"/>
      <c r="F29" s="7"/>
    </row>
    <row r="30" spans="1:9" ht="17.100000000000001" customHeight="1" x14ac:dyDescent="0.25">
      <c r="A30" s="8" t="s">
        <v>4</v>
      </c>
      <c r="B30" s="9">
        <v>133795</v>
      </c>
      <c r="C30" s="9">
        <v>135930</v>
      </c>
      <c r="D30" s="9">
        <v>145913</v>
      </c>
      <c r="E30" s="9">
        <v>154693</v>
      </c>
      <c r="F30" s="15"/>
    </row>
    <row r="31" spans="1:9" ht="17.100000000000001" customHeight="1" x14ac:dyDescent="0.25">
      <c r="A31" s="8" t="s">
        <v>5</v>
      </c>
      <c r="B31" s="9">
        <v>59987</v>
      </c>
      <c r="C31" s="9">
        <v>40513</v>
      </c>
      <c r="D31" s="9">
        <v>30211</v>
      </c>
      <c r="E31" s="9">
        <v>16976</v>
      </c>
      <c r="F31" s="15"/>
      <c r="I31" s="1" t="s">
        <v>87</v>
      </c>
    </row>
    <row r="32" spans="1:9" ht="17.100000000000001" customHeight="1" x14ac:dyDescent="0.25">
      <c r="A32" s="8" t="s">
        <v>6</v>
      </c>
      <c r="B32" s="9">
        <v>39</v>
      </c>
      <c r="C32" s="9">
        <v>35</v>
      </c>
      <c r="D32" s="9">
        <v>56</v>
      </c>
      <c r="E32" s="9">
        <v>46</v>
      </c>
      <c r="F32" s="15"/>
    </row>
    <row r="33" spans="1:6" ht="17.100000000000001" customHeight="1" x14ac:dyDescent="0.25">
      <c r="A33" s="56"/>
      <c r="B33" s="60">
        <f>SUM(B30:B32)</f>
        <v>193821</v>
      </c>
      <c r="C33" s="60">
        <f>SUM(C30:C32)</f>
        <v>176478</v>
      </c>
      <c r="D33" s="60">
        <f>SUM(D30:D32)</f>
        <v>176180</v>
      </c>
      <c r="E33" s="60">
        <f>SUM(E30:E32)</f>
        <v>171715</v>
      </c>
      <c r="F33" s="17"/>
    </row>
    <row r="34" spans="1:6" ht="17.100000000000001" customHeight="1" x14ac:dyDescent="0.25">
      <c r="A34" s="36" t="s">
        <v>7</v>
      </c>
      <c r="B34" s="29"/>
      <c r="C34" s="29"/>
      <c r="D34" s="29"/>
      <c r="E34" s="29"/>
      <c r="F34" s="18"/>
    </row>
    <row r="35" spans="1:6" ht="17.100000000000001" customHeight="1" x14ac:dyDescent="0.25">
      <c r="A35" s="36"/>
      <c r="B35" s="29"/>
      <c r="C35" s="29"/>
      <c r="D35" s="29"/>
      <c r="E35" s="29"/>
      <c r="F35" s="18"/>
    </row>
    <row r="36" spans="1:6" ht="17.100000000000001" customHeight="1" x14ac:dyDescent="0.25">
      <c r="A36" s="8" t="s">
        <v>8</v>
      </c>
      <c r="B36" s="9">
        <v>45780</v>
      </c>
      <c r="C36" s="9">
        <v>45780</v>
      </c>
      <c r="D36" s="9">
        <v>45780</v>
      </c>
      <c r="E36" s="9">
        <v>25780</v>
      </c>
      <c r="F36" s="15"/>
    </row>
    <row r="37" spans="1:6" ht="17.100000000000001" customHeight="1" x14ac:dyDescent="0.25">
      <c r="A37" s="8" t="s">
        <v>30</v>
      </c>
      <c r="B37" s="9">
        <v>0</v>
      </c>
      <c r="C37" s="9">
        <v>0</v>
      </c>
      <c r="D37" s="9">
        <v>0</v>
      </c>
      <c r="E37" s="9">
        <v>0</v>
      </c>
      <c r="F37" s="15"/>
    </row>
    <row r="38" spans="1:6" ht="17.100000000000001" customHeight="1" x14ac:dyDescent="0.25">
      <c r="A38" s="8" t="s">
        <v>9</v>
      </c>
      <c r="B38" s="9">
        <v>21109</v>
      </c>
      <c r="C38" s="9">
        <v>23003</v>
      </c>
      <c r="D38" s="9">
        <v>20890</v>
      </c>
      <c r="E38" s="9">
        <v>21188</v>
      </c>
      <c r="F38" s="15"/>
    </row>
    <row r="39" spans="1:6" ht="17.100000000000001" customHeight="1" x14ac:dyDescent="0.25">
      <c r="A39" s="8" t="s">
        <v>10</v>
      </c>
      <c r="B39" s="9">
        <v>125000</v>
      </c>
      <c r="C39" s="9">
        <v>106127</v>
      </c>
      <c r="D39" s="9">
        <v>109280</v>
      </c>
      <c r="E39" s="9">
        <v>124578</v>
      </c>
      <c r="F39" s="15"/>
    </row>
    <row r="40" spans="1:6" ht="17.100000000000001" customHeight="1" x14ac:dyDescent="0.25">
      <c r="A40" s="8" t="s">
        <v>6</v>
      </c>
      <c r="B40" s="9">
        <v>1932</v>
      </c>
      <c r="C40" s="9">
        <v>1568</v>
      </c>
      <c r="D40" s="9">
        <v>230</v>
      </c>
      <c r="E40" s="9">
        <v>169</v>
      </c>
      <c r="F40" s="15"/>
    </row>
    <row r="41" spans="1:6" ht="17.100000000000001" customHeight="1" x14ac:dyDescent="0.25">
      <c r="A41" s="56"/>
      <c r="B41" s="60">
        <f>SUM(B36:B40)</f>
        <v>193821</v>
      </c>
      <c r="C41" s="60">
        <f>SUM(C36:C40)</f>
        <v>176478</v>
      </c>
      <c r="D41" s="60">
        <f>SUM(D36:D40)</f>
        <v>176180</v>
      </c>
      <c r="E41" s="60">
        <f>SUM(E36:E40)</f>
        <v>171715</v>
      </c>
      <c r="F41" s="17"/>
    </row>
    <row r="42" spans="1:6" ht="17.100000000000001" customHeight="1" x14ac:dyDescent="0.25">
      <c r="A42" s="35" t="s">
        <v>66</v>
      </c>
      <c r="B42" s="29"/>
      <c r="C42" s="29"/>
      <c r="D42" s="29"/>
      <c r="E42" s="29"/>
      <c r="F42" s="2"/>
    </row>
    <row r="43" spans="1:6" ht="17.100000000000001" customHeight="1" x14ac:dyDescent="0.25">
      <c r="A43" s="8" t="s">
        <v>12</v>
      </c>
      <c r="B43" s="9">
        <v>90680</v>
      </c>
      <c r="C43" s="9">
        <v>88325</v>
      </c>
      <c r="D43" s="9">
        <v>87949</v>
      </c>
      <c r="E43" s="9">
        <v>71679</v>
      </c>
      <c r="F43" s="15"/>
    </row>
    <row r="44" spans="1:6" ht="17.100000000000001" customHeight="1" x14ac:dyDescent="0.25">
      <c r="A44" s="8" t="s">
        <v>19</v>
      </c>
      <c r="B44" s="45">
        <f>250+5251</f>
        <v>5501</v>
      </c>
      <c r="C44" s="45">
        <f>383+4767</f>
        <v>5150</v>
      </c>
      <c r="D44" s="45">
        <f>119+5185</f>
        <v>5304</v>
      </c>
      <c r="E44" s="45">
        <f>171+18835</f>
        <v>19006</v>
      </c>
      <c r="F44" s="15"/>
    </row>
    <row r="45" spans="1:6" ht="17.100000000000001" customHeight="1" x14ac:dyDescent="0.25">
      <c r="A45" s="8" t="s">
        <v>13</v>
      </c>
      <c r="B45" s="9">
        <v>1421</v>
      </c>
      <c r="C45" s="9">
        <v>1261</v>
      </c>
      <c r="D45" s="9">
        <v>1352</v>
      </c>
      <c r="E45" s="9">
        <v>658</v>
      </c>
      <c r="F45" s="15"/>
    </row>
    <row r="46" spans="1:6" ht="17.100000000000001" customHeight="1" x14ac:dyDescent="0.25">
      <c r="A46" s="56"/>
      <c r="B46" s="60">
        <f>SUM(B43:B45)</f>
        <v>97602</v>
      </c>
      <c r="C46" s="60">
        <f>SUM(C43:C45)</f>
        <v>94736</v>
      </c>
      <c r="D46" s="60">
        <f>SUM(D43:D45)</f>
        <v>94605</v>
      </c>
      <c r="E46" s="60">
        <f>SUM(E43:E45)</f>
        <v>91343</v>
      </c>
      <c r="F46" s="17"/>
    </row>
    <row r="47" spans="1:6" ht="17.100000000000001" customHeight="1" x14ac:dyDescent="0.25">
      <c r="A47" s="8" t="s">
        <v>20</v>
      </c>
      <c r="B47" s="9">
        <f>13720+26222</f>
        <v>39942</v>
      </c>
      <c r="C47" s="9">
        <f>12236+23291</f>
        <v>35527</v>
      </c>
      <c r="D47" s="9">
        <f>12799+20250</f>
        <v>33049</v>
      </c>
      <c r="E47" s="9">
        <f>12887+29602</f>
        <v>42489</v>
      </c>
      <c r="F47" s="15"/>
    </row>
    <row r="48" spans="1:6" ht="17.100000000000001" customHeight="1" x14ac:dyDescent="0.25">
      <c r="A48" s="8" t="s">
        <v>14</v>
      </c>
      <c r="B48" s="9">
        <f>63291+15767</f>
        <v>79058</v>
      </c>
      <c r="C48" s="9">
        <f>63805+15511</f>
        <v>79316</v>
      </c>
      <c r="D48" s="9">
        <f>60645+15026</f>
        <v>75671</v>
      </c>
      <c r="E48" s="9">
        <f>39087+9802</f>
        <v>48889</v>
      </c>
      <c r="F48" s="15"/>
    </row>
    <row r="49" spans="1:6" ht="17.100000000000001" customHeight="1" x14ac:dyDescent="0.25">
      <c r="A49" s="8" t="s">
        <v>15</v>
      </c>
      <c r="B49" s="9">
        <v>5734</v>
      </c>
      <c r="C49" s="9">
        <v>5585</v>
      </c>
      <c r="D49" s="9">
        <v>5089</v>
      </c>
      <c r="E49" s="9">
        <v>5165</v>
      </c>
      <c r="F49" s="15"/>
    </row>
    <row r="50" spans="1:6" ht="17.100000000000001" customHeight="1" x14ac:dyDescent="0.25">
      <c r="A50" s="8" t="s">
        <v>16</v>
      </c>
      <c r="B50" s="9">
        <v>24693</v>
      </c>
      <c r="C50" s="9">
        <v>24163</v>
      </c>
      <c r="D50" s="9">
        <v>22703</v>
      </c>
      <c r="E50" s="9">
        <v>37958</v>
      </c>
      <c r="F50" s="15"/>
    </row>
    <row r="51" spans="1:6" ht="17.100000000000001" customHeight="1" x14ac:dyDescent="0.25">
      <c r="A51" s="8" t="s">
        <v>17</v>
      </c>
      <c r="B51" s="9">
        <v>1525</v>
      </c>
      <c r="C51" s="9">
        <v>1751</v>
      </c>
      <c r="D51" s="9">
        <v>2326</v>
      </c>
      <c r="E51" s="9">
        <v>2583</v>
      </c>
      <c r="F51" s="15"/>
    </row>
    <row r="52" spans="1:6" ht="17.100000000000001" customHeight="1" x14ac:dyDescent="0.25">
      <c r="A52" s="8" t="s">
        <v>18</v>
      </c>
      <c r="B52" s="9">
        <v>145</v>
      </c>
      <c r="C52" s="9">
        <v>261</v>
      </c>
      <c r="D52" s="9">
        <v>281</v>
      </c>
      <c r="E52" s="9">
        <v>285</v>
      </c>
      <c r="F52" s="15"/>
    </row>
    <row r="53" spans="1:6" ht="17.100000000000001" customHeight="1" x14ac:dyDescent="0.25">
      <c r="A53" s="56"/>
      <c r="B53" s="60">
        <f>SUM(B47:B52)</f>
        <v>151097</v>
      </c>
      <c r="C53" s="60">
        <f>SUM(C47:C52)</f>
        <v>146603</v>
      </c>
      <c r="D53" s="60">
        <f>SUM(D47:D52)</f>
        <v>139119</v>
      </c>
      <c r="E53" s="60">
        <f>SUM(E47:E52)</f>
        <v>137369</v>
      </c>
      <c r="F53" s="17"/>
    </row>
    <row r="54" spans="1:6" ht="17.100000000000001" customHeight="1" x14ac:dyDescent="0.25">
      <c r="A54" s="8"/>
      <c r="B54" s="29"/>
      <c r="C54" s="29"/>
      <c r="D54" s="29"/>
      <c r="E54" s="29"/>
      <c r="F54" s="18"/>
    </row>
    <row r="55" spans="1:6" ht="17.100000000000001" customHeight="1" x14ac:dyDescent="0.25">
      <c r="A55" s="58" t="s">
        <v>58</v>
      </c>
      <c r="B55" s="60">
        <f>SUM(B46-B53)</f>
        <v>-53495</v>
      </c>
      <c r="C55" s="60">
        <f>SUM(C46-C53)</f>
        <v>-51867</v>
      </c>
      <c r="D55" s="60">
        <f>SUM(D46-D53)</f>
        <v>-44514</v>
      </c>
      <c r="E55" s="60">
        <f>SUM(E46-E53)</f>
        <v>-46026</v>
      </c>
      <c r="F55" s="17"/>
    </row>
    <row r="56" spans="1:6" ht="15.75" x14ac:dyDescent="0.25">
      <c r="A56" s="29" t="s">
        <v>65</v>
      </c>
      <c r="B56" s="29"/>
      <c r="C56" s="29"/>
      <c r="D56" s="29"/>
      <c r="E56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rgb="FF92D050"/>
  </sheetPr>
  <dimension ref="A2:G58"/>
  <sheetViews>
    <sheetView topLeftCell="A24" workbookViewId="0">
      <selection activeCell="A26" sqref="A26:E54"/>
    </sheetView>
  </sheetViews>
  <sheetFormatPr baseColWidth="10" defaultRowHeight="12.75" x14ac:dyDescent="0.2"/>
  <cols>
    <col min="1" max="1" width="37.7109375" style="1" customWidth="1"/>
    <col min="2" max="16384" width="11.42578125" style="1"/>
  </cols>
  <sheetData>
    <row r="2" spans="1:6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6" x14ac:dyDescent="0.2">
      <c r="A3" s="14"/>
      <c r="B3" s="2">
        <f>E54</f>
        <v>122</v>
      </c>
      <c r="C3" s="2">
        <f>D54</f>
        <v>104</v>
      </c>
      <c r="D3" s="2">
        <f>C54</f>
        <v>83</v>
      </c>
      <c r="E3" s="2"/>
    </row>
    <row r="5" spans="1:6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6" x14ac:dyDescent="0.2">
      <c r="B6" s="3">
        <f>4316/E40</f>
        <v>0.13094660194174756</v>
      </c>
      <c r="C6" s="3">
        <f>4399/D40</f>
        <v>0.1229767129797881</v>
      </c>
      <c r="D6" s="3">
        <f>4521/C40</f>
        <v>0.10473035581912528</v>
      </c>
      <c r="E6" s="3"/>
      <c r="F6" s="2"/>
    </row>
    <row r="26" spans="1:7" ht="15.75" x14ac:dyDescent="0.25">
      <c r="A26" s="61"/>
      <c r="B26" s="55">
        <v>2018</v>
      </c>
      <c r="C26" s="55">
        <v>2017</v>
      </c>
      <c r="D26" s="55">
        <v>2016</v>
      </c>
      <c r="E26" s="55">
        <v>2015</v>
      </c>
    </row>
    <row r="27" spans="1:7" ht="17.100000000000001" customHeight="1" x14ac:dyDescent="0.25">
      <c r="A27" s="35" t="s">
        <v>2</v>
      </c>
    </row>
    <row r="28" spans="1:7" ht="17.100000000000001" customHeight="1" x14ac:dyDescent="0.2">
      <c r="A28" s="36" t="s">
        <v>48</v>
      </c>
      <c r="F28" s="11"/>
    </row>
    <row r="29" spans="1:7" ht="17.100000000000001" customHeight="1" x14ac:dyDescent="0.2">
      <c r="A29" s="36"/>
      <c r="F29" s="7"/>
    </row>
    <row r="30" spans="1:7" ht="17.100000000000001" customHeight="1" x14ac:dyDescent="0.2">
      <c r="A30" s="8" t="s">
        <v>4</v>
      </c>
      <c r="B30" s="24"/>
      <c r="C30" s="24">
        <v>41179</v>
      </c>
      <c r="D30" s="24">
        <v>35120</v>
      </c>
      <c r="E30" s="24">
        <v>31058</v>
      </c>
      <c r="F30" s="15"/>
    </row>
    <row r="31" spans="1:7" ht="17.100000000000001" customHeight="1" x14ac:dyDescent="0.2">
      <c r="A31" s="8" t="s">
        <v>5</v>
      </c>
      <c r="B31" s="24"/>
      <c r="C31" s="24">
        <v>1973</v>
      </c>
      <c r="D31" s="24">
        <v>595</v>
      </c>
      <c r="E31" s="24">
        <v>1840</v>
      </c>
      <c r="F31" s="15"/>
      <c r="G31" s="2"/>
    </row>
    <row r="32" spans="1:7" ht="17.100000000000001" customHeight="1" x14ac:dyDescent="0.2">
      <c r="A32" s="8" t="s">
        <v>6</v>
      </c>
      <c r="B32" s="24"/>
      <c r="C32" s="24">
        <v>16</v>
      </c>
      <c r="D32" s="24">
        <v>56</v>
      </c>
      <c r="E32" s="24">
        <v>62</v>
      </c>
      <c r="F32" s="15"/>
    </row>
    <row r="33" spans="1:7" ht="17.100000000000001" customHeight="1" x14ac:dyDescent="0.2">
      <c r="A33" s="56"/>
      <c r="B33" s="57"/>
      <c r="C33" s="57">
        <f>SUM(C30:C32)</f>
        <v>43168</v>
      </c>
      <c r="D33" s="57">
        <f>SUM(D30:D32)</f>
        <v>35771</v>
      </c>
      <c r="E33" s="57">
        <f>SUM(E30:E32)</f>
        <v>32960</v>
      </c>
      <c r="F33" s="17"/>
      <c r="G33" s="2"/>
    </row>
    <row r="34" spans="1:7" ht="17.100000000000001" customHeight="1" x14ac:dyDescent="0.25">
      <c r="A34" s="36" t="s">
        <v>7</v>
      </c>
      <c r="B34" s="29"/>
      <c r="C34" s="29"/>
      <c r="D34" s="29"/>
      <c r="E34" s="29"/>
      <c r="F34" s="18"/>
    </row>
    <row r="35" spans="1:7" ht="17.100000000000001" customHeight="1" x14ac:dyDescent="0.25">
      <c r="A35" s="36"/>
      <c r="B35" s="29"/>
      <c r="C35" s="29"/>
      <c r="D35" s="29"/>
      <c r="E35" s="29"/>
      <c r="F35" s="18"/>
    </row>
    <row r="36" spans="1:7" ht="17.100000000000001" customHeight="1" x14ac:dyDescent="0.2">
      <c r="A36" s="8" t="s">
        <v>33</v>
      </c>
      <c r="B36" s="24"/>
      <c r="C36" s="24">
        <f>4707+21642</f>
        <v>26349</v>
      </c>
      <c r="D36" s="24">
        <f>4624+14989</f>
        <v>19613</v>
      </c>
      <c r="E36" s="24">
        <f>4521+16978</f>
        <v>21499</v>
      </c>
      <c r="F36" s="111"/>
    </row>
    <row r="37" spans="1:7" ht="17.100000000000001" customHeight="1" x14ac:dyDescent="0.2">
      <c r="A37" s="8" t="s">
        <v>9</v>
      </c>
      <c r="B37" s="24"/>
      <c r="C37" s="24">
        <v>210</v>
      </c>
      <c r="D37" s="24">
        <v>202</v>
      </c>
      <c r="E37" s="24">
        <v>241</v>
      </c>
      <c r="F37" s="15"/>
    </row>
    <row r="38" spans="1:7" ht="17.100000000000001" customHeight="1" x14ac:dyDescent="0.2">
      <c r="A38" s="8" t="s">
        <v>10</v>
      </c>
      <c r="B38" s="24"/>
      <c r="C38" s="24">
        <v>16336</v>
      </c>
      <c r="D38" s="24">
        <v>15649</v>
      </c>
      <c r="E38" s="24">
        <v>10879</v>
      </c>
      <c r="F38" s="15"/>
    </row>
    <row r="39" spans="1:7" ht="17.100000000000001" customHeight="1" x14ac:dyDescent="0.2">
      <c r="A39" s="8" t="s">
        <v>6</v>
      </c>
      <c r="B39" s="24"/>
      <c r="C39" s="24">
        <v>273</v>
      </c>
      <c r="D39" s="24">
        <v>307</v>
      </c>
      <c r="E39" s="24">
        <v>341</v>
      </c>
      <c r="F39" s="15"/>
    </row>
    <row r="40" spans="1:7" ht="17.100000000000001" customHeight="1" x14ac:dyDescent="0.2">
      <c r="A40" s="56"/>
      <c r="B40" s="57"/>
      <c r="C40" s="57">
        <f>SUM(C36:C39)</f>
        <v>43168</v>
      </c>
      <c r="D40" s="57">
        <f>SUM(D36:D39)</f>
        <v>35771</v>
      </c>
      <c r="E40" s="57">
        <f>SUM(E36:E39)</f>
        <v>32960</v>
      </c>
      <c r="F40" s="17"/>
    </row>
    <row r="41" spans="1:7" ht="17.100000000000001" customHeight="1" x14ac:dyDescent="0.25">
      <c r="A41" s="35" t="s">
        <v>66</v>
      </c>
      <c r="B41" s="29"/>
      <c r="C41" s="29"/>
      <c r="D41" s="29"/>
      <c r="E41" s="29"/>
      <c r="F41" s="2"/>
    </row>
    <row r="42" spans="1:7" ht="17.100000000000001" customHeight="1" x14ac:dyDescent="0.2">
      <c r="A42" s="8" t="s">
        <v>12</v>
      </c>
      <c r="B42" s="24"/>
      <c r="C42" s="24">
        <v>4096</v>
      </c>
      <c r="D42" s="24">
        <f>4141+320</f>
        <v>4461</v>
      </c>
      <c r="E42" s="24">
        <f>3885+154</f>
        <v>4039</v>
      </c>
      <c r="F42" s="15"/>
    </row>
    <row r="43" spans="1:7" ht="17.100000000000001" customHeight="1" x14ac:dyDescent="0.2">
      <c r="A43" s="8" t="s">
        <v>19</v>
      </c>
      <c r="B43" s="24"/>
      <c r="C43" s="24">
        <f>416+2235</f>
        <v>2651</v>
      </c>
      <c r="D43" s="24">
        <v>2176</v>
      </c>
      <c r="E43" s="24">
        <v>2326</v>
      </c>
      <c r="F43" s="15"/>
    </row>
    <row r="44" spans="1:7" ht="17.100000000000001" customHeight="1" x14ac:dyDescent="0.2">
      <c r="A44" s="8" t="s">
        <v>13</v>
      </c>
      <c r="B44" s="24"/>
      <c r="C44" s="24">
        <v>0</v>
      </c>
      <c r="D44" s="24">
        <v>0</v>
      </c>
      <c r="E44" s="24">
        <v>-15</v>
      </c>
      <c r="F44" s="15"/>
    </row>
    <row r="45" spans="1:7" ht="17.100000000000001" customHeight="1" x14ac:dyDescent="0.2">
      <c r="A45" s="56"/>
      <c r="B45" s="57"/>
      <c r="C45" s="57">
        <f>SUM(C42:C44)</f>
        <v>6747</v>
      </c>
      <c r="D45" s="57">
        <f>SUM(D42:D44)</f>
        <v>6637</v>
      </c>
      <c r="E45" s="57">
        <f>SUM(E42:E44)</f>
        <v>6350</v>
      </c>
      <c r="F45" s="17"/>
    </row>
    <row r="46" spans="1:7" ht="17.100000000000001" customHeight="1" x14ac:dyDescent="0.2">
      <c r="A46" s="8" t="s">
        <v>20</v>
      </c>
      <c r="B46" s="24"/>
      <c r="C46" s="24">
        <v>0</v>
      </c>
      <c r="D46" s="24">
        <v>0</v>
      </c>
      <c r="E46" s="24">
        <v>0</v>
      </c>
      <c r="F46" s="15"/>
    </row>
    <row r="47" spans="1:7" ht="17.100000000000001" customHeight="1" x14ac:dyDescent="0.2">
      <c r="A47" s="8" t="s">
        <v>14</v>
      </c>
      <c r="B47" s="24"/>
      <c r="C47" s="24">
        <f>988+248</f>
        <v>1236</v>
      </c>
      <c r="D47" s="24">
        <v>1078</v>
      </c>
      <c r="E47" s="24">
        <v>1024</v>
      </c>
      <c r="F47" s="15"/>
    </row>
    <row r="48" spans="1:7" ht="17.100000000000001" customHeight="1" x14ac:dyDescent="0.2">
      <c r="A48" s="8" t="s">
        <v>15</v>
      </c>
      <c r="B48" s="24"/>
      <c r="C48" s="24">
        <v>2364</v>
      </c>
      <c r="D48" s="24">
        <v>2277</v>
      </c>
      <c r="E48" s="24">
        <v>2277</v>
      </c>
      <c r="F48" s="15"/>
    </row>
    <row r="49" spans="1:6" ht="17.100000000000001" customHeight="1" x14ac:dyDescent="0.2">
      <c r="A49" s="8" t="s">
        <v>38</v>
      </c>
      <c r="B49" s="24"/>
      <c r="C49" s="24">
        <v>2480</v>
      </c>
      <c r="D49" s="24">
        <v>2720</v>
      </c>
      <c r="E49" s="24">
        <v>2559</v>
      </c>
      <c r="F49" s="15"/>
    </row>
    <row r="50" spans="1:6" ht="17.100000000000001" customHeight="1" x14ac:dyDescent="0.2">
      <c r="A50" s="8" t="s">
        <v>17</v>
      </c>
      <c r="B50" s="24"/>
      <c r="C50" s="24">
        <v>567</v>
      </c>
      <c r="D50" s="24">
        <v>442</v>
      </c>
      <c r="E50" s="24">
        <v>367</v>
      </c>
      <c r="F50" s="15"/>
    </row>
    <row r="51" spans="1:6" ht="17.100000000000001" customHeight="1" x14ac:dyDescent="0.2">
      <c r="A51" s="8" t="s">
        <v>18</v>
      </c>
      <c r="B51" s="24"/>
      <c r="C51" s="24">
        <v>17</v>
      </c>
      <c r="D51" s="24">
        <v>16</v>
      </c>
      <c r="E51" s="24">
        <v>1</v>
      </c>
      <c r="F51" s="15"/>
    </row>
    <row r="52" spans="1:6" ht="17.100000000000001" customHeight="1" x14ac:dyDescent="0.2">
      <c r="A52" s="56"/>
      <c r="B52" s="57"/>
      <c r="C52" s="57">
        <f>SUM(C46:C51)</f>
        <v>6664</v>
      </c>
      <c r="D52" s="57">
        <f>SUM(D46:D51)</f>
        <v>6533</v>
      </c>
      <c r="E52" s="57">
        <f>SUM(E46:E51)</f>
        <v>6228</v>
      </c>
      <c r="F52" s="17"/>
    </row>
    <row r="53" spans="1:6" ht="17.100000000000001" customHeight="1" x14ac:dyDescent="0.25">
      <c r="A53" s="8"/>
      <c r="B53" s="29"/>
      <c r="C53" s="29"/>
      <c r="D53" s="29"/>
      <c r="E53" s="29"/>
      <c r="F53" s="18"/>
    </row>
    <row r="54" spans="1:6" ht="17.100000000000001" customHeight="1" x14ac:dyDescent="0.2">
      <c r="A54" s="58" t="s">
        <v>56</v>
      </c>
      <c r="B54" s="57"/>
      <c r="C54" s="57">
        <f>SUM(C45-C52)</f>
        <v>83</v>
      </c>
      <c r="D54" s="57">
        <f>SUM(D45-D52)</f>
        <v>104</v>
      </c>
      <c r="E54" s="57">
        <f>SUM(E45-E52)</f>
        <v>122</v>
      </c>
      <c r="F54" s="17"/>
    </row>
    <row r="56" spans="1:6" ht="15" customHeight="1" x14ac:dyDescent="0.2">
      <c r="B56" s="2"/>
    </row>
    <row r="57" spans="1:6" ht="15" customHeight="1" x14ac:dyDescent="0.2"/>
    <row r="58" spans="1:6" ht="15" customHeight="1" x14ac:dyDescent="0.2"/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6"/>
  </sheetPr>
  <dimension ref="A2:F56"/>
  <sheetViews>
    <sheetView topLeftCell="A22" workbookViewId="0">
      <selection activeCell="A55" sqref="A55"/>
    </sheetView>
  </sheetViews>
  <sheetFormatPr baseColWidth="10" defaultRowHeight="12.75" x14ac:dyDescent="0.2"/>
  <cols>
    <col min="1" max="1" width="36.140625" style="1" customWidth="1"/>
    <col min="2" max="6" width="10.7109375" style="1" customWidth="1"/>
    <col min="7" max="16384" width="11.42578125" style="1"/>
  </cols>
  <sheetData>
    <row r="2" spans="1:5" x14ac:dyDescent="0.2">
      <c r="A2" s="1" t="s">
        <v>1</v>
      </c>
      <c r="B2" s="1">
        <f>$E$28</f>
        <v>2015</v>
      </c>
      <c r="C2" s="1">
        <f>$D$28</f>
        <v>2016</v>
      </c>
      <c r="D2" s="1">
        <f>$C$28</f>
        <v>2017</v>
      </c>
      <c r="E2" s="1">
        <f>$B$28</f>
        <v>2018</v>
      </c>
    </row>
    <row r="3" spans="1:5" x14ac:dyDescent="0.2">
      <c r="A3" s="14"/>
      <c r="B3" s="2">
        <f>E56</f>
        <v>410</v>
      </c>
      <c r="C3" s="2">
        <f>D56</f>
        <v>-18</v>
      </c>
      <c r="D3" s="2">
        <f>C56</f>
        <v>-10</v>
      </c>
      <c r="E3" s="2">
        <f>B56</f>
        <v>4</v>
      </c>
    </row>
    <row r="5" spans="1:5" x14ac:dyDescent="0.2">
      <c r="A5" s="1" t="s">
        <v>0</v>
      </c>
      <c r="B5" s="1">
        <f>$E$28</f>
        <v>2015</v>
      </c>
      <c r="C5" s="1">
        <f>$D$28</f>
        <v>2016</v>
      </c>
      <c r="D5" s="1">
        <f>$C$28</f>
        <v>2017</v>
      </c>
      <c r="E5" s="1">
        <f>$B$28</f>
        <v>2018</v>
      </c>
    </row>
    <row r="6" spans="1:5" x14ac:dyDescent="0.2">
      <c r="B6" s="3">
        <f>E38/E42</f>
        <v>0.52664067576348284</v>
      </c>
      <c r="C6" s="3">
        <f>D38/D42</f>
        <v>0.3663535439795047</v>
      </c>
      <c r="D6" s="3">
        <f>C38/C42</f>
        <v>0.41832669322709165</v>
      </c>
      <c r="E6" s="3">
        <f>B38/B42</f>
        <v>0.35600335852225024</v>
      </c>
    </row>
    <row r="27" spans="1:6" ht="17.100000000000001" customHeight="1" x14ac:dyDescent="0.25">
      <c r="B27" s="4"/>
    </row>
    <row r="28" spans="1:6" ht="17.100000000000001" customHeight="1" x14ac:dyDescent="0.25">
      <c r="A28" s="66"/>
      <c r="B28" s="66">
        <v>2018</v>
      </c>
      <c r="C28" s="66">
        <v>2017</v>
      </c>
      <c r="D28" s="66">
        <v>2016</v>
      </c>
      <c r="E28" s="66">
        <v>2015</v>
      </c>
    </row>
    <row r="29" spans="1:6" ht="17.100000000000001" customHeight="1" x14ac:dyDescent="0.25">
      <c r="A29" s="71" t="s">
        <v>2</v>
      </c>
      <c r="B29" s="33"/>
      <c r="C29" s="33"/>
      <c r="D29" s="33"/>
      <c r="E29" s="33"/>
    </row>
    <row r="30" spans="1:6" ht="17.100000000000001" customHeight="1" x14ac:dyDescent="0.2">
      <c r="A30" s="73" t="s">
        <v>48</v>
      </c>
      <c r="B30" s="33"/>
      <c r="C30" s="33"/>
      <c r="D30" s="33"/>
      <c r="E30" s="33"/>
      <c r="F30" s="11"/>
    </row>
    <row r="31" spans="1:6" ht="17.100000000000001" customHeight="1" x14ac:dyDescent="0.2">
      <c r="A31" s="73"/>
      <c r="B31" s="33"/>
      <c r="C31" s="33"/>
      <c r="D31" s="33"/>
      <c r="E31" s="33"/>
      <c r="F31" s="7"/>
    </row>
    <row r="32" spans="1:6" ht="17.100000000000001" customHeight="1" x14ac:dyDescent="0.2">
      <c r="A32" s="74" t="s">
        <v>4</v>
      </c>
      <c r="B32" s="74">
        <v>170</v>
      </c>
      <c r="C32" s="74">
        <v>172</v>
      </c>
      <c r="D32" s="74">
        <v>174</v>
      </c>
      <c r="E32" s="74">
        <v>216</v>
      </c>
      <c r="F32" s="15"/>
    </row>
    <row r="33" spans="1:6" ht="17.100000000000001" customHeight="1" x14ac:dyDescent="0.2">
      <c r="A33" s="74" t="s">
        <v>5</v>
      </c>
      <c r="B33" s="53">
        <v>1021</v>
      </c>
      <c r="C33" s="53">
        <v>832</v>
      </c>
      <c r="D33" s="53">
        <v>997</v>
      </c>
      <c r="E33" s="53">
        <v>5936</v>
      </c>
      <c r="F33" s="15"/>
    </row>
    <row r="34" spans="1:6" ht="17.100000000000001" customHeight="1" x14ac:dyDescent="0.2">
      <c r="A34" s="74" t="s">
        <v>6</v>
      </c>
      <c r="B34" s="74">
        <v>0</v>
      </c>
      <c r="C34" s="74">
        <v>0</v>
      </c>
      <c r="D34" s="74">
        <v>0</v>
      </c>
      <c r="E34" s="74">
        <v>4</v>
      </c>
      <c r="F34" s="16"/>
    </row>
    <row r="35" spans="1:6" ht="17.100000000000001" customHeight="1" x14ac:dyDescent="0.2">
      <c r="A35" s="68"/>
      <c r="B35" s="69">
        <f>SUM(B32:B34)</f>
        <v>1191</v>
      </c>
      <c r="C35" s="69">
        <f>SUM(C32:C34)</f>
        <v>1004</v>
      </c>
      <c r="D35" s="69">
        <f>SUM(D32:D34)</f>
        <v>1171</v>
      </c>
      <c r="E35" s="69">
        <f>SUM(E32:E34)</f>
        <v>6156</v>
      </c>
      <c r="F35" s="17"/>
    </row>
    <row r="36" spans="1:6" ht="17.100000000000001" customHeight="1" x14ac:dyDescent="0.2">
      <c r="A36" s="73" t="s">
        <v>7</v>
      </c>
      <c r="B36" s="73"/>
      <c r="C36" s="73"/>
      <c r="D36" s="73"/>
      <c r="E36" s="73"/>
      <c r="F36" s="18"/>
    </row>
    <row r="37" spans="1:6" ht="17.100000000000001" customHeight="1" x14ac:dyDescent="0.2">
      <c r="A37" s="73"/>
      <c r="B37" s="73"/>
      <c r="C37" s="73"/>
      <c r="D37" s="73"/>
      <c r="E37" s="73"/>
      <c r="F37" s="18"/>
    </row>
    <row r="38" spans="1:6" ht="17.100000000000001" customHeight="1" x14ac:dyDescent="0.2">
      <c r="A38" s="74" t="s">
        <v>8</v>
      </c>
      <c r="B38" s="53">
        <v>424</v>
      </c>
      <c r="C38" s="53">
        <v>420</v>
      </c>
      <c r="D38" s="53">
        <v>429</v>
      </c>
      <c r="E38" s="53">
        <v>3242</v>
      </c>
      <c r="F38" s="15"/>
    </row>
    <row r="39" spans="1:6" ht="17.100000000000001" customHeight="1" x14ac:dyDescent="0.2">
      <c r="A39" s="74" t="s">
        <v>9</v>
      </c>
      <c r="B39" s="53">
        <v>13</v>
      </c>
      <c r="C39" s="53">
        <v>13</v>
      </c>
      <c r="D39" s="53">
        <v>44</v>
      </c>
      <c r="E39" s="53">
        <v>1457</v>
      </c>
      <c r="F39" s="15"/>
    </row>
    <row r="40" spans="1:6" ht="17.100000000000001" customHeight="1" x14ac:dyDescent="0.2">
      <c r="A40" s="74" t="s">
        <v>10</v>
      </c>
      <c r="B40" s="53">
        <v>754</v>
      </c>
      <c r="C40" s="53">
        <v>571</v>
      </c>
      <c r="D40" s="53">
        <v>698</v>
      </c>
      <c r="E40" s="53">
        <v>1457</v>
      </c>
      <c r="F40" s="15"/>
    </row>
    <row r="41" spans="1:6" ht="17.100000000000001" customHeight="1" x14ac:dyDescent="0.2">
      <c r="A41" s="74" t="s">
        <v>6</v>
      </c>
      <c r="B41" s="53">
        <v>0</v>
      </c>
      <c r="C41" s="53">
        <v>0</v>
      </c>
      <c r="D41" s="53">
        <v>0</v>
      </c>
      <c r="E41" s="53">
        <v>0</v>
      </c>
      <c r="F41" s="16"/>
    </row>
    <row r="42" spans="1:6" ht="17.100000000000001" customHeight="1" x14ac:dyDescent="0.2">
      <c r="A42" s="163"/>
      <c r="B42" s="133">
        <f>SUM(B38:B41)</f>
        <v>1191</v>
      </c>
      <c r="C42" s="133">
        <f>SUM(C38:C41)</f>
        <v>1004</v>
      </c>
      <c r="D42" s="133">
        <f>SUM(D38:D41)</f>
        <v>1171</v>
      </c>
      <c r="E42" s="133">
        <f>SUM(E38:E41)</f>
        <v>6156</v>
      </c>
      <c r="F42" s="17"/>
    </row>
    <row r="43" spans="1:6" ht="17.100000000000001" customHeight="1" x14ac:dyDescent="0.25">
      <c r="A43" s="134" t="s">
        <v>66</v>
      </c>
      <c r="B43" s="134"/>
      <c r="C43" s="134"/>
      <c r="D43" s="134"/>
      <c r="E43" s="134"/>
      <c r="F43" s="2"/>
    </row>
    <row r="44" spans="1:6" ht="17.100000000000001" customHeight="1" x14ac:dyDescent="0.2">
      <c r="A44" s="74" t="s">
        <v>12</v>
      </c>
      <c r="B44" s="53">
        <v>3255</v>
      </c>
      <c r="C44" s="53">
        <v>3166</v>
      </c>
      <c r="D44" s="53">
        <v>3192</v>
      </c>
      <c r="E44" s="53">
        <v>28470</v>
      </c>
      <c r="F44" s="15"/>
    </row>
    <row r="45" spans="1:6" ht="17.100000000000001" customHeight="1" x14ac:dyDescent="0.2">
      <c r="A45" s="74" t="s">
        <v>19</v>
      </c>
      <c r="B45" s="53">
        <f>6+8</f>
        <v>14</v>
      </c>
      <c r="C45" s="53">
        <v>9</v>
      </c>
      <c r="D45" s="53">
        <f>32+8</f>
        <v>40</v>
      </c>
      <c r="E45" s="53">
        <f>1095+8</f>
        <v>1103</v>
      </c>
      <c r="F45" s="15"/>
    </row>
    <row r="46" spans="1:6" ht="17.100000000000001" customHeight="1" x14ac:dyDescent="0.2">
      <c r="A46" s="74" t="s">
        <v>13</v>
      </c>
      <c r="B46" s="53">
        <v>0</v>
      </c>
      <c r="C46" s="53">
        <v>0</v>
      </c>
      <c r="D46" s="53">
        <v>2</v>
      </c>
      <c r="E46" s="53">
        <v>9</v>
      </c>
      <c r="F46" s="15"/>
    </row>
    <row r="47" spans="1:6" ht="17.100000000000001" customHeight="1" x14ac:dyDescent="0.2">
      <c r="A47" s="68"/>
      <c r="B47" s="69">
        <f>SUM(B44:B46)</f>
        <v>3269</v>
      </c>
      <c r="C47" s="69">
        <f>SUM(C44:C46)</f>
        <v>3175</v>
      </c>
      <c r="D47" s="69">
        <f>SUM(D44:D46)</f>
        <v>3234</v>
      </c>
      <c r="E47" s="69">
        <f>SUM(E44:E46)</f>
        <v>29582</v>
      </c>
      <c r="F47" s="17"/>
    </row>
    <row r="48" spans="1:6" ht="17.100000000000001" customHeight="1" x14ac:dyDescent="0.2">
      <c r="A48" s="74" t="s">
        <v>20</v>
      </c>
      <c r="B48" s="53">
        <v>3212</v>
      </c>
      <c r="C48" s="53">
        <v>3126</v>
      </c>
      <c r="D48" s="53">
        <v>3093</v>
      </c>
      <c r="E48" s="53">
        <f>89+1933</f>
        <v>2022</v>
      </c>
      <c r="F48" s="15"/>
    </row>
    <row r="49" spans="1:6" ht="17.100000000000001" customHeight="1" x14ac:dyDescent="0.2">
      <c r="A49" s="74" t="s">
        <v>14</v>
      </c>
      <c r="B49" s="53">
        <v>0</v>
      </c>
      <c r="C49" s="53">
        <v>0</v>
      </c>
      <c r="D49" s="53">
        <v>0</v>
      </c>
      <c r="E49" s="53">
        <f>21101+4824</f>
        <v>25925</v>
      </c>
      <c r="F49" s="15"/>
    </row>
    <row r="50" spans="1:6" ht="17.100000000000001" customHeight="1" x14ac:dyDescent="0.2">
      <c r="A50" s="74" t="s">
        <v>15</v>
      </c>
      <c r="B50" s="53">
        <v>2</v>
      </c>
      <c r="C50" s="53">
        <v>2</v>
      </c>
      <c r="D50" s="53">
        <f>3+39</f>
        <v>42</v>
      </c>
      <c r="E50" s="53">
        <f>13+24</f>
        <v>37</v>
      </c>
      <c r="F50" s="15"/>
    </row>
    <row r="51" spans="1:6" ht="17.100000000000001" customHeight="1" x14ac:dyDescent="0.2">
      <c r="A51" s="74" t="s">
        <v>16</v>
      </c>
      <c r="B51" s="53">
        <v>41</v>
      </c>
      <c r="C51" s="53">
        <v>50</v>
      </c>
      <c r="D51" s="53">
        <v>62</v>
      </c>
      <c r="E51" s="53">
        <v>1083</v>
      </c>
      <c r="F51" s="15"/>
    </row>
    <row r="52" spans="1:6" ht="17.100000000000001" customHeight="1" x14ac:dyDescent="0.2">
      <c r="A52" s="74" t="s">
        <v>17</v>
      </c>
      <c r="B52" s="53">
        <v>0</v>
      </c>
      <c r="C52" s="53">
        <v>0</v>
      </c>
      <c r="D52" s="53">
        <v>0</v>
      </c>
      <c r="E52" s="53">
        <v>1</v>
      </c>
      <c r="F52" s="15"/>
    </row>
    <row r="53" spans="1:6" ht="17.100000000000001" customHeight="1" x14ac:dyDescent="0.2">
      <c r="A53" s="74" t="s">
        <v>18</v>
      </c>
      <c r="B53" s="53">
        <v>10</v>
      </c>
      <c r="C53" s="53">
        <v>7</v>
      </c>
      <c r="D53" s="53">
        <v>55</v>
      </c>
      <c r="E53" s="53">
        <v>104</v>
      </c>
      <c r="F53" s="15"/>
    </row>
    <row r="54" spans="1:6" ht="17.100000000000001" customHeight="1" x14ac:dyDescent="0.2">
      <c r="A54" s="68"/>
      <c r="B54" s="69">
        <f>SUM(B48:B53)</f>
        <v>3265</v>
      </c>
      <c r="C54" s="69">
        <f>SUM(C48:C53)</f>
        <v>3185</v>
      </c>
      <c r="D54" s="69">
        <f>SUM(D48:D53)</f>
        <v>3252</v>
      </c>
      <c r="E54" s="69">
        <f>SUM(E48:E53)</f>
        <v>29172</v>
      </c>
      <c r="F54" s="17"/>
    </row>
    <row r="55" spans="1:6" ht="17.100000000000001" customHeight="1" x14ac:dyDescent="0.2">
      <c r="A55" s="74"/>
      <c r="B55" s="74"/>
      <c r="C55" s="74"/>
      <c r="D55" s="74"/>
      <c r="E55" s="74"/>
      <c r="F55" s="18"/>
    </row>
    <row r="56" spans="1:6" ht="17.100000000000001" customHeight="1" x14ac:dyDescent="0.2">
      <c r="A56" s="70" t="s">
        <v>56</v>
      </c>
      <c r="B56" s="69">
        <f>SUM(B47-B54)</f>
        <v>4</v>
      </c>
      <c r="C56" s="69">
        <f>SUM(C47-C54)</f>
        <v>-10</v>
      </c>
      <c r="D56" s="69">
        <f>SUM(D47-D54)</f>
        <v>-18</v>
      </c>
      <c r="E56" s="69">
        <f>SUM(E47-E54)</f>
        <v>410</v>
      </c>
      <c r="F56" s="21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rgb="FF92D050"/>
  </sheetPr>
  <dimension ref="A2:G54"/>
  <sheetViews>
    <sheetView topLeftCell="A20" workbookViewId="0">
      <selection activeCell="A26" sqref="A26:E54"/>
    </sheetView>
  </sheetViews>
  <sheetFormatPr baseColWidth="10" defaultRowHeight="12.75" x14ac:dyDescent="0.2"/>
  <cols>
    <col min="1" max="1" width="36.85546875" style="1" bestFit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A3" s="14"/>
      <c r="B3" s="2">
        <f>E54</f>
        <v>85</v>
      </c>
      <c r="C3" s="2">
        <f>D54</f>
        <v>90</v>
      </c>
      <c r="D3" s="2">
        <f>C54</f>
        <v>80</v>
      </c>
      <c r="E3" s="2">
        <f>B54</f>
        <v>78</v>
      </c>
    </row>
    <row r="5" spans="1:5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E36/E40</f>
        <v>0.21935483870967742</v>
      </c>
      <c r="C6" s="3">
        <f>D36/D40</f>
        <v>0.25659978880675821</v>
      </c>
      <c r="D6" s="3">
        <f>C36/C40</f>
        <v>0.3046875</v>
      </c>
      <c r="E6" s="3">
        <f>B36/B40</f>
        <v>0.33285302593659943</v>
      </c>
    </row>
    <row r="26" spans="1:6" ht="15.75" x14ac:dyDescent="0.25">
      <c r="A26" s="61"/>
      <c r="B26" s="55">
        <v>2018</v>
      </c>
      <c r="C26" s="55">
        <v>2017</v>
      </c>
      <c r="D26" s="55">
        <v>2016</v>
      </c>
      <c r="E26" s="55">
        <v>2015</v>
      </c>
    </row>
    <row r="27" spans="1:6" ht="17.100000000000001" customHeight="1" x14ac:dyDescent="0.25">
      <c r="A27" s="35" t="s">
        <v>2</v>
      </c>
    </row>
    <row r="28" spans="1:6" ht="17.100000000000001" customHeight="1" x14ac:dyDescent="0.2">
      <c r="A28" s="36" t="s">
        <v>48</v>
      </c>
      <c r="F28" s="11"/>
    </row>
    <row r="29" spans="1:6" ht="17.100000000000001" customHeight="1" x14ac:dyDescent="0.2">
      <c r="A29" s="36"/>
      <c r="F29" s="7"/>
    </row>
    <row r="30" spans="1:6" ht="17.100000000000001" customHeight="1" x14ac:dyDescent="0.2">
      <c r="A30" s="8" t="s">
        <v>4</v>
      </c>
      <c r="B30" s="24">
        <v>0</v>
      </c>
      <c r="C30" s="24">
        <v>0</v>
      </c>
      <c r="D30" s="24">
        <v>0</v>
      </c>
      <c r="E30" s="24">
        <v>0</v>
      </c>
      <c r="F30" s="15"/>
    </row>
    <row r="31" spans="1:6" ht="17.100000000000001" customHeight="1" x14ac:dyDescent="0.2">
      <c r="A31" s="8" t="s">
        <v>5</v>
      </c>
      <c r="B31" s="24">
        <v>694</v>
      </c>
      <c r="C31" s="24">
        <v>768</v>
      </c>
      <c r="D31" s="24">
        <v>947</v>
      </c>
      <c r="E31" s="24">
        <v>1085</v>
      </c>
      <c r="F31" s="15"/>
    </row>
    <row r="32" spans="1:6" ht="17.100000000000001" customHeight="1" x14ac:dyDescent="0.2">
      <c r="A32" s="8" t="s">
        <v>6</v>
      </c>
      <c r="B32" s="24">
        <v>0</v>
      </c>
      <c r="C32" s="24">
        <v>0</v>
      </c>
      <c r="D32" s="24">
        <v>0</v>
      </c>
      <c r="E32" s="24">
        <v>0</v>
      </c>
      <c r="F32" s="15"/>
    </row>
    <row r="33" spans="1:7" ht="17.100000000000001" customHeight="1" x14ac:dyDescent="0.2">
      <c r="A33" s="56"/>
      <c r="B33" s="57">
        <f>SUM(B30:B32)</f>
        <v>694</v>
      </c>
      <c r="C33" s="57">
        <f>SUM(C30:C32)</f>
        <v>768</v>
      </c>
      <c r="D33" s="57">
        <f>SUM(D30:D32)</f>
        <v>947</v>
      </c>
      <c r="E33" s="57">
        <f>SUM(E30:E32)</f>
        <v>1085</v>
      </c>
      <c r="F33" s="17"/>
      <c r="G33" s="2"/>
    </row>
    <row r="34" spans="1:7" ht="17.100000000000001" customHeight="1" x14ac:dyDescent="0.25">
      <c r="A34" s="36" t="s">
        <v>7</v>
      </c>
      <c r="B34" s="144"/>
      <c r="C34" s="144"/>
      <c r="D34" s="144"/>
      <c r="E34" s="29"/>
      <c r="F34" s="18"/>
    </row>
    <row r="35" spans="1:7" ht="17.100000000000001" customHeight="1" x14ac:dyDescent="0.25">
      <c r="A35" s="36"/>
      <c r="B35" s="144"/>
      <c r="C35" s="144"/>
      <c r="D35" s="144"/>
      <c r="E35" s="29"/>
      <c r="F35" s="18"/>
    </row>
    <row r="36" spans="1:7" ht="17.100000000000001" customHeight="1" x14ac:dyDescent="0.2">
      <c r="A36" s="8" t="s">
        <v>8</v>
      </c>
      <c r="B36" s="24">
        <v>231</v>
      </c>
      <c r="C36" s="24">
        <v>234</v>
      </c>
      <c r="D36" s="24">
        <v>243</v>
      </c>
      <c r="E36" s="24">
        <f>153+85</f>
        <v>238</v>
      </c>
      <c r="F36" s="15"/>
    </row>
    <row r="37" spans="1:7" ht="17.100000000000001" customHeight="1" x14ac:dyDescent="0.2">
      <c r="A37" s="8" t="s">
        <v>9</v>
      </c>
      <c r="B37" s="24">
        <v>5</v>
      </c>
      <c r="C37" s="24">
        <v>5</v>
      </c>
      <c r="D37" s="24">
        <v>7</v>
      </c>
      <c r="E37" s="24">
        <v>6</v>
      </c>
      <c r="F37" s="15"/>
    </row>
    <row r="38" spans="1:7" ht="17.100000000000001" customHeight="1" x14ac:dyDescent="0.2">
      <c r="A38" s="8" t="s">
        <v>10</v>
      </c>
      <c r="B38" s="24">
        <v>458</v>
      </c>
      <c r="C38" s="24">
        <v>529</v>
      </c>
      <c r="D38" s="24">
        <v>697</v>
      </c>
      <c r="E38" s="24">
        <v>841</v>
      </c>
      <c r="F38" s="15"/>
      <c r="G38" s="2"/>
    </row>
    <row r="39" spans="1:7" ht="17.100000000000001" customHeight="1" x14ac:dyDescent="0.2">
      <c r="A39" s="8" t="s">
        <v>6</v>
      </c>
      <c r="B39" s="24">
        <v>0</v>
      </c>
      <c r="C39" s="24">
        <v>0</v>
      </c>
      <c r="D39" s="24">
        <v>0</v>
      </c>
      <c r="E39" s="24">
        <v>0</v>
      </c>
      <c r="F39" s="15"/>
    </row>
    <row r="40" spans="1:7" ht="17.100000000000001" customHeight="1" x14ac:dyDescent="0.2">
      <c r="A40" s="56"/>
      <c r="B40" s="57">
        <f>SUM(B36:B39)</f>
        <v>694</v>
      </c>
      <c r="C40" s="57">
        <f>SUM(C36:C39)</f>
        <v>768</v>
      </c>
      <c r="D40" s="57">
        <f>SUM(D36:D39)</f>
        <v>947</v>
      </c>
      <c r="E40" s="57">
        <f>SUM(E36:E39)</f>
        <v>1085</v>
      </c>
      <c r="F40" s="17"/>
    </row>
    <row r="41" spans="1:7" ht="17.100000000000001" customHeight="1" x14ac:dyDescent="0.25">
      <c r="A41" s="35" t="s">
        <v>66</v>
      </c>
      <c r="B41" s="144"/>
      <c r="C41" s="144"/>
      <c r="D41" s="144"/>
      <c r="E41" s="29"/>
      <c r="F41" s="2"/>
    </row>
    <row r="42" spans="1:7" ht="17.100000000000001" customHeight="1" x14ac:dyDescent="0.2">
      <c r="A42" s="8" t="s">
        <v>12</v>
      </c>
      <c r="B42" s="24">
        <v>4539</v>
      </c>
      <c r="C42" s="24">
        <v>5119</v>
      </c>
      <c r="D42" s="24">
        <v>5963</v>
      </c>
      <c r="E42" s="24">
        <v>5725</v>
      </c>
      <c r="F42" s="15"/>
      <c r="G42" s="2"/>
    </row>
    <row r="43" spans="1:7" ht="17.100000000000001" customHeight="1" x14ac:dyDescent="0.2">
      <c r="A43" s="8" t="s">
        <v>19</v>
      </c>
      <c r="B43" s="24">
        <v>4</v>
      </c>
      <c r="C43" s="24">
        <v>2</v>
      </c>
      <c r="D43" s="24">
        <v>0</v>
      </c>
      <c r="E43" s="24">
        <v>125</v>
      </c>
      <c r="F43" s="15"/>
    </row>
    <row r="44" spans="1:7" ht="17.100000000000001" customHeight="1" x14ac:dyDescent="0.2">
      <c r="A44" s="8" t="s">
        <v>13</v>
      </c>
      <c r="B44" s="24">
        <v>0</v>
      </c>
      <c r="C44" s="24">
        <v>0</v>
      </c>
      <c r="D44" s="24">
        <v>0</v>
      </c>
      <c r="E44" s="24">
        <v>0</v>
      </c>
      <c r="F44" s="15"/>
    </row>
    <row r="45" spans="1:7" ht="17.100000000000001" customHeight="1" x14ac:dyDescent="0.2">
      <c r="A45" s="56"/>
      <c r="B45" s="57">
        <f>SUM(B42:B44)</f>
        <v>4543</v>
      </c>
      <c r="C45" s="57">
        <f>SUM(C42:C44)</f>
        <v>5121</v>
      </c>
      <c r="D45" s="57">
        <f>SUM(D42:D44)</f>
        <v>5963</v>
      </c>
      <c r="E45" s="57">
        <f>SUM(E42:E44)</f>
        <v>5850</v>
      </c>
      <c r="F45" s="17"/>
    </row>
    <row r="46" spans="1:7" ht="17.100000000000001" customHeight="1" x14ac:dyDescent="0.2">
      <c r="A46" s="8" t="s">
        <v>20</v>
      </c>
      <c r="B46" s="24">
        <v>4335</v>
      </c>
      <c r="C46" s="24">
        <v>4911</v>
      </c>
      <c r="D46" s="24">
        <v>5743</v>
      </c>
      <c r="E46" s="24">
        <v>5633</v>
      </c>
      <c r="F46" s="15"/>
    </row>
    <row r="47" spans="1:7" ht="17.100000000000001" customHeight="1" x14ac:dyDescent="0.2">
      <c r="A47" s="8" t="s">
        <v>14</v>
      </c>
      <c r="B47" s="24">
        <v>0</v>
      </c>
      <c r="C47" s="24">
        <v>0</v>
      </c>
      <c r="D47" s="24">
        <v>11</v>
      </c>
      <c r="E47" s="24">
        <v>17</v>
      </c>
      <c r="F47" s="15"/>
    </row>
    <row r="48" spans="1:7" ht="17.100000000000001" customHeight="1" x14ac:dyDescent="0.2">
      <c r="A48" s="8" t="s">
        <v>15</v>
      </c>
      <c r="B48" s="24">
        <v>0</v>
      </c>
      <c r="C48" s="24">
        <v>0</v>
      </c>
      <c r="D48" s="24">
        <v>0</v>
      </c>
      <c r="E48" s="24">
        <v>0</v>
      </c>
      <c r="F48" s="15"/>
    </row>
    <row r="49" spans="1:6" ht="17.100000000000001" customHeight="1" x14ac:dyDescent="0.2">
      <c r="A49" s="8" t="s">
        <v>16</v>
      </c>
      <c r="B49" s="24">
        <v>92</v>
      </c>
      <c r="C49" s="24">
        <v>90</v>
      </c>
      <c r="D49" s="24">
        <v>75</v>
      </c>
      <c r="E49" s="24">
        <f>4+67+2</f>
        <v>73</v>
      </c>
      <c r="F49" s="15"/>
    </row>
    <row r="50" spans="1:6" ht="17.100000000000001" customHeight="1" x14ac:dyDescent="0.2">
      <c r="A50" s="8" t="s">
        <v>17</v>
      </c>
      <c r="B50" s="24">
        <v>0</v>
      </c>
      <c r="C50" s="24">
        <v>0</v>
      </c>
      <c r="D50" s="24">
        <v>0</v>
      </c>
      <c r="E50" s="24">
        <v>0</v>
      </c>
      <c r="F50" s="15"/>
    </row>
    <row r="51" spans="1:6" ht="17.100000000000001" customHeight="1" x14ac:dyDescent="0.2">
      <c r="A51" s="8" t="s">
        <v>18</v>
      </c>
      <c r="B51" s="24">
        <v>38</v>
      </c>
      <c r="C51" s="24">
        <v>40</v>
      </c>
      <c r="D51" s="24">
        <v>44</v>
      </c>
      <c r="E51" s="24">
        <v>42</v>
      </c>
      <c r="F51" s="15"/>
    </row>
    <row r="52" spans="1:6" ht="17.100000000000001" customHeight="1" x14ac:dyDescent="0.2">
      <c r="A52" s="56"/>
      <c r="B52" s="57">
        <f>SUM(B46:B51)</f>
        <v>4465</v>
      </c>
      <c r="C52" s="57">
        <f>SUM(C46:C51)</f>
        <v>5041</v>
      </c>
      <c r="D52" s="57">
        <f>SUM(D46:D51)</f>
        <v>5873</v>
      </c>
      <c r="E52" s="57">
        <f>SUM(E46:E51)</f>
        <v>5765</v>
      </c>
      <c r="F52" s="17"/>
    </row>
    <row r="53" spans="1:6" ht="17.100000000000001" customHeight="1" x14ac:dyDescent="0.25">
      <c r="A53" s="8"/>
      <c r="B53" s="29"/>
      <c r="C53" s="29"/>
      <c r="D53" s="29"/>
      <c r="E53" s="29"/>
      <c r="F53" s="18"/>
    </row>
    <row r="54" spans="1:6" ht="17.100000000000001" customHeight="1" x14ac:dyDescent="0.2">
      <c r="A54" s="58" t="s">
        <v>56</v>
      </c>
      <c r="B54" s="57">
        <f>B45-B52</f>
        <v>78</v>
      </c>
      <c r="C54" s="57">
        <f>C45-C52</f>
        <v>80</v>
      </c>
      <c r="D54" s="57">
        <f>D45-D52</f>
        <v>90</v>
      </c>
      <c r="E54" s="57">
        <f>E45-E52</f>
        <v>85</v>
      </c>
      <c r="F54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tabColor theme="6"/>
  </sheetPr>
  <dimension ref="A2:G57"/>
  <sheetViews>
    <sheetView topLeftCell="A4" workbookViewId="0">
      <selection activeCell="A25" sqref="A25:E55"/>
    </sheetView>
  </sheetViews>
  <sheetFormatPr baseColWidth="10" defaultRowHeight="12.75" x14ac:dyDescent="0.2"/>
  <cols>
    <col min="1" max="1" width="36.5703125" style="33" customWidth="1"/>
    <col min="2" max="16384" width="11.42578125" style="33"/>
  </cols>
  <sheetData>
    <row r="2" spans="1:5" x14ac:dyDescent="0.2">
      <c r="A2" s="33" t="s">
        <v>1</v>
      </c>
      <c r="B2" s="33">
        <f>$E$25</f>
        <v>2015</v>
      </c>
      <c r="C2" s="33">
        <f>$D$25</f>
        <v>2016</v>
      </c>
      <c r="D2" s="33">
        <f>$C$25</f>
        <v>2017</v>
      </c>
      <c r="E2" s="33">
        <f>$B$25</f>
        <v>2018</v>
      </c>
    </row>
    <row r="3" spans="1:5" x14ac:dyDescent="0.2">
      <c r="A3" s="14"/>
      <c r="B3" s="76">
        <f>E55</f>
        <v>5275</v>
      </c>
      <c r="C3" s="76">
        <f>D55</f>
        <v>5342</v>
      </c>
      <c r="D3" s="76">
        <f>C55</f>
        <v>7538</v>
      </c>
      <c r="E3" s="76">
        <f>B55</f>
        <v>6222</v>
      </c>
    </row>
    <row r="5" spans="1:5" x14ac:dyDescent="0.2">
      <c r="A5" s="33" t="s">
        <v>0</v>
      </c>
      <c r="B5" s="77">
        <f>$E$25</f>
        <v>2015</v>
      </c>
      <c r="C5" s="33">
        <f>$D$25</f>
        <v>2016</v>
      </c>
      <c r="D5" s="33">
        <f>$C$25</f>
        <v>2017</v>
      </c>
      <c r="E5" s="33">
        <f>$B$25</f>
        <v>2018</v>
      </c>
    </row>
    <row r="6" spans="1:5" x14ac:dyDescent="0.2">
      <c r="B6" s="78">
        <f>E35/E40</f>
        <v>0.17451702413570444</v>
      </c>
      <c r="C6" s="78">
        <f>D35/D40</f>
        <v>0.16314012104996983</v>
      </c>
      <c r="D6" s="78">
        <f>C35/C40</f>
        <v>0.16879346431706163</v>
      </c>
      <c r="E6" s="78">
        <f>B35/B40</f>
        <v>0.17966384893863582</v>
      </c>
    </row>
    <row r="25" spans="1:6" ht="17.100000000000001" customHeight="1" x14ac:dyDescent="0.25">
      <c r="A25" s="66"/>
      <c r="B25" s="67">
        <v>2018</v>
      </c>
      <c r="C25" s="67">
        <v>2017</v>
      </c>
      <c r="D25" s="67">
        <v>2016</v>
      </c>
      <c r="E25" s="67">
        <v>2015</v>
      </c>
    </row>
    <row r="26" spans="1:6" ht="17.100000000000001" customHeight="1" x14ac:dyDescent="0.25">
      <c r="A26" s="71" t="s">
        <v>2</v>
      </c>
    </row>
    <row r="27" spans="1:6" ht="17.100000000000001" customHeight="1" x14ac:dyDescent="0.2">
      <c r="A27" s="73" t="s">
        <v>48</v>
      </c>
      <c r="F27" s="79"/>
    </row>
    <row r="28" spans="1:6" ht="17.100000000000001" customHeight="1" x14ac:dyDescent="0.2">
      <c r="A28" s="73"/>
      <c r="F28" s="80"/>
    </row>
    <row r="29" spans="1:6" ht="17.100000000000001" customHeight="1" x14ac:dyDescent="0.25">
      <c r="A29" s="74" t="s">
        <v>4</v>
      </c>
      <c r="B29" s="45">
        <f>23+82889+126</f>
        <v>83038</v>
      </c>
      <c r="C29" s="45">
        <f>20+82256+139</f>
        <v>82415</v>
      </c>
      <c r="D29" s="45">
        <v>83515</v>
      </c>
      <c r="E29" s="45">
        <v>83659</v>
      </c>
      <c r="F29" s="81"/>
    </row>
    <row r="30" spans="1:6" ht="17.100000000000001" customHeight="1" x14ac:dyDescent="0.25">
      <c r="A30" s="74" t="s">
        <v>5</v>
      </c>
      <c r="B30" s="45">
        <f>4040+23371+831</f>
        <v>28242</v>
      </c>
      <c r="C30" s="45">
        <f>4312+30689+1010</f>
        <v>36011</v>
      </c>
      <c r="D30" s="45">
        <v>39023</v>
      </c>
      <c r="E30" s="45">
        <v>30890</v>
      </c>
      <c r="F30" s="81"/>
    </row>
    <row r="31" spans="1:6" ht="17.100000000000001" customHeight="1" x14ac:dyDescent="0.25">
      <c r="A31" s="74" t="s">
        <v>6</v>
      </c>
      <c r="B31" s="45">
        <v>39</v>
      </c>
      <c r="C31" s="45">
        <v>62</v>
      </c>
      <c r="D31" s="45">
        <v>56</v>
      </c>
      <c r="E31" s="45">
        <v>53</v>
      </c>
      <c r="F31" s="81"/>
    </row>
    <row r="32" spans="1:6" ht="17.100000000000001" customHeight="1" x14ac:dyDescent="0.25">
      <c r="A32" s="68"/>
      <c r="B32" s="86">
        <f>SUM(B29:B31)</f>
        <v>111319</v>
      </c>
      <c r="C32" s="86">
        <f>SUM(C29:C31)</f>
        <v>118488</v>
      </c>
      <c r="D32" s="86">
        <f>SUM(D29:D31)</f>
        <v>122594</v>
      </c>
      <c r="E32" s="86">
        <f>SUM(E29:E31)</f>
        <v>114602</v>
      </c>
      <c r="F32" s="82"/>
    </row>
    <row r="33" spans="1:7" ht="17.100000000000001" customHeight="1" x14ac:dyDescent="0.25">
      <c r="A33" s="73" t="s">
        <v>7</v>
      </c>
      <c r="D33" s="142"/>
      <c r="F33" s="83"/>
    </row>
    <row r="34" spans="1:7" ht="17.100000000000001" customHeight="1" x14ac:dyDescent="0.25">
      <c r="A34" s="73"/>
      <c r="D34" s="142"/>
      <c r="F34" s="83"/>
    </row>
    <row r="35" spans="1:7" ht="17.100000000000001" customHeight="1" x14ac:dyDescent="0.25">
      <c r="A35" s="74" t="s">
        <v>42</v>
      </c>
      <c r="B35" s="127">
        <v>20000</v>
      </c>
      <c r="C35" s="127">
        <v>20000</v>
      </c>
      <c r="D35" s="127">
        <v>20000</v>
      </c>
      <c r="E35" s="127">
        <v>20000</v>
      </c>
      <c r="F35" s="81"/>
    </row>
    <row r="36" spans="1:7" ht="17.100000000000001" customHeight="1" x14ac:dyDescent="0.25">
      <c r="A36" s="74" t="s">
        <v>43</v>
      </c>
      <c r="B36" s="72">
        <v>0</v>
      </c>
      <c r="C36" s="72">
        <v>0</v>
      </c>
      <c r="D36" s="72">
        <v>0</v>
      </c>
      <c r="E36" s="72">
        <v>0</v>
      </c>
      <c r="F36" s="81"/>
    </row>
    <row r="37" spans="1:7" ht="17.100000000000001" customHeight="1" x14ac:dyDescent="0.25">
      <c r="A37" s="74" t="s">
        <v>9</v>
      </c>
      <c r="B37" s="127">
        <v>25488</v>
      </c>
      <c r="C37" s="127">
        <v>26583</v>
      </c>
      <c r="D37" s="127">
        <v>25873</v>
      </c>
      <c r="E37" s="127">
        <v>26214</v>
      </c>
      <c r="F37" s="81"/>
    </row>
    <row r="38" spans="1:7" ht="17.100000000000001" customHeight="1" x14ac:dyDescent="0.25">
      <c r="A38" s="74" t="s">
        <v>10</v>
      </c>
      <c r="B38" s="127">
        <v>65831</v>
      </c>
      <c r="C38" s="127">
        <v>71905</v>
      </c>
      <c r="D38" s="127">
        <v>76721</v>
      </c>
      <c r="E38" s="127">
        <v>68388</v>
      </c>
      <c r="F38" s="81"/>
    </row>
    <row r="39" spans="1:7" ht="17.100000000000001" customHeight="1" x14ac:dyDescent="0.25">
      <c r="A39" s="74" t="s">
        <v>6</v>
      </c>
      <c r="B39" s="72">
        <v>0</v>
      </c>
      <c r="C39" s="72">
        <v>0</v>
      </c>
      <c r="D39" s="72">
        <v>0</v>
      </c>
      <c r="E39" s="72">
        <v>0</v>
      </c>
      <c r="F39" s="81"/>
    </row>
    <row r="40" spans="1:7" ht="17.100000000000001" customHeight="1" x14ac:dyDescent="0.25">
      <c r="A40" s="68"/>
      <c r="B40" s="86">
        <f>SUM(B35:B39)</f>
        <v>111319</v>
      </c>
      <c r="C40" s="86">
        <f>SUM(C35:C39)</f>
        <v>118488</v>
      </c>
      <c r="D40" s="86">
        <f>SUM(D35:D39)</f>
        <v>122594</v>
      </c>
      <c r="E40" s="86">
        <f>SUM(E35:E39)</f>
        <v>114602</v>
      </c>
      <c r="F40" s="82"/>
    </row>
    <row r="41" spans="1:7" ht="17.100000000000001" customHeight="1" x14ac:dyDescent="0.25">
      <c r="A41" s="71" t="s">
        <v>66</v>
      </c>
      <c r="B41" s="142"/>
      <c r="C41" s="142"/>
      <c r="D41" s="142"/>
      <c r="F41" s="84"/>
    </row>
    <row r="42" spans="1:7" ht="17.100000000000001" customHeight="1" x14ac:dyDescent="0.25">
      <c r="A42" s="74" t="s">
        <v>12</v>
      </c>
      <c r="B42" s="127">
        <v>97517</v>
      </c>
      <c r="C42" s="127">
        <v>95028</v>
      </c>
      <c r="D42" s="127">
        <v>96315</v>
      </c>
      <c r="E42" s="127">
        <v>94508</v>
      </c>
      <c r="F42" s="81"/>
    </row>
    <row r="43" spans="1:7" ht="17.100000000000001" customHeight="1" x14ac:dyDescent="0.25">
      <c r="A43" s="74" t="s">
        <v>19</v>
      </c>
      <c r="B43" s="85">
        <f>1125+380</f>
        <v>1505</v>
      </c>
      <c r="C43" s="85">
        <f>1582+250+4</f>
        <v>1836</v>
      </c>
      <c r="D43" s="85">
        <v>893</v>
      </c>
      <c r="E43" s="85">
        <f>1083+5+200</f>
        <v>1288</v>
      </c>
      <c r="F43" s="81"/>
    </row>
    <row r="44" spans="1:7" ht="17.100000000000001" customHeight="1" x14ac:dyDescent="0.25">
      <c r="A44" s="74" t="s">
        <v>13</v>
      </c>
      <c r="B44" s="72">
        <v>54</v>
      </c>
      <c r="C44" s="72">
        <v>46</v>
      </c>
      <c r="D44" s="72">
        <v>71</v>
      </c>
      <c r="E44" s="72">
        <v>82</v>
      </c>
      <c r="F44" s="81"/>
    </row>
    <row r="45" spans="1:7" ht="17.100000000000001" customHeight="1" x14ac:dyDescent="0.25">
      <c r="A45" s="68"/>
      <c r="B45" s="86">
        <f>SUM(B42:B44)</f>
        <v>99076</v>
      </c>
      <c r="C45" s="86">
        <f>SUM(C42:C44)</f>
        <v>96910</v>
      </c>
      <c r="D45" s="86">
        <f>SUM(D42:D44)</f>
        <v>97279</v>
      </c>
      <c r="E45" s="86">
        <f>SUM(E42:E44)</f>
        <v>95878</v>
      </c>
      <c r="F45" s="82"/>
      <c r="G45" s="76"/>
    </row>
    <row r="46" spans="1:7" ht="17.100000000000001" customHeight="1" x14ac:dyDescent="0.25">
      <c r="A46" s="74" t="s">
        <v>20</v>
      </c>
      <c r="B46" s="45">
        <v>38753</v>
      </c>
      <c r="C46" s="45">
        <v>36970</v>
      </c>
      <c r="D46" s="45">
        <v>38540</v>
      </c>
      <c r="E46" s="45">
        <f>3744+24515+7900</f>
        <v>36159</v>
      </c>
      <c r="F46" s="81"/>
    </row>
    <row r="47" spans="1:7" ht="17.100000000000001" customHeight="1" x14ac:dyDescent="0.25">
      <c r="A47" s="74" t="s">
        <v>14</v>
      </c>
      <c r="B47" s="45">
        <v>28673</v>
      </c>
      <c r="C47" s="45">
        <v>26731</v>
      </c>
      <c r="D47" s="45">
        <v>26316</v>
      </c>
      <c r="E47" s="45">
        <v>24947</v>
      </c>
      <c r="F47" s="81"/>
    </row>
    <row r="48" spans="1:7" ht="17.100000000000001" customHeight="1" x14ac:dyDescent="0.25">
      <c r="A48" s="74" t="s">
        <v>15</v>
      </c>
      <c r="B48" s="45">
        <v>9316</v>
      </c>
      <c r="C48" s="45">
        <v>10840</v>
      </c>
      <c r="D48" s="45">
        <v>12470</v>
      </c>
      <c r="E48" s="45">
        <v>14526</v>
      </c>
      <c r="F48" s="81"/>
    </row>
    <row r="49" spans="1:7" ht="15.75" x14ac:dyDescent="0.25">
      <c r="A49" s="74" t="s">
        <v>16</v>
      </c>
      <c r="B49" s="45">
        <v>11661</v>
      </c>
      <c r="C49" s="45">
        <v>10566</v>
      </c>
      <c r="D49" s="45">
        <v>10262</v>
      </c>
      <c r="E49" s="45">
        <v>10400</v>
      </c>
      <c r="F49" s="81"/>
    </row>
    <row r="50" spans="1:7" ht="17.100000000000001" customHeight="1" x14ac:dyDescent="0.25">
      <c r="A50" s="74" t="s">
        <v>17</v>
      </c>
      <c r="B50" s="45">
        <v>1547</v>
      </c>
      <c r="C50" s="45">
        <v>2013</v>
      </c>
      <c r="D50" s="45">
        <v>2610</v>
      </c>
      <c r="E50" s="45">
        <v>3031</v>
      </c>
      <c r="F50" s="81"/>
    </row>
    <row r="51" spans="1:7" ht="17.100000000000001" customHeight="1" x14ac:dyDescent="0.25">
      <c r="A51" s="74" t="s">
        <v>18</v>
      </c>
      <c r="B51" s="45">
        <f>2315+589</f>
        <v>2904</v>
      </c>
      <c r="C51" s="45">
        <f>2001+251</f>
        <v>2252</v>
      </c>
      <c r="D51" s="45">
        <v>1739</v>
      </c>
      <c r="E51" s="45">
        <v>1540</v>
      </c>
      <c r="F51" s="81"/>
    </row>
    <row r="52" spans="1:7" ht="17.100000000000001" customHeight="1" x14ac:dyDescent="0.25">
      <c r="A52" s="74"/>
      <c r="B52" s="45"/>
      <c r="C52" s="45"/>
      <c r="D52" s="45"/>
      <c r="E52" s="45"/>
      <c r="F52" s="81"/>
    </row>
    <row r="53" spans="1:7" ht="17.100000000000001" customHeight="1" x14ac:dyDescent="0.25">
      <c r="A53" s="87"/>
      <c r="B53" s="86">
        <f>SUM(B46:B51)</f>
        <v>92854</v>
      </c>
      <c r="C53" s="86">
        <f>SUM(C46:C51)</f>
        <v>89372</v>
      </c>
      <c r="D53" s="86">
        <f>SUM(D46:D51)</f>
        <v>91937</v>
      </c>
      <c r="E53" s="86">
        <f>SUM(E46:E51)</f>
        <v>90603</v>
      </c>
      <c r="F53" s="82"/>
      <c r="G53" s="76"/>
    </row>
    <row r="54" spans="1:7" ht="17.100000000000001" customHeight="1" x14ac:dyDescent="0.25">
      <c r="A54" s="74"/>
      <c r="F54" s="83"/>
    </row>
    <row r="55" spans="1:7" ht="17.100000000000001" customHeight="1" x14ac:dyDescent="0.25">
      <c r="A55" s="70" t="s">
        <v>91</v>
      </c>
      <c r="B55" s="86">
        <f>B45-B53</f>
        <v>6222</v>
      </c>
      <c r="C55" s="86">
        <f t="shared" ref="C55:E55" si="0">C45-C53</f>
        <v>7538</v>
      </c>
      <c r="D55" s="86">
        <f t="shared" si="0"/>
        <v>5342</v>
      </c>
      <c r="E55" s="86">
        <f t="shared" si="0"/>
        <v>5275</v>
      </c>
      <c r="F55" s="82"/>
    </row>
    <row r="56" spans="1:7" ht="15.75" x14ac:dyDescent="0.25">
      <c r="A56" s="72"/>
      <c r="B56" s="72"/>
      <c r="C56" s="72"/>
      <c r="D56" s="72"/>
      <c r="E56" s="72"/>
    </row>
    <row r="57" spans="1:7" ht="15.75" x14ac:dyDescent="0.25">
      <c r="A57" s="72"/>
      <c r="B57" s="72"/>
      <c r="C57" s="72"/>
      <c r="D57" s="72"/>
      <c r="E57" s="7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theme="6"/>
  </sheetPr>
  <dimension ref="A3:G59"/>
  <sheetViews>
    <sheetView topLeftCell="A25" workbookViewId="0">
      <selection activeCell="A28" sqref="A28:E56"/>
    </sheetView>
  </sheetViews>
  <sheetFormatPr baseColWidth="10" defaultRowHeight="12.75" x14ac:dyDescent="0.2"/>
  <cols>
    <col min="1" max="1" width="37.140625" style="33" customWidth="1"/>
    <col min="2" max="2" width="11.140625" style="33" customWidth="1"/>
    <col min="3" max="3" width="10.28515625" style="33" customWidth="1"/>
    <col min="4" max="4" width="10.5703125" style="33" customWidth="1"/>
    <col min="5" max="5" width="11.28515625" style="33" customWidth="1"/>
    <col min="6" max="16384" width="11.42578125" style="33"/>
  </cols>
  <sheetData>
    <row r="3" spans="1:5" x14ac:dyDescent="0.2">
      <c r="A3" s="33" t="s">
        <v>1</v>
      </c>
      <c r="B3" s="33">
        <f>$E$28</f>
        <v>2015</v>
      </c>
      <c r="C3" s="33">
        <f>$D$28</f>
        <v>2016</v>
      </c>
      <c r="D3" s="33">
        <f>$C$28</f>
        <v>2017</v>
      </c>
      <c r="E3" s="33">
        <f>$B$28</f>
        <v>2018</v>
      </c>
    </row>
    <row r="4" spans="1:5" x14ac:dyDescent="0.2">
      <c r="A4" s="14"/>
      <c r="B4" s="76">
        <f>E56</f>
        <v>215</v>
      </c>
      <c r="C4" s="76">
        <f>D56</f>
        <v>314</v>
      </c>
      <c r="D4" s="76">
        <f>C56</f>
        <v>385</v>
      </c>
      <c r="E4" s="76">
        <f>B56</f>
        <v>554</v>
      </c>
    </row>
    <row r="5" spans="1:5" x14ac:dyDescent="0.2">
      <c r="D5" s="142"/>
      <c r="E5" s="142"/>
    </row>
    <row r="6" spans="1:5" x14ac:dyDescent="0.2">
      <c r="A6" s="33" t="s">
        <v>0</v>
      </c>
      <c r="B6" s="33">
        <f>$E$28</f>
        <v>2015</v>
      </c>
      <c r="C6" s="33">
        <f>$D$28</f>
        <v>2016</v>
      </c>
      <c r="D6" s="33">
        <f>$C$28</f>
        <v>2017</v>
      </c>
      <c r="E6" s="33">
        <f>$B$28</f>
        <v>2018</v>
      </c>
    </row>
    <row r="7" spans="1:5" x14ac:dyDescent="0.2">
      <c r="B7" s="78">
        <f>E38/E42</f>
        <v>0.43421052631578949</v>
      </c>
      <c r="C7" s="78">
        <f>D38/D42</f>
        <v>0.4403470715835141</v>
      </c>
      <c r="D7" s="78">
        <f>C38/C42</f>
        <v>0.34097158570119157</v>
      </c>
      <c r="E7" s="78">
        <f>B38/B42</f>
        <v>0.34202682563338299</v>
      </c>
    </row>
    <row r="27" spans="1:6" ht="17.100000000000001" customHeight="1" x14ac:dyDescent="0.25">
      <c r="A27" s="72"/>
      <c r="B27" s="88"/>
      <c r="C27" s="72"/>
      <c r="D27" s="72"/>
      <c r="E27" s="72"/>
    </row>
    <row r="28" spans="1:6" ht="17.100000000000001" customHeight="1" x14ac:dyDescent="0.25">
      <c r="A28" s="66"/>
      <c r="B28" s="67">
        <v>2018</v>
      </c>
      <c r="C28" s="67">
        <v>2017</v>
      </c>
      <c r="D28" s="67">
        <v>2016</v>
      </c>
      <c r="E28" s="67">
        <v>2015</v>
      </c>
    </row>
    <row r="29" spans="1:6" ht="17.100000000000001" customHeight="1" x14ac:dyDescent="0.25">
      <c r="A29" s="71" t="s">
        <v>2</v>
      </c>
    </row>
    <row r="30" spans="1:6" ht="17.100000000000001" customHeight="1" x14ac:dyDescent="0.2">
      <c r="A30" s="73" t="s">
        <v>48</v>
      </c>
      <c r="F30" s="79"/>
    </row>
    <row r="31" spans="1:6" ht="17.100000000000001" customHeight="1" x14ac:dyDescent="0.2">
      <c r="A31" s="73"/>
      <c r="F31" s="80"/>
    </row>
    <row r="32" spans="1:6" ht="17.100000000000001" customHeight="1" x14ac:dyDescent="0.25">
      <c r="A32" s="74" t="s">
        <v>4</v>
      </c>
      <c r="B32" s="127">
        <v>0</v>
      </c>
      <c r="C32" s="127">
        <v>0</v>
      </c>
      <c r="D32" s="127">
        <v>0</v>
      </c>
      <c r="E32" s="127">
        <v>0</v>
      </c>
      <c r="F32" s="89"/>
    </row>
    <row r="33" spans="1:7" ht="17.100000000000001" customHeight="1" x14ac:dyDescent="0.2">
      <c r="A33" s="74" t="s">
        <v>5</v>
      </c>
      <c r="B33" s="53">
        <f>2056+625</f>
        <v>2681</v>
      </c>
      <c r="C33" s="53">
        <f>2088+76</f>
        <v>2164</v>
      </c>
      <c r="D33" s="53">
        <v>1383</v>
      </c>
      <c r="E33" s="53">
        <v>1140</v>
      </c>
      <c r="F33" s="89"/>
    </row>
    <row r="34" spans="1:7" ht="17.100000000000001" customHeight="1" x14ac:dyDescent="0.25">
      <c r="A34" s="74" t="s">
        <v>6</v>
      </c>
      <c r="B34" s="127">
        <v>3</v>
      </c>
      <c r="C34" s="127">
        <v>18</v>
      </c>
      <c r="D34" s="127">
        <v>0</v>
      </c>
      <c r="E34" s="127">
        <v>0</v>
      </c>
      <c r="F34" s="90"/>
    </row>
    <row r="35" spans="1:7" ht="17.100000000000001" customHeight="1" x14ac:dyDescent="0.25">
      <c r="A35" s="68"/>
      <c r="B35" s="128">
        <f>SUM(B32:B34)</f>
        <v>2684</v>
      </c>
      <c r="C35" s="128">
        <f>SUM(C32:C34)</f>
        <v>2182</v>
      </c>
      <c r="D35" s="128">
        <f>SUM(D32:D34)</f>
        <v>1383</v>
      </c>
      <c r="E35" s="128">
        <f>SUM(E32:E34)</f>
        <v>1140</v>
      </c>
      <c r="F35" s="91"/>
    </row>
    <row r="36" spans="1:7" ht="17.100000000000001" customHeight="1" x14ac:dyDescent="0.2">
      <c r="A36" s="73" t="s">
        <v>7</v>
      </c>
      <c r="B36" s="76"/>
      <c r="C36" s="76"/>
      <c r="D36" s="143"/>
      <c r="E36" s="76"/>
      <c r="F36" s="75"/>
    </row>
    <row r="37" spans="1:7" ht="17.100000000000001" customHeight="1" x14ac:dyDescent="0.2">
      <c r="A37" s="73"/>
      <c r="B37" s="76"/>
      <c r="C37" s="76"/>
      <c r="D37" s="143"/>
      <c r="E37" s="76"/>
      <c r="F37" s="75"/>
    </row>
    <row r="38" spans="1:7" ht="17.100000000000001" customHeight="1" x14ac:dyDescent="0.25">
      <c r="A38" s="74" t="s">
        <v>8</v>
      </c>
      <c r="B38" s="127">
        <f>25+338+555</f>
        <v>918</v>
      </c>
      <c r="C38" s="127">
        <f>25+334+385</f>
        <v>744</v>
      </c>
      <c r="D38" s="127">
        <v>609</v>
      </c>
      <c r="E38" s="127">
        <v>495</v>
      </c>
      <c r="F38" s="89"/>
    </row>
    <row r="39" spans="1:7" ht="17.100000000000001" customHeight="1" x14ac:dyDescent="0.25">
      <c r="A39" s="74" t="s">
        <v>9</v>
      </c>
      <c r="B39" s="127">
        <v>169</v>
      </c>
      <c r="C39" s="127">
        <v>685</v>
      </c>
      <c r="D39" s="127">
        <v>89</v>
      </c>
      <c r="E39" s="127">
        <v>59</v>
      </c>
      <c r="F39" s="89"/>
    </row>
    <row r="40" spans="1:7" ht="17.100000000000001" customHeight="1" x14ac:dyDescent="0.25">
      <c r="A40" s="74" t="s">
        <v>10</v>
      </c>
      <c r="B40" s="127">
        <v>1597</v>
      </c>
      <c r="C40" s="127">
        <v>753</v>
      </c>
      <c r="D40" s="127">
        <v>685</v>
      </c>
      <c r="E40" s="127">
        <v>586</v>
      </c>
      <c r="F40" s="89"/>
    </row>
    <row r="41" spans="1:7" ht="17.100000000000001" customHeight="1" x14ac:dyDescent="0.25">
      <c r="A41" s="74" t="s">
        <v>6</v>
      </c>
      <c r="B41" s="127">
        <v>0</v>
      </c>
      <c r="C41" s="127">
        <v>0</v>
      </c>
      <c r="D41" s="127">
        <v>0</v>
      </c>
      <c r="E41" s="127">
        <v>0</v>
      </c>
      <c r="F41" s="90"/>
    </row>
    <row r="42" spans="1:7" ht="17.100000000000001" customHeight="1" x14ac:dyDescent="0.25">
      <c r="A42" s="68"/>
      <c r="B42" s="128">
        <f>SUM(B38:B41)</f>
        <v>2684</v>
      </c>
      <c r="C42" s="128">
        <f>SUM(C38:C41)</f>
        <v>2182</v>
      </c>
      <c r="D42" s="128">
        <f>SUM(D38:D41)</f>
        <v>1383</v>
      </c>
      <c r="E42" s="128">
        <f>SUM(E38:E41)</f>
        <v>1140</v>
      </c>
      <c r="F42" s="91"/>
    </row>
    <row r="43" spans="1:7" ht="17.100000000000001" customHeight="1" x14ac:dyDescent="0.25">
      <c r="A43" s="71" t="s">
        <v>66</v>
      </c>
      <c r="B43" s="143"/>
      <c r="C43" s="143"/>
      <c r="D43" s="143"/>
      <c r="E43" s="76"/>
      <c r="F43" s="76"/>
    </row>
    <row r="44" spans="1:7" ht="17.100000000000001" customHeight="1" x14ac:dyDescent="0.2">
      <c r="A44" s="74" t="s">
        <v>12</v>
      </c>
      <c r="B44" s="53">
        <v>10040</v>
      </c>
      <c r="C44" s="53">
        <v>9434</v>
      </c>
      <c r="D44" s="53">
        <v>9254</v>
      </c>
      <c r="E44" s="53">
        <v>8606</v>
      </c>
      <c r="F44" s="89"/>
      <c r="G44" s="76"/>
    </row>
    <row r="45" spans="1:7" ht="17.100000000000001" customHeight="1" x14ac:dyDescent="0.25">
      <c r="A45" s="74" t="s">
        <v>19</v>
      </c>
      <c r="B45" s="127">
        <v>33</v>
      </c>
      <c r="C45" s="127">
        <v>52</v>
      </c>
      <c r="D45" s="127">
        <v>28</v>
      </c>
      <c r="E45" s="127">
        <v>25</v>
      </c>
      <c r="F45" s="89"/>
    </row>
    <row r="46" spans="1:7" ht="17.100000000000001" customHeight="1" x14ac:dyDescent="0.25">
      <c r="A46" s="74" t="s">
        <v>13</v>
      </c>
      <c r="B46" s="127">
        <v>4</v>
      </c>
      <c r="C46" s="127">
        <v>4</v>
      </c>
      <c r="D46" s="127">
        <v>1</v>
      </c>
      <c r="E46" s="127">
        <v>3</v>
      </c>
      <c r="F46" s="90"/>
    </row>
    <row r="47" spans="1:7" ht="17.100000000000001" customHeight="1" x14ac:dyDescent="0.25">
      <c r="A47" s="68"/>
      <c r="B47" s="128">
        <f>SUM(B44:B46)</f>
        <v>10077</v>
      </c>
      <c r="C47" s="128">
        <f>SUM(C44:C46)</f>
        <v>9490</v>
      </c>
      <c r="D47" s="128">
        <f>SUM(D44:D46)</f>
        <v>9283</v>
      </c>
      <c r="E47" s="128">
        <f>SUM(E44:E46)</f>
        <v>8634</v>
      </c>
      <c r="F47" s="91"/>
    </row>
    <row r="48" spans="1:7" ht="17.100000000000001" customHeight="1" x14ac:dyDescent="0.25">
      <c r="A48" s="74" t="s">
        <v>20</v>
      </c>
      <c r="B48" s="127">
        <v>6191</v>
      </c>
      <c r="C48" s="127">
        <v>5852</v>
      </c>
      <c r="D48" s="127">
        <v>5226</v>
      </c>
      <c r="E48" s="127">
        <v>5099</v>
      </c>
      <c r="F48" s="91"/>
    </row>
    <row r="49" spans="1:6" ht="17.100000000000001" customHeight="1" x14ac:dyDescent="0.25">
      <c r="A49" s="74" t="s">
        <v>14</v>
      </c>
      <c r="B49" s="127">
        <v>1012</v>
      </c>
      <c r="C49" s="127">
        <v>920</v>
      </c>
      <c r="D49" s="127">
        <v>920</v>
      </c>
      <c r="E49" s="127">
        <v>868</v>
      </c>
      <c r="F49" s="89"/>
    </row>
    <row r="50" spans="1:6" ht="17.100000000000001" customHeight="1" x14ac:dyDescent="0.25">
      <c r="A50" s="74" t="s">
        <v>15</v>
      </c>
      <c r="B50" s="127">
        <v>0</v>
      </c>
      <c r="C50" s="127">
        <v>0</v>
      </c>
      <c r="D50" s="127">
        <v>0</v>
      </c>
      <c r="E50" s="127">
        <v>0</v>
      </c>
      <c r="F50" s="89"/>
    </row>
    <row r="51" spans="1:6" ht="17.100000000000001" customHeight="1" x14ac:dyDescent="0.25">
      <c r="A51" s="74" t="s">
        <v>16</v>
      </c>
      <c r="B51" s="127">
        <v>2029</v>
      </c>
      <c r="C51" s="127">
        <v>2125</v>
      </c>
      <c r="D51" s="127">
        <v>2649</v>
      </c>
      <c r="E51" s="127">
        <v>2328</v>
      </c>
      <c r="F51" s="89"/>
    </row>
    <row r="52" spans="1:6" ht="17.100000000000001" customHeight="1" x14ac:dyDescent="0.25">
      <c r="A52" s="74" t="s">
        <v>17</v>
      </c>
      <c r="B52" s="127">
        <v>0</v>
      </c>
      <c r="C52" s="127">
        <v>0</v>
      </c>
      <c r="D52" s="127">
        <v>0</v>
      </c>
      <c r="E52" s="127">
        <v>0</v>
      </c>
      <c r="F52" s="89"/>
    </row>
    <row r="53" spans="1:6" ht="17.100000000000001" customHeight="1" x14ac:dyDescent="0.25">
      <c r="A53" s="74" t="s">
        <v>18</v>
      </c>
      <c r="B53" s="127">
        <v>291</v>
      </c>
      <c r="C53" s="127">
        <v>208</v>
      </c>
      <c r="D53" s="127">
        <v>174</v>
      </c>
      <c r="E53" s="127">
        <v>124</v>
      </c>
      <c r="F53" s="90"/>
    </row>
    <row r="54" spans="1:6" ht="17.100000000000001" customHeight="1" x14ac:dyDescent="0.25">
      <c r="A54" s="68"/>
      <c r="B54" s="128">
        <f>SUM(B48:B53)</f>
        <v>9523</v>
      </c>
      <c r="C54" s="128">
        <f>SUM(C48:C53)</f>
        <v>9105</v>
      </c>
      <c r="D54" s="128">
        <f>SUM(D48:D53)</f>
        <v>8969</v>
      </c>
      <c r="E54" s="128">
        <f>SUM(E48:E53)</f>
        <v>8419</v>
      </c>
      <c r="F54" s="91"/>
    </row>
    <row r="55" spans="1:6" ht="17.100000000000001" customHeight="1" x14ac:dyDescent="0.25">
      <c r="A55" s="74"/>
      <c r="B55" s="127"/>
      <c r="C55" s="127"/>
      <c r="D55" s="127"/>
      <c r="E55" s="127"/>
      <c r="F55" s="80"/>
    </row>
    <row r="56" spans="1:6" ht="17.100000000000001" customHeight="1" x14ac:dyDescent="0.2">
      <c r="A56" s="70" t="s">
        <v>56</v>
      </c>
      <c r="B56" s="69">
        <f>SUM(B47-B54)</f>
        <v>554</v>
      </c>
      <c r="C56" s="69">
        <f>SUM(C47-C54)</f>
        <v>385</v>
      </c>
      <c r="D56" s="69">
        <f>SUM(D47-D54)</f>
        <v>314</v>
      </c>
      <c r="E56" s="69">
        <f>SUM(E47-E54)</f>
        <v>215</v>
      </c>
      <c r="F56" s="92"/>
    </row>
    <row r="59" spans="1:6" x14ac:dyDescent="0.2">
      <c r="B59" s="76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rgb="FF92D050"/>
  </sheetPr>
  <dimension ref="A1:F58"/>
  <sheetViews>
    <sheetView topLeftCell="A25" workbookViewId="0">
      <selection activeCell="A27" sqref="A27:E57"/>
    </sheetView>
  </sheetViews>
  <sheetFormatPr baseColWidth="10" defaultRowHeight="12.75" x14ac:dyDescent="0.2"/>
  <cols>
    <col min="1" max="1" width="39.28515625" style="1" bestFit="1" customWidth="1"/>
    <col min="2" max="16384" width="11.42578125" style="1"/>
  </cols>
  <sheetData>
    <row r="1" spans="1:5" x14ac:dyDescent="0.2">
      <c r="A1" s="1" t="s">
        <v>1</v>
      </c>
      <c r="B1" s="1">
        <f>$E$27</f>
        <v>2015</v>
      </c>
      <c r="C1" s="1">
        <f>$D$27</f>
        <v>2016</v>
      </c>
      <c r="D1" s="1">
        <f>$C$27</f>
        <v>2017</v>
      </c>
      <c r="E1" s="1">
        <f>$B$27</f>
        <v>2018</v>
      </c>
    </row>
    <row r="2" spans="1:5" x14ac:dyDescent="0.2">
      <c r="B2" s="2">
        <f>E57</f>
        <v>-1293</v>
      </c>
      <c r="C2" s="2">
        <f>D57</f>
        <v>-189</v>
      </c>
      <c r="D2" s="2">
        <f>C57</f>
        <v>-506</v>
      </c>
      <c r="E2" s="2">
        <f>B57</f>
        <v>-685</v>
      </c>
    </row>
    <row r="4" spans="1:5" x14ac:dyDescent="0.2">
      <c r="A4" s="1" t="s">
        <v>0</v>
      </c>
      <c r="B4" s="1">
        <f>$E$27</f>
        <v>2015</v>
      </c>
      <c r="C4" s="1">
        <f>$D$27</f>
        <v>2016</v>
      </c>
      <c r="D4" s="1">
        <f>$C$27</f>
        <v>2017</v>
      </c>
      <c r="E4" s="1">
        <f>$B$27</f>
        <v>2018</v>
      </c>
    </row>
    <row r="5" spans="1:5" x14ac:dyDescent="0.2">
      <c r="B5" s="3">
        <f>E37/E41</f>
        <v>8.4354246586643561E-2</v>
      </c>
      <c r="C5" s="3">
        <f>D37/D41</f>
        <v>8.9434094288463217E-2</v>
      </c>
      <c r="D5" s="3">
        <f>C37/C41</f>
        <v>9.7931232640551674E-2</v>
      </c>
      <c r="E5" s="3">
        <f>B37/B41</f>
        <v>0.10246004308833108</v>
      </c>
    </row>
    <row r="25" spans="1:6" x14ac:dyDescent="0.2">
      <c r="A25" s="1" t="s">
        <v>64</v>
      </c>
    </row>
    <row r="27" spans="1:6" ht="17.100000000000001" customHeight="1" x14ac:dyDescent="0.25">
      <c r="A27" s="54"/>
      <c r="B27" s="55">
        <v>2018</v>
      </c>
      <c r="C27" s="55">
        <v>2017</v>
      </c>
      <c r="D27" s="55">
        <v>2016</v>
      </c>
      <c r="E27" s="55">
        <v>2015</v>
      </c>
    </row>
    <row r="28" spans="1:6" ht="17.100000000000001" customHeight="1" x14ac:dyDescent="0.25">
      <c r="A28" s="35" t="s">
        <v>2</v>
      </c>
    </row>
    <row r="29" spans="1:6" ht="17.100000000000001" customHeight="1" x14ac:dyDescent="0.2">
      <c r="A29" s="36" t="s">
        <v>48</v>
      </c>
      <c r="F29" s="11"/>
    </row>
    <row r="30" spans="1:6" ht="17.100000000000001" customHeight="1" x14ac:dyDescent="0.2">
      <c r="A30" s="36"/>
      <c r="F30" s="7"/>
    </row>
    <row r="31" spans="1:6" ht="17.100000000000001" customHeight="1" x14ac:dyDescent="0.2">
      <c r="A31" s="8" t="s">
        <v>4</v>
      </c>
      <c r="B31" s="24">
        <v>0</v>
      </c>
      <c r="C31" s="24">
        <v>0</v>
      </c>
      <c r="D31" s="24">
        <v>0</v>
      </c>
      <c r="E31" s="24">
        <v>0</v>
      </c>
      <c r="F31" s="15"/>
    </row>
    <row r="32" spans="1:6" ht="17.100000000000001" customHeight="1" x14ac:dyDescent="0.2">
      <c r="A32" s="8" t="s">
        <v>5</v>
      </c>
      <c r="B32" s="24">
        <v>19959</v>
      </c>
      <c r="C32" s="24">
        <v>20882</v>
      </c>
      <c r="D32" s="24">
        <v>22866</v>
      </c>
      <c r="E32" s="24">
        <v>24243</v>
      </c>
      <c r="F32" s="15"/>
    </row>
    <row r="33" spans="1:6" ht="17.100000000000001" customHeight="1" x14ac:dyDescent="0.2">
      <c r="A33" s="8" t="s">
        <v>6</v>
      </c>
      <c r="B33" s="24">
        <v>0</v>
      </c>
      <c r="C33" s="24">
        <v>0</v>
      </c>
      <c r="D33" s="24">
        <v>0</v>
      </c>
      <c r="E33" s="24">
        <v>0</v>
      </c>
      <c r="F33" s="15"/>
    </row>
    <row r="34" spans="1:6" ht="17.100000000000001" customHeight="1" x14ac:dyDescent="0.2">
      <c r="A34" s="56"/>
      <c r="B34" s="57">
        <f>SUM(B31:B33)</f>
        <v>19959</v>
      </c>
      <c r="C34" s="57">
        <f>SUM(C31:C33)</f>
        <v>20882</v>
      </c>
      <c r="D34" s="57">
        <f>SUM(D31:D33)</f>
        <v>22866</v>
      </c>
      <c r="E34" s="57">
        <f>SUM(E31:E33)</f>
        <v>24243</v>
      </c>
      <c r="F34" s="17"/>
    </row>
    <row r="35" spans="1:6" ht="17.100000000000001" customHeight="1" x14ac:dyDescent="0.2">
      <c r="A35" s="36" t="s">
        <v>7</v>
      </c>
      <c r="B35" s="42"/>
      <c r="C35" s="42"/>
      <c r="D35" s="42"/>
      <c r="E35" s="42"/>
      <c r="F35" s="18"/>
    </row>
    <row r="36" spans="1:6" ht="17.100000000000001" customHeight="1" x14ac:dyDescent="0.2">
      <c r="A36" s="36"/>
      <c r="B36" s="42"/>
      <c r="C36" s="42"/>
      <c r="D36" s="42"/>
      <c r="E36" s="42"/>
      <c r="F36" s="18"/>
    </row>
    <row r="37" spans="1:6" ht="17.100000000000001" customHeight="1" x14ac:dyDescent="0.2">
      <c r="A37" s="8" t="s">
        <v>8</v>
      </c>
      <c r="B37" s="24">
        <v>2045</v>
      </c>
      <c r="C37" s="24">
        <v>2045</v>
      </c>
      <c r="D37" s="24">
        <v>2045</v>
      </c>
      <c r="E37" s="24">
        <v>2045</v>
      </c>
      <c r="F37" s="15"/>
    </row>
    <row r="38" spans="1:6" ht="17.100000000000001" customHeight="1" x14ac:dyDescent="0.2">
      <c r="A38" s="8" t="s">
        <v>51</v>
      </c>
      <c r="B38" s="24">
        <v>164</v>
      </c>
      <c r="C38" s="24">
        <v>164</v>
      </c>
      <c r="D38" s="24">
        <v>164</v>
      </c>
      <c r="E38" s="24">
        <v>164</v>
      </c>
      <c r="F38" s="15"/>
    </row>
    <row r="39" spans="1:6" ht="17.100000000000001" customHeight="1" x14ac:dyDescent="0.2">
      <c r="A39" s="8" t="s">
        <v>9</v>
      </c>
      <c r="B39" s="24">
        <v>16969</v>
      </c>
      <c r="C39" s="24">
        <v>18223</v>
      </c>
      <c r="D39" s="24">
        <v>19814</v>
      </c>
      <c r="E39" s="24">
        <v>21787</v>
      </c>
      <c r="F39" s="15"/>
    </row>
    <row r="40" spans="1:6" ht="17.100000000000001" customHeight="1" x14ac:dyDescent="0.2">
      <c r="A40" s="8" t="s">
        <v>10</v>
      </c>
      <c r="B40" s="24">
        <v>781</v>
      </c>
      <c r="C40" s="24">
        <v>450</v>
      </c>
      <c r="D40" s="24">
        <v>843</v>
      </c>
      <c r="E40" s="24">
        <v>247</v>
      </c>
      <c r="F40" s="15"/>
    </row>
    <row r="41" spans="1:6" ht="17.100000000000001" customHeight="1" x14ac:dyDescent="0.2">
      <c r="A41" s="56"/>
      <c r="B41" s="57">
        <f>SUM(B37:B40)</f>
        <v>19959</v>
      </c>
      <c r="C41" s="57">
        <f>SUM(C37:C40)</f>
        <v>20882</v>
      </c>
      <c r="D41" s="57">
        <f>SUM(D37:D40)</f>
        <v>22866</v>
      </c>
      <c r="E41" s="57">
        <f>SUM(E37:E40)</f>
        <v>24243</v>
      </c>
      <c r="F41" s="17"/>
    </row>
    <row r="42" spans="1:6" ht="17.100000000000001" customHeight="1" x14ac:dyDescent="0.25">
      <c r="A42" s="35" t="s">
        <v>66</v>
      </c>
      <c r="B42" s="65"/>
      <c r="C42" s="65"/>
      <c r="D42" s="65"/>
      <c r="E42" s="65"/>
      <c r="F42" s="2"/>
    </row>
    <row r="43" spans="1:6" ht="17.100000000000001" customHeight="1" x14ac:dyDescent="0.2">
      <c r="A43" s="8" t="s">
        <v>19</v>
      </c>
      <c r="B43" s="24">
        <v>422</v>
      </c>
      <c r="C43" s="24">
        <v>531</v>
      </c>
      <c r="D43" s="24">
        <v>390</v>
      </c>
      <c r="E43" s="24">
        <v>354</v>
      </c>
      <c r="F43" s="15"/>
    </row>
    <row r="44" spans="1:6" ht="17.100000000000001" customHeight="1" x14ac:dyDescent="0.2">
      <c r="A44" s="8" t="s">
        <v>13</v>
      </c>
      <c r="B44" s="24">
        <v>0</v>
      </c>
      <c r="C44" s="24">
        <v>0</v>
      </c>
      <c r="D44" s="24">
        <v>0</v>
      </c>
      <c r="E44" s="24">
        <v>0</v>
      </c>
      <c r="F44" s="15"/>
    </row>
    <row r="45" spans="1:6" ht="17.100000000000001" customHeight="1" x14ac:dyDescent="0.2">
      <c r="A45" s="8" t="s">
        <v>53</v>
      </c>
      <c r="B45" s="24">
        <v>0</v>
      </c>
      <c r="C45" s="24">
        <v>0</v>
      </c>
      <c r="D45" s="24">
        <v>0</v>
      </c>
      <c r="E45" s="24">
        <v>0</v>
      </c>
      <c r="F45" s="15"/>
    </row>
    <row r="46" spans="1:6" ht="17.100000000000001" customHeight="1" x14ac:dyDescent="0.2">
      <c r="A46" s="56"/>
      <c r="B46" s="57">
        <f>SUM(B43:B45)</f>
        <v>422</v>
      </c>
      <c r="C46" s="57">
        <f>SUM(C43:C45)</f>
        <v>531</v>
      </c>
      <c r="D46" s="57">
        <f>SUM(D43:D45)</f>
        <v>390</v>
      </c>
      <c r="E46" s="57">
        <f>SUM(E43:E45)</f>
        <v>354</v>
      </c>
      <c r="F46" s="17"/>
    </row>
    <row r="47" spans="1:6" ht="17.100000000000001" customHeight="1" x14ac:dyDescent="0.2">
      <c r="A47" s="8" t="s">
        <v>14</v>
      </c>
      <c r="B47" s="24">
        <v>30</v>
      </c>
      <c r="C47" s="24">
        <v>49</v>
      </c>
      <c r="D47" s="24">
        <v>175</v>
      </c>
      <c r="E47" s="24">
        <v>138</v>
      </c>
      <c r="F47" s="15"/>
    </row>
    <row r="48" spans="1:6" ht="17.100000000000001" customHeight="1" x14ac:dyDescent="0.2">
      <c r="A48" s="8" t="s">
        <v>20</v>
      </c>
      <c r="B48" s="24">
        <v>0</v>
      </c>
      <c r="C48" s="24">
        <v>0</v>
      </c>
      <c r="D48" s="24">
        <v>0</v>
      </c>
      <c r="E48" s="24">
        <v>0</v>
      </c>
      <c r="F48" s="15"/>
    </row>
    <row r="49" spans="1:6" ht="17.100000000000001" customHeight="1" x14ac:dyDescent="0.2">
      <c r="A49" s="8" t="s">
        <v>15</v>
      </c>
      <c r="B49" s="24">
        <v>0</v>
      </c>
      <c r="C49" s="24">
        <v>0</v>
      </c>
      <c r="D49" s="24">
        <v>0</v>
      </c>
      <c r="E49" s="24">
        <v>0</v>
      </c>
      <c r="F49" s="15"/>
    </row>
    <row r="50" spans="1:6" ht="17.100000000000001" customHeight="1" x14ac:dyDescent="0.2">
      <c r="A50" s="8" t="s">
        <v>16</v>
      </c>
      <c r="B50" s="24">
        <v>154</v>
      </c>
      <c r="C50" s="24">
        <v>173</v>
      </c>
      <c r="D50" s="24">
        <v>176</v>
      </c>
      <c r="E50" s="24">
        <v>167</v>
      </c>
      <c r="F50" s="15"/>
    </row>
    <row r="51" spans="1:6" ht="18" customHeight="1" x14ac:dyDescent="0.2">
      <c r="A51" s="8" t="s">
        <v>17</v>
      </c>
      <c r="B51" s="24">
        <v>923</v>
      </c>
      <c r="C51" s="24">
        <v>815</v>
      </c>
      <c r="D51" s="24">
        <v>228</v>
      </c>
      <c r="E51" s="24">
        <v>1342</v>
      </c>
      <c r="F51" s="15"/>
    </row>
    <row r="52" spans="1:6" ht="18" customHeight="1" x14ac:dyDescent="0.2">
      <c r="A52" s="8" t="s">
        <v>54</v>
      </c>
      <c r="B52" s="24">
        <v>0</v>
      </c>
      <c r="C52" s="24">
        <v>0</v>
      </c>
      <c r="D52" s="24">
        <v>0</v>
      </c>
      <c r="E52" s="24">
        <v>0</v>
      </c>
      <c r="F52" s="15"/>
    </row>
    <row r="53" spans="1:6" ht="17.100000000000001" customHeight="1" x14ac:dyDescent="0.2">
      <c r="A53" s="8" t="s">
        <v>18</v>
      </c>
      <c r="B53" s="24">
        <v>0</v>
      </c>
      <c r="C53" s="24">
        <v>0</v>
      </c>
      <c r="D53" s="24">
        <v>0</v>
      </c>
      <c r="E53" s="24">
        <v>0</v>
      </c>
      <c r="F53" s="15"/>
    </row>
    <row r="54" spans="1:6" ht="17.100000000000001" customHeight="1" x14ac:dyDescent="0.2">
      <c r="A54" s="56"/>
      <c r="B54" s="57">
        <f>SUM(B47:B53)</f>
        <v>1107</v>
      </c>
      <c r="C54" s="57">
        <f>SUM(C47:C53)</f>
        <v>1037</v>
      </c>
      <c r="D54" s="57">
        <f>SUM(D47:D53)</f>
        <v>579</v>
      </c>
      <c r="E54" s="57">
        <f>SUM(E47:E53)</f>
        <v>1647</v>
      </c>
      <c r="F54" s="17"/>
    </row>
    <row r="55" spans="1:6" ht="17.100000000000001" customHeight="1" x14ac:dyDescent="0.2">
      <c r="A55" s="8"/>
      <c r="B55" s="41"/>
      <c r="C55" s="41"/>
      <c r="D55" s="41"/>
      <c r="E55" s="41"/>
      <c r="F55" s="17"/>
    </row>
    <row r="56" spans="1:6" ht="17.100000000000001" customHeight="1" x14ac:dyDescent="0.2">
      <c r="A56" s="8" t="s">
        <v>63</v>
      </c>
      <c r="B56" s="24"/>
      <c r="C56" s="24"/>
      <c r="D56" s="24"/>
      <c r="E56" s="24"/>
      <c r="F56" s="18"/>
    </row>
    <row r="57" spans="1:6" ht="17.100000000000001" customHeight="1" x14ac:dyDescent="0.2">
      <c r="A57" s="58" t="s">
        <v>60</v>
      </c>
      <c r="B57" s="57">
        <f>SUM(B46-B54+-B56)</f>
        <v>-685</v>
      </c>
      <c r="C57" s="57">
        <f>SUM(C46-C54+-C56)</f>
        <v>-506</v>
      </c>
      <c r="D57" s="57">
        <f>SUM(D46-D54+-D56)</f>
        <v>-189</v>
      </c>
      <c r="E57" s="57">
        <f>SUM(E46-E54+-E56)</f>
        <v>-1293</v>
      </c>
      <c r="F57" s="17"/>
    </row>
    <row r="58" spans="1:6" ht="15.75" x14ac:dyDescent="0.25">
      <c r="A58" s="29"/>
      <c r="B58" s="29"/>
      <c r="C58" s="29"/>
      <c r="D58" s="29"/>
      <c r="E58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rgb="FF92D050"/>
  </sheetPr>
  <dimension ref="A3:F56"/>
  <sheetViews>
    <sheetView topLeftCell="A18" zoomScaleNormal="100" workbookViewId="0">
      <selection activeCell="A28" sqref="A28:E56"/>
    </sheetView>
  </sheetViews>
  <sheetFormatPr baseColWidth="10" defaultRowHeight="15.75" x14ac:dyDescent="0.25"/>
  <cols>
    <col min="1" max="1" width="36.85546875" style="29" bestFit="1" customWidth="1"/>
    <col min="2" max="5" width="10.7109375" style="29" customWidth="1"/>
    <col min="6" max="16384" width="11.42578125" style="29"/>
  </cols>
  <sheetData>
    <row r="3" spans="1:6" x14ac:dyDescent="0.25">
      <c r="A3" s="1" t="s">
        <v>1</v>
      </c>
      <c r="B3" s="1">
        <f>$E$28</f>
        <v>2015</v>
      </c>
      <c r="C3" s="1">
        <f>$D$28</f>
        <v>2016</v>
      </c>
      <c r="D3" s="1">
        <f>$C$28</f>
        <v>2017</v>
      </c>
      <c r="E3" s="1">
        <f>$B$28</f>
        <v>2018</v>
      </c>
      <c r="F3" s="30"/>
    </row>
    <row r="4" spans="1:6" x14ac:dyDescent="0.25">
      <c r="A4" s="33"/>
      <c r="B4" s="2">
        <f>E56</f>
        <v>-2</v>
      </c>
      <c r="C4" s="2">
        <f>D56</f>
        <v>-2</v>
      </c>
      <c r="D4" s="2">
        <f>C56</f>
        <v>-1</v>
      </c>
      <c r="E4" s="2">
        <f>B56</f>
        <v>0</v>
      </c>
      <c r="F4" s="30"/>
    </row>
    <row r="5" spans="1:6" x14ac:dyDescent="0.25">
      <c r="A5" s="1"/>
      <c r="B5" s="1"/>
      <c r="C5" s="1"/>
      <c r="D5" s="1"/>
      <c r="E5" s="1"/>
      <c r="F5" s="30"/>
    </row>
    <row r="6" spans="1:6" x14ac:dyDescent="0.25">
      <c r="A6" s="1" t="s">
        <v>0</v>
      </c>
      <c r="B6" s="1">
        <f>$E$28</f>
        <v>2015</v>
      </c>
      <c r="C6" s="1">
        <f>$D$28</f>
        <v>2016</v>
      </c>
      <c r="D6" s="1">
        <f>$C$28</f>
        <v>2017</v>
      </c>
      <c r="E6" s="1">
        <f>$B$28</f>
        <v>2018</v>
      </c>
      <c r="F6" s="30"/>
    </row>
    <row r="7" spans="1:6" x14ac:dyDescent="0.25">
      <c r="A7" s="1"/>
      <c r="B7" s="28">
        <f>E38/E42</f>
        <v>1</v>
      </c>
      <c r="C7" s="28">
        <f>D38/D42</f>
        <v>1</v>
      </c>
      <c r="D7" s="28">
        <f>C38/C42</f>
        <v>1</v>
      </c>
      <c r="E7" s="28">
        <f>B38/B42</f>
        <v>0.93103448275862066</v>
      </c>
      <c r="F7" s="30"/>
    </row>
    <row r="28" spans="1:6" x14ac:dyDescent="0.25">
      <c r="A28" s="61"/>
      <c r="B28" s="55">
        <v>2018</v>
      </c>
      <c r="C28" s="55">
        <v>2017</v>
      </c>
      <c r="D28" s="55">
        <v>2016</v>
      </c>
      <c r="E28" s="55">
        <v>2015</v>
      </c>
    </row>
    <row r="29" spans="1:6" ht="17.100000000000001" customHeight="1" x14ac:dyDescent="0.25">
      <c r="A29" s="35" t="s">
        <v>2</v>
      </c>
    </row>
    <row r="30" spans="1:6" ht="17.100000000000001" customHeight="1" x14ac:dyDescent="0.25">
      <c r="A30" s="36" t="s">
        <v>48</v>
      </c>
      <c r="F30" s="47"/>
    </row>
    <row r="31" spans="1:6" ht="17.100000000000001" customHeight="1" x14ac:dyDescent="0.25">
      <c r="A31" s="36"/>
      <c r="F31" s="7"/>
    </row>
    <row r="32" spans="1:6" ht="17.100000000000001" customHeight="1" x14ac:dyDescent="0.25">
      <c r="A32" s="8" t="s">
        <v>4</v>
      </c>
      <c r="B32" s="29">
        <v>0</v>
      </c>
      <c r="C32" s="29">
        <v>0</v>
      </c>
      <c r="D32" s="29">
        <v>0</v>
      </c>
      <c r="E32" s="29">
        <v>0</v>
      </c>
      <c r="F32" s="18"/>
    </row>
    <row r="33" spans="1:6" ht="17.100000000000001" customHeight="1" x14ac:dyDescent="0.25">
      <c r="A33" s="8" t="s">
        <v>5</v>
      </c>
      <c r="B33" s="29">
        <v>29</v>
      </c>
      <c r="C33" s="29">
        <v>28</v>
      </c>
      <c r="D33" s="29">
        <v>29</v>
      </c>
      <c r="E33" s="29">
        <v>31</v>
      </c>
      <c r="F33" s="18"/>
    </row>
    <row r="34" spans="1:6" ht="17.100000000000001" customHeight="1" x14ac:dyDescent="0.25">
      <c r="A34" s="8" t="s">
        <v>6</v>
      </c>
      <c r="B34" s="29">
        <v>0</v>
      </c>
      <c r="C34" s="29">
        <v>0</v>
      </c>
      <c r="D34" s="29">
        <v>0</v>
      </c>
      <c r="E34" s="29">
        <v>0</v>
      </c>
      <c r="F34" s="18"/>
    </row>
    <row r="35" spans="1:6" ht="17.100000000000001" customHeight="1" x14ac:dyDescent="0.25">
      <c r="A35" s="56"/>
      <c r="B35" s="57">
        <f>SUM(B32:B34)</f>
        <v>29</v>
      </c>
      <c r="C35" s="57">
        <f>SUM(C32:C34)</f>
        <v>28</v>
      </c>
      <c r="D35" s="57">
        <f>SUM(D32:D34)</f>
        <v>29</v>
      </c>
      <c r="E35" s="57">
        <f>SUM(E32:E34)</f>
        <v>31</v>
      </c>
      <c r="F35" s="41"/>
    </row>
    <row r="36" spans="1:6" ht="17.100000000000001" customHeight="1" x14ac:dyDescent="0.25">
      <c r="A36" s="36" t="s">
        <v>7</v>
      </c>
      <c r="F36" s="18"/>
    </row>
    <row r="37" spans="1:6" ht="17.100000000000001" customHeight="1" x14ac:dyDescent="0.25">
      <c r="A37" s="36"/>
      <c r="F37" s="18"/>
    </row>
    <row r="38" spans="1:6" ht="17.100000000000001" customHeight="1" x14ac:dyDescent="0.25">
      <c r="A38" s="8" t="s">
        <v>8</v>
      </c>
      <c r="B38" s="29">
        <v>27</v>
      </c>
      <c r="C38" s="29">
        <v>28</v>
      </c>
      <c r="D38" s="29">
        <v>29</v>
      </c>
      <c r="E38" s="29">
        <v>31</v>
      </c>
      <c r="F38" s="18"/>
    </row>
    <row r="39" spans="1:6" ht="17.100000000000001" customHeight="1" x14ac:dyDescent="0.25">
      <c r="A39" s="8" t="s">
        <v>9</v>
      </c>
      <c r="B39" s="29">
        <v>0</v>
      </c>
      <c r="C39" s="29">
        <v>0</v>
      </c>
      <c r="D39" s="29">
        <v>0</v>
      </c>
      <c r="E39" s="29">
        <v>0</v>
      </c>
      <c r="F39" s="18"/>
    </row>
    <row r="40" spans="1:6" ht="17.100000000000001" customHeight="1" x14ac:dyDescent="0.25">
      <c r="A40" s="8" t="s">
        <v>10</v>
      </c>
      <c r="B40" s="29">
        <v>2</v>
      </c>
      <c r="C40" s="29">
        <v>0</v>
      </c>
      <c r="D40" s="29">
        <v>0</v>
      </c>
      <c r="E40" s="29">
        <v>0</v>
      </c>
      <c r="F40" s="18"/>
    </row>
    <row r="41" spans="1:6" ht="17.100000000000001" customHeight="1" x14ac:dyDescent="0.25">
      <c r="A41" s="8" t="s">
        <v>6</v>
      </c>
      <c r="B41" s="29">
        <v>0</v>
      </c>
      <c r="C41" s="29">
        <v>0</v>
      </c>
      <c r="D41" s="29">
        <v>0</v>
      </c>
      <c r="E41" s="29">
        <v>0</v>
      </c>
      <c r="F41" s="18"/>
    </row>
    <row r="42" spans="1:6" ht="17.100000000000001" customHeight="1" x14ac:dyDescent="0.25">
      <c r="A42" s="56"/>
      <c r="B42" s="57">
        <f>SUM(B38:B41)</f>
        <v>29</v>
      </c>
      <c r="C42" s="57">
        <f>SUM(C38:C41)</f>
        <v>28</v>
      </c>
      <c r="D42" s="57">
        <f>SUM(D38:D41)</f>
        <v>29</v>
      </c>
      <c r="E42" s="57">
        <f>SUM(E38:E41)</f>
        <v>31</v>
      </c>
      <c r="F42" s="41"/>
    </row>
    <row r="43" spans="1:6" ht="17.100000000000001" customHeight="1" x14ac:dyDescent="0.25">
      <c r="A43" s="35" t="s">
        <v>66</v>
      </c>
      <c r="B43" s="144"/>
      <c r="C43" s="144"/>
      <c r="D43" s="144"/>
      <c r="F43" s="46"/>
    </row>
    <row r="44" spans="1:6" ht="17.100000000000001" customHeight="1" x14ac:dyDescent="0.25">
      <c r="A44" s="8" t="s">
        <v>12</v>
      </c>
      <c r="B44" s="29">
        <v>0</v>
      </c>
      <c r="C44" s="29">
        <v>1</v>
      </c>
      <c r="D44" s="29">
        <v>0</v>
      </c>
      <c r="E44" s="29">
        <v>0</v>
      </c>
      <c r="F44" s="18"/>
    </row>
    <row r="45" spans="1:6" ht="17.100000000000001" customHeight="1" x14ac:dyDescent="0.25">
      <c r="A45" s="8" t="s">
        <v>19</v>
      </c>
      <c r="B45" s="29">
        <v>9</v>
      </c>
      <c r="C45" s="29">
        <v>0</v>
      </c>
      <c r="D45" s="29">
        <v>0</v>
      </c>
      <c r="E45" s="29">
        <v>0</v>
      </c>
      <c r="F45" s="18"/>
    </row>
    <row r="46" spans="1:6" ht="17.100000000000001" customHeight="1" x14ac:dyDescent="0.25">
      <c r="A46" s="8" t="s">
        <v>13</v>
      </c>
      <c r="B46" s="29">
        <v>0</v>
      </c>
      <c r="C46" s="29">
        <v>0</v>
      </c>
      <c r="D46" s="29">
        <v>0</v>
      </c>
      <c r="E46" s="29">
        <v>0</v>
      </c>
      <c r="F46" s="18"/>
    </row>
    <row r="47" spans="1:6" ht="17.100000000000001" customHeight="1" x14ac:dyDescent="0.25">
      <c r="A47" s="56"/>
      <c r="B47" s="57">
        <f>SUM(B44:B46)</f>
        <v>9</v>
      </c>
      <c r="C47" s="57">
        <f>SUM(C44:C46)</f>
        <v>1</v>
      </c>
      <c r="D47" s="57">
        <f>SUM(D44:D46)</f>
        <v>0</v>
      </c>
      <c r="E47" s="57">
        <f>SUM(E44:E46)</f>
        <v>0</v>
      </c>
      <c r="F47" s="41"/>
    </row>
    <row r="48" spans="1:6" ht="17.100000000000001" customHeight="1" x14ac:dyDescent="0.25">
      <c r="A48" s="8" t="s">
        <v>20</v>
      </c>
      <c r="B48" s="29">
        <v>0</v>
      </c>
      <c r="C48" s="29">
        <v>0</v>
      </c>
      <c r="D48" s="29">
        <v>0</v>
      </c>
      <c r="E48" s="29">
        <v>0</v>
      </c>
      <c r="F48" s="18"/>
    </row>
    <row r="49" spans="1:6" ht="17.100000000000001" customHeight="1" x14ac:dyDescent="0.25">
      <c r="A49" s="8" t="s">
        <v>14</v>
      </c>
      <c r="B49" s="29">
        <v>7</v>
      </c>
      <c r="C49" s="29">
        <v>1</v>
      </c>
      <c r="D49" s="29">
        <v>0</v>
      </c>
      <c r="E49" s="29">
        <v>0</v>
      </c>
      <c r="F49" s="18"/>
    </row>
    <row r="50" spans="1:6" ht="17.100000000000001" customHeight="1" x14ac:dyDescent="0.25">
      <c r="A50" s="8" t="s">
        <v>15</v>
      </c>
      <c r="B50" s="29">
        <v>0</v>
      </c>
      <c r="C50" s="29">
        <v>0</v>
      </c>
      <c r="D50" s="29">
        <v>0</v>
      </c>
      <c r="E50" s="29">
        <v>0</v>
      </c>
      <c r="F50" s="18"/>
    </row>
    <row r="51" spans="1:6" ht="17.100000000000001" customHeight="1" x14ac:dyDescent="0.25">
      <c r="A51" s="8" t="s">
        <v>16</v>
      </c>
      <c r="B51" s="29">
        <v>2</v>
      </c>
      <c r="C51" s="29">
        <v>1</v>
      </c>
      <c r="D51" s="29">
        <v>2</v>
      </c>
      <c r="E51" s="29">
        <v>2</v>
      </c>
      <c r="F51" s="18"/>
    </row>
    <row r="52" spans="1:6" ht="17.100000000000001" customHeight="1" x14ac:dyDescent="0.25">
      <c r="A52" s="8" t="s">
        <v>17</v>
      </c>
      <c r="B52" s="29">
        <v>0</v>
      </c>
      <c r="C52" s="29">
        <v>0</v>
      </c>
      <c r="D52" s="29">
        <v>0</v>
      </c>
      <c r="E52" s="29">
        <v>0</v>
      </c>
      <c r="F52" s="18"/>
    </row>
    <row r="53" spans="1:6" ht="17.100000000000001" customHeight="1" x14ac:dyDescent="0.25">
      <c r="A53" s="8" t="s">
        <v>18</v>
      </c>
      <c r="B53" s="29">
        <v>0</v>
      </c>
      <c r="C53" s="29">
        <v>0</v>
      </c>
      <c r="D53" s="29">
        <v>0</v>
      </c>
      <c r="E53" s="29">
        <v>0</v>
      </c>
      <c r="F53" s="18"/>
    </row>
    <row r="54" spans="1:6" ht="17.100000000000001" customHeight="1" x14ac:dyDescent="0.25">
      <c r="A54" s="56"/>
      <c r="B54" s="57">
        <f>SUM(B48:B53)</f>
        <v>9</v>
      </c>
      <c r="C54" s="57">
        <f>SUM(C48:C53)</f>
        <v>2</v>
      </c>
      <c r="D54" s="57">
        <f>SUM(D48:D53)</f>
        <v>2</v>
      </c>
      <c r="E54" s="57">
        <f>SUM(E48:E53)</f>
        <v>2</v>
      </c>
      <c r="F54" s="41"/>
    </row>
    <row r="55" spans="1:6" ht="17.100000000000001" customHeight="1" x14ac:dyDescent="0.25">
      <c r="A55" s="8"/>
      <c r="F55" s="18"/>
    </row>
    <row r="56" spans="1:6" ht="17.100000000000001" customHeight="1" x14ac:dyDescent="0.25">
      <c r="A56" s="58" t="s">
        <v>56</v>
      </c>
      <c r="B56" s="57">
        <f>SUM(B47-B54)</f>
        <v>0</v>
      </c>
      <c r="C56" s="57">
        <f>SUM(C47-C54)</f>
        <v>-1</v>
      </c>
      <c r="D56" s="57">
        <f>SUM(D47-D54)</f>
        <v>-2</v>
      </c>
      <c r="E56" s="57">
        <f>SUM(E47-E54)</f>
        <v>-2</v>
      </c>
      <c r="F56" s="41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/>
  <dimension ref="A2:H54"/>
  <sheetViews>
    <sheetView topLeftCell="A20" workbookViewId="0">
      <selection activeCell="A26" sqref="A26:E54"/>
    </sheetView>
  </sheetViews>
  <sheetFormatPr baseColWidth="10" defaultRowHeight="12.75" x14ac:dyDescent="0.2"/>
  <cols>
    <col min="1" max="1" width="36.85546875" style="1" bestFit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A3" s="14"/>
      <c r="B3" s="2">
        <f>E54</f>
        <v>-1682</v>
      </c>
      <c r="C3" s="2">
        <f>D54</f>
        <v>-619</v>
      </c>
      <c r="D3" s="2">
        <f>C54</f>
        <v>-19</v>
      </c>
      <c r="E3" s="2"/>
    </row>
    <row r="5" spans="1:5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E36/E40</f>
        <v>0.40769126424308194</v>
      </c>
      <c r="C6" s="3">
        <f>D36/D40</f>
        <v>0.30647269420924023</v>
      </c>
      <c r="D6" s="3">
        <f>C36/C40</f>
        <v>0.14304730970953916</v>
      </c>
      <c r="E6" s="3"/>
    </row>
    <row r="26" spans="1:6" ht="17.100000000000001" customHeight="1" x14ac:dyDescent="0.25">
      <c r="A26" s="54"/>
      <c r="B26" s="55">
        <v>2018</v>
      </c>
      <c r="C26" s="55">
        <v>2017</v>
      </c>
      <c r="D26" s="55">
        <v>2016</v>
      </c>
      <c r="E26" s="55">
        <v>2015</v>
      </c>
    </row>
    <row r="27" spans="1:6" ht="17.100000000000001" customHeight="1" x14ac:dyDescent="0.25">
      <c r="A27" s="35" t="s">
        <v>2</v>
      </c>
    </row>
    <row r="28" spans="1:6" ht="17.100000000000001" customHeight="1" x14ac:dyDescent="0.2">
      <c r="A28" s="36" t="s">
        <v>48</v>
      </c>
      <c r="F28" s="11"/>
    </row>
    <row r="29" spans="1:6" ht="17.100000000000001" customHeight="1" x14ac:dyDescent="0.2">
      <c r="A29" s="36"/>
      <c r="F29" s="7"/>
    </row>
    <row r="30" spans="1:6" ht="17.100000000000001" customHeight="1" x14ac:dyDescent="0.25">
      <c r="A30" s="8" t="s">
        <v>4</v>
      </c>
      <c r="B30" s="46"/>
      <c r="C30" s="46">
        <v>21235</v>
      </c>
      <c r="D30" s="46">
        <f>125+15638</f>
        <v>15763</v>
      </c>
      <c r="E30" s="46">
        <v>10262</v>
      </c>
      <c r="F30" s="15"/>
    </row>
    <row r="31" spans="1:6" ht="17.100000000000001" customHeight="1" x14ac:dyDescent="0.25">
      <c r="A31" s="8" t="s">
        <v>5</v>
      </c>
      <c r="B31" s="46"/>
      <c r="C31" s="46">
        <v>16326</v>
      </c>
      <c r="D31" s="46">
        <f>586+1246+2</f>
        <v>1834</v>
      </c>
      <c r="E31" s="46">
        <f>574+3906+2</f>
        <v>4482</v>
      </c>
      <c r="F31" s="15"/>
    </row>
    <row r="32" spans="1:6" ht="17.100000000000001" customHeight="1" x14ac:dyDescent="0.25">
      <c r="A32" s="8" t="s">
        <v>6</v>
      </c>
      <c r="B32" s="46"/>
      <c r="C32" s="46">
        <v>0</v>
      </c>
      <c r="D32" s="46">
        <v>0</v>
      </c>
      <c r="E32" s="46">
        <v>0</v>
      </c>
      <c r="F32" s="15"/>
    </row>
    <row r="33" spans="1:8" ht="17.100000000000001" customHeight="1" x14ac:dyDescent="0.2">
      <c r="A33" s="56"/>
      <c r="B33" s="57">
        <f>SUM(B30:B32)</f>
        <v>0</v>
      </c>
      <c r="C33" s="57">
        <f>SUM(C30:C32)</f>
        <v>37561</v>
      </c>
      <c r="D33" s="57">
        <f>SUM(D30:D32)</f>
        <v>17597</v>
      </c>
      <c r="E33" s="57">
        <f>SUM(E30:E32)</f>
        <v>14744</v>
      </c>
      <c r="F33" s="17"/>
    </row>
    <row r="34" spans="1:8" ht="17.100000000000001" customHeight="1" x14ac:dyDescent="0.25">
      <c r="A34" s="36" t="s">
        <v>7</v>
      </c>
      <c r="B34" s="29"/>
      <c r="C34" s="29"/>
      <c r="D34" s="29"/>
      <c r="E34" s="29"/>
      <c r="F34" s="18"/>
    </row>
    <row r="35" spans="1:8" ht="17.100000000000001" customHeight="1" x14ac:dyDescent="0.25">
      <c r="A35" s="36"/>
      <c r="B35" s="29"/>
      <c r="C35" s="29"/>
      <c r="D35" s="29"/>
      <c r="E35" s="29"/>
      <c r="F35" s="18"/>
    </row>
    <row r="36" spans="1:8" ht="17.100000000000001" customHeight="1" x14ac:dyDescent="0.25">
      <c r="A36" s="8" t="s">
        <v>8</v>
      </c>
      <c r="B36" s="46"/>
      <c r="C36" s="46">
        <v>5373</v>
      </c>
      <c r="D36" s="46">
        <f>7000+566-1555-618</f>
        <v>5393</v>
      </c>
      <c r="E36" s="46">
        <f>7000+566+128-1683</f>
        <v>6011</v>
      </c>
      <c r="F36" s="15"/>
    </row>
    <row r="37" spans="1:8" ht="17.100000000000001" customHeight="1" x14ac:dyDescent="0.25">
      <c r="A37" s="8" t="s">
        <v>22</v>
      </c>
      <c r="B37" s="46"/>
      <c r="C37" s="46">
        <v>11</v>
      </c>
      <c r="D37" s="46">
        <v>19</v>
      </c>
      <c r="E37" s="46">
        <v>21</v>
      </c>
      <c r="F37" s="15"/>
    </row>
    <row r="38" spans="1:8" ht="17.100000000000001" customHeight="1" x14ac:dyDescent="0.25">
      <c r="A38" s="8" t="s">
        <v>9</v>
      </c>
      <c r="B38" s="46"/>
      <c r="C38" s="46">
        <v>1942</v>
      </c>
      <c r="D38" s="46">
        <v>2087</v>
      </c>
      <c r="E38" s="46">
        <v>1847</v>
      </c>
      <c r="F38" s="15"/>
    </row>
    <row r="39" spans="1:8" ht="17.100000000000001" customHeight="1" x14ac:dyDescent="0.25">
      <c r="A39" s="8" t="s">
        <v>10</v>
      </c>
      <c r="B39" s="46"/>
      <c r="C39" s="46">
        <v>30235</v>
      </c>
      <c r="D39" s="46">
        <v>10098</v>
      </c>
      <c r="E39" s="46">
        <v>6865</v>
      </c>
      <c r="F39" s="15"/>
    </row>
    <row r="40" spans="1:8" ht="17.100000000000001" customHeight="1" x14ac:dyDescent="0.2">
      <c r="A40" s="56"/>
      <c r="B40" s="57">
        <f>SUM(B36:B39)</f>
        <v>0</v>
      </c>
      <c r="C40" s="57">
        <f>SUM(C36:C39)</f>
        <v>37561</v>
      </c>
      <c r="D40" s="57">
        <f>SUM(D36:D39)</f>
        <v>17597</v>
      </c>
      <c r="E40" s="57">
        <f>SUM(E36:E39)</f>
        <v>14744</v>
      </c>
      <c r="F40" s="17"/>
    </row>
    <row r="41" spans="1:8" ht="17.100000000000001" customHeight="1" x14ac:dyDescent="0.25">
      <c r="A41" s="35" t="s">
        <v>66</v>
      </c>
      <c r="B41" s="46"/>
      <c r="C41" s="46"/>
      <c r="D41" s="46"/>
      <c r="E41" s="46"/>
      <c r="F41" s="2"/>
    </row>
    <row r="42" spans="1:8" ht="17.100000000000001" customHeight="1" x14ac:dyDescent="0.25">
      <c r="A42" s="8" t="s">
        <v>12</v>
      </c>
      <c r="B42" s="46"/>
      <c r="C42" s="46">
        <v>22805</v>
      </c>
      <c r="D42" s="46">
        <v>20761</v>
      </c>
      <c r="E42" s="46">
        <v>19389</v>
      </c>
      <c r="F42" s="15"/>
    </row>
    <row r="43" spans="1:8" ht="17.100000000000001" customHeight="1" x14ac:dyDescent="0.25">
      <c r="A43" s="8" t="s">
        <v>19</v>
      </c>
      <c r="B43" s="46"/>
      <c r="C43" s="46">
        <v>531</v>
      </c>
      <c r="D43" s="46">
        <v>317</v>
      </c>
      <c r="E43" s="46">
        <f>484</f>
        <v>484</v>
      </c>
      <c r="F43" s="15"/>
    </row>
    <row r="44" spans="1:8" ht="17.100000000000001" customHeight="1" x14ac:dyDescent="0.25">
      <c r="A44" s="8" t="s">
        <v>13</v>
      </c>
      <c r="B44" s="46"/>
      <c r="C44" s="46">
        <v>0</v>
      </c>
      <c r="D44" s="46">
        <v>0</v>
      </c>
      <c r="E44" s="46">
        <v>0</v>
      </c>
      <c r="F44" s="15"/>
    </row>
    <row r="45" spans="1:8" ht="17.100000000000001" customHeight="1" x14ac:dyDescent="0.2">
      <c r="A45" s="56"/>
      <c r="B45" s="57">
        <f>SUM(B42:B44)</f>
        <v>0</v>
      </c>
      <c r="C45" s="57">
        <f>SUM(C42:C44)</f>
        <v>23336</v>
      </c>
      <c r="D45" s="57">
        <f>SUM(D42:D44)</f>
        <v>21078</v>
      </c>
      <c r="E45" s="57">
        <f>SUM(E42:E44)</f>
        <v>19873</v>
      </c>
      <c r="F45" s="17"/>
    </row>
    <row r="46" spans="1:8" ht="17.100000000000001" customHeight="1" x14ac:dyDescent="0.25">
      <c r="A46" s="8" t="s">
        <v>20</v>
      </c>
      <c r="B46" s="46"/>
      <c r="C46" s="46">
        <v>5745</v>
      </c>
      <c r="D46" s="46">
        <v>5250</v>
      </c>
      <c r="E46" s="46">
        <v>5561</v>
      </c>
      <c r="F46" s="15"/>
      <c r="G46" s="46"/>
      <c r="H46" s="46"/>
    </row>
    <row r="47" spans="1:8" ht="17.100000000000001" customHeight="1" x14ac:dyDescent="0.25">
      <c r="A47" s="8" t="s">
        <v>14</v>
      </c>
      <c r="B47" s="46"/>
      <c r="C47" s="46">
        <v>12709</v>
      </c>
      <c r="D47" s="46">
        <v>12173</v>
      </c>
      <c r="E47" s="46">
        <v>11209</v>
      </c>
      <c r="F47" s="15"/>
    </row>
    <row r="48" spans="1:8" ht="17.100000000000001" customHeight="1" x14ac:dyDescent="0.25">
      <c r="A48" s="8" t="s">
        <v>15</v>
      </c>
      <c r="B48" s="46"/>
      <c r="C48" s="46">
        <v>1936</v>
      </c>
      <c r="D48" s="46">
        <v>1805</v>
      </c>
      <c r="E48" s="46">
        <v>2336</v>
      </c>
      <c r="F48" s="15"/>
    </row>
    <row r="49" spans="1:6" ht="17.100000000000001" customHeight="1" x14ac:dyDescent="0.25">
      <c r="A49" s="8" t="s">
        <v>16</v>
      </c>
      <c r="B49" s="46"/>
      <c r="C49" s="46">
        <v>2850</v>
      </c>
      <c r="D49" s="46">
        <v>2352</v>
      </c>
      <c r="E49" s="46">
        <v>2311</v>
      </c>
      <c r="F49" s="15"/>
    </row>
    <row r="50" spans="1:6" ht="17.100000000000001" customHeight="1" x14ac:dyDescent="0.25">
      <c r="A50" s="8" t="s">
        <v>17</v>
      </c>
      <c r="B50" s="46"/>
      <c r="C50" s="46">
        <v>62</v>
      </c>
      <c r="D50" s="46">
        <v>58</v>
      </c>
      <c r="E50" s="46">
        <v>82</v>
      </c>
      <c r="F50" s="15"/>
    </row>
    <row r="51" spans="1:6" ht="17.100000000000001" customHeight="1" x14ac:dyDescent="0.25">
      <c r="A51" s="8" t="s">
        <v>18</v>
      </c>
      <c r="B51" s="46"/>
      <c r="C51" s="46">
        <v>53</v>
      </c>
      <c r="D51" s="46">
        <f>6+53</f>
        <v>59</v>
      </c>
      <c r="E51" s="46">
        <v>56</v>
      </c>
      <c r="F51" s="15"/>
    </row>
    <row r="52" spans="1:6" ht="17.100000000000001" customHeight="1" x14ac:dyDescent="0.2">
      <c r="A52" s="56"/>
      <c r="B52" s="57">
        <f>SUM(B46:B51)</f>
        <v>0</v>
      </c>
      <c r="C52" s="57">
        <f>SUM(C46:C51)</f>
        <v>23355</v>
      </c>
      <c r="D52" s="57">
        <f>SUM(D46:D51)</f>
        <v>21697</v>
      </c>
      <c r="E52" s="57">
        <f>SUM(E46:E51)</f>
        <v>21555</v>
      </c>
      <c r="F52" s="17"/>
    </row>
    <row r="53" spans="1:6" ht="17.100000000000001" customHeight="1" x14ac:dyDescent="0.25">
      <c r="A53" s="8"/>
      <c r="B53" s="46"/>
      <c r="C53" s="46"/>
      <c r="D53" s="46"/>
      <c r="E53" s="46"/>
      <c r="F53" s="18"/>
    </row>
    <row r="54" spans="1:6" ht="17.100000000000001" customHeight="1" x14ac:dyDescent="0.2">
      <c r="A54" s="58" t="s">
        <v>56</v>
      </c>
      <c r="B54" s="57">
        <f>SUM(B45-B52)</f>
        <v>0</v>
      </c>
      <c r="C54" s="57">
        <f>SUM(C45-C52)</f>
        <v>-19</v>
      </c>
      <c r="D54" s="57">
        <f>SUM(D45-D52)</f>
        <v>-619</v>
      </c>
      <c r="E54" s="57">
        <f>SUM(E45-E52)</f>
        <v>-1682</v>
      </c>
      <c r="F54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topLeftCell="A24" workbookViewId="0">
      <selection activeCell="A26" sqref="A26:E54"/>
    </sheetView>
  </sheetViews>
  <sheetFormatPr baseColWidth="10" defaultRowHeight="12.75" x14ac:dyDescent="0.2"/>
  <cols>
    <col min="1" max="1" width="36.85546875" style="1" bestFit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A3" s="14"/>
      <c r="B3" s="2">
        <f>E54</f>
        <v>5615</v>
      </c>
      <c r="C3" s="2">
        <f>D54</f>
        <v>7012</v>
      </c>
      <c r="D3" s="2">
        <f>C54</f>
        <v>5322</v>
      </c>
      <c r="E3" s="2">
        <f>B54</f>
        <v>6437</v>
      </c>
    </row>
    <row r="5" spans="1:5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E36/E40</f>
        <v>6.5896627590056808E-2</v>
      </c>
      <c r="C6" s="3">
        <f>D36/D40</f>
        <v>7.3263330711085276E-2</v>
      </c>
      <c r="D6" s="3">
        <f>C36/C40</f>
        <v>7.2313766138743657E-2</v>
      </c>
      <c r="E6" s="3">
        <f>B36/B40</f>
        <v>8.2893072401220333E-2</v>
      </c>
    </row>
    <row r="26" spans="1:6" ht="17.100000000000001" customHeight="1" x14ac:dyDescent="0.25">
      <c r="A26" s="54"/>
      <c r="B26" s="55">
        <v>2018</v>
      </c>
      <c r="C26" s="55">
        <v>2017</v>
      </c>
      <c r="D26" s="55">
        <v>2016</v>
      </c>
      <c r="E26" s="55">
        <v>2015</v>
      </c>
    </row>
    <row r="27" spans="1:6" ht="17.100000000000001" customHeight="1" x14ac:dyDescent="0.25">
      <c r="A27" s="35" t="s">
        <v>2</v>
      </c>
    </row>
    <row r="28" spans="1:6" ht="17.100000000000001" customHeight="1" x14ac:dyDescent="0.2">
      <c r="A28" s="36" t="s">
        <v>48</v>
      </c>
      <c r="F28" s="11"/>
    </row>
    <row r="29" spans="1:6" ht="17.100000000000001" customHeight="1" x14ac:dyDescent="0.2">
      <c r="A29" s="36"/>
      <c r="F29" s="7"/>
    </row>
    <row r="30" spans="1:6" ht="17.100000000000001" customHeight="1" x14ac:dyDescent="0.2">
      <c r="A30" s="8" t="s">
        <v>4</v>
      </c>
      <c r="B30" s="51">
        <f>360319+72</f>
        <v>360391</v>
      </c>
      <c r="C30" s="51">
        <v>360759</v>
      </c>
      <c r="D30" s="51">
        <v>359895</v>
      </c>
      <c r="E30" s="51">
        <v>350244</v>
      </c>
      <c r="F30" s="15"/>
    </row>
    <row r="31" spans="1:6" ht="17.100000000000001" customHeight="1" x14ac:dyDescent="0.2">
      <c r="A31" s="8" t="s">
        <v>5</v>
      </c>
      <c r="B31" s="51">
        <v>29322</v>
      </c>
      <c r="C31" s="51">
        <v>32833</v>
      </c>
      <c r="D31" s="51">
        <v>20186</v>
      </c>
      <c r="E31" s="51">
        <v>15166</v>
      </c>
      <c r="F31" s="15"/>
    </row>
    <row r="32" spans="1:6" ht="17.100000000000001" customHeight="1" x14ac:dyDescent="0.2">
      <c r="A32" s="8" t="s">
        <v>6</v>
      </c>
      <c r="B32" s="51">
        <v>18</v>
      </c>
      <c r="C32" s="51">
        <v>26</v>
      </c>
      <c r="D32" s="51">
        <v>0</v>
      </c>
      <c r="E32" s="51">
        <v>26</v>
      </c>
      <c r="F32" s="15"/>
    </row>
    <row r="33" spans="1:6" ht="17.100000000000001" customHeight="1" x14ac:dyDescent="0.2">
      <c r="A33" s="56"/>
      <c r="B33" s="57">
        <f>SUM(B30:B32)</f>
        <v>389731</v>
      </c>
      <c r="C33" s="57">
        <f>SUM(C30:C32)</f>
        <v>393618</v>
      </c>
      <c r="D33" s="57">
        <f>SUM(D30:D32)</f>
        <v>380081</v>
      </c>
      <c r="E33" s="57">
        <f>SUM(E30:E32)</f>
        <v>365436</v>
      </c>
      <c r="F33" s="17"/>
    </row>
    <row r="34" spans="1:6" ht="17.100000000000001" customHeight="1" x14ac:dyDescent="0.2">
      <c r="A34" s="36" t="s">
        <v>7</v>
      </c>
      <c r="B34" s="51"/>
      <c r="C34" s="51"/>
      <c r="D34" s="51"/>
      <c r="E34" s="51"/>
      <c r="F34" s="18"/>
    </row>
    <row r="35" spans="1:6" ht="17.100000000000001" customHeight="1" x14ac:dyDescent="0.2">
      <c r="A35" s="36"/>
      <c r="B35" s="51"/>
      <c r="C35" s="51"/>
      <c r="D35" s="51"/>
      <c r="E35" s="51"/>
      <c r="F35" s="18"/>
    </row>
    <row r="36" spans="1:6" ht="17.100000000000001" customHeight="1" x14ac:dyDescent="0.2">
      <c r="A36" s="8" t="s">
        <v>8</v>
      </c>
      <c r="B36" s="51">
        <v>32306</v>
      </c>
      <c r="C36" s="51">
        <v>28464</v>
      </c>
      <c r="D36" s="51">
        <v>27846</v>
      </c>
      <c r="E36" s="51">
        <v>24081</v>
      </c>
      <c r="F36" s="15"/>
    </row>
    <row r="37" spans="1:6" ht="17.100000000000001" customHeight="1" x14ac:dyDescent="0.2">
      <c r="A37" s="8" t="s">
        <v>22</v>
      </c>
      <c r="B37" s="51">
        <f>7988+56974</f>
        <v>64962</v>
      </c>
      <c r="C37" s="51">
        <f>8171+56327</f>
        <v>64498</v>
      </c>
      <c r="D37" s="51">
        <f>8354+55049</f>
        <v>63403</v>
      </c>
      <c r="E37" s="51">
        <v>54485</v>
      </c>
      <c r="F37" s="15"/>
    </row>
    <row r="38" spans="1:6" ht="17.100000000000001" customHeight="1" x14ac:dyDescent="0.2">
      <c r="A38" s="8" t="s">
        <v>9</v>
      </c>
      <c r="B38" s="51">
        <v>1906</v>
      </c>
      <c r="C38" s="51">
        <v>3198</v>
      </c>
      <c r="D38" s="51">
        <v>1673</v>
      </c>
      <c r="E38" s="51">
        <v>1580</v>
      </c>
      <c r="F38" s="15"/>
    </row>
    <row r="39" spans="1:6" ht="17.100000000000001" customHeight="1" x14ac:dyDescent="0.2">
      <c r="A39" s="8" t="s">
        <v>10</v>
      </c>
      <c r="B39" s="51">
        <v>290557</v>
      </c>
      <c r="C39" s="51">
        <v>297458</v>
      </c>
      <c r="D39" s="51">
        <v>287159</v>
      </c>
      <c r="E39" s="51">
        <v>285290</v>
      </c>
      <c r="F39" s="15"/>
    </row>
    <row r="40" spans="1:6" ht="17.100000000000001" customHeight="1" x14ac:dyDescent="0.2">
      <c r="A40" s="56"/>
      <c r="B40" s="57">
        <f>SUM(B36:B39)</f>
        <v>389731</v>
      </c>
      <c r="C40" s="57">
        <f>SUM(C36:C39)</f>
        <v>393618</v>
      </c>
      <c r="D40" s="57">
        <f>SUM(D36:D39)</f>
        <v>380081</v>
      </c>
      <c r="E40" s="57">
        <f>SUM(E36:E39)</f>
        <v>365436</v>
      </c>
      <c r="F40" s="17"/>
    </row>
    <row r="41" spans="1:6" ht="17.100000000000001" customHeight="1" x14ac:dyDescent="0.25">
      <c r="A41" s="35" t="s">
        <v>70</v>
      </c>
      <c r="B41" s="139"/>
      <c r="C41" s="139"/>
      <c r="D41" s="139"/>
      <c r="E41" s="139"/>
      <c r="F41" s="2"/>
    </row>
    <row r="42" spans="1:6" ht="17.100000000000001" customHeight="1" x14ac:dyDescent="0.2">
      <c r="A42" s="8" t="s">
        <v>12</v>
      </c>
      <c r="B42" s="51">
        <v>167477</v>
      </c>
      <c r="C42" s="51">
        <v>164605</v>
      </c>
      <c r="D42" s="51">
        <v>163940</v>
      </c>
      <c r="E42" s="51">
        <v>162929</v>
      </c>
      <c r="F42" s="15"/>
    </row>
    <row r="43" spans="1:6" ht="17.100000000000001" customHeight="1" x14ac:dyDescent="0.2">
      <c r="A43" s="8" t="s">
        <v>19</v>
      </c>
      <c r="B43" s="51">
        <v>1573</v>
      </c>
      <c r="C43" s="51">
        <v>1153</v>
      </c>
      <c r="D43" s="51">
        <v>3239</v>
      </c>
      <c r="E43" s="51">
        <v>2711</v>
      </c>
      <c r="F43" s="15"/>
    </row>
    <row r="44" spans="1:6" ht="17.100000000000001" customHeight="1" x14ac:dyDescent="0.2">
      <c r="A44" s="8" t="s">
        <v>13</v>
      </c>
      <c r="B44" s="51">
        <v>0</v>
      </c>
      <c r="C44" s="51">
        <v>0</v>
      </c>
      <c r="D44" s="51">
        <v>0</v>
      </c>
      <c r="E44" s="51">
        <v>25</v>
      </c>
      <c r="F44" s="15"/>
    </row>
    <row r="45" spans="1:6" ht="17.100000000000001" customHeight="1" x14ac:dyDescent="0.2">
      <c r="A45" s="56"/>
      <c r="B45" s="57">
        <f>SUM(B42:B44)</f>
        <v>169050</v>
      </c>
      <c r="C45" s="57">
        <f>SUM(C42:C44)</f>
        <v>165758</v>
      </c>
      <c r="D45" s="57">
        <f>SUM(D42:D44)</f>
        <v>167179</v>
      </c>
      <c r="E45" s="57">
        <f>SUM(E42:E44)</f>
        <v>165665</v>
      </c>
      <c r="F45" s="17"/>
    </row>
    <row r="46" spans="1:6" ht="17.100000000000001" customHeight="1" x14ac:dyDescent="0.2">
      <c r="A46" s="8" t="s">
        <v>20</v>
      </c>
      <c r="B46" s="51">
        <v>119903</v>
      </c>
      <c r="C46" s="51">
        <v>117440</v>
      </c>
      <c r="D46" s="51">
        <v>117071</v>
      </c>
      <c r="E46" s="51">
        <v>116557</v>
      </c>
      <c r="F46" s="15"/>
    </row>
    <row r="47" spans="1:6" ht="17.100000000000001" customHeight="1" x14ac:dyDescent="0.2">
      <c r="A47" s="8" t="s">
        <v>14</v>
      </c>
      <c r="B47" s="51">
        <v>535</v>
      </c>
      <c r="C47" s="51">
        <v>500</v>
      </c>
      <c r="D47" s="51">
        <v>526</v>
      </c>
      <c r="E47" s="51">
        <v>554</v>
      </c>
      <c r="F47" s="15"/>
    </row>
    <row r="48" spans="1:6" ht="17.100000000000001" customHeight="1" x14ac:dyDescent="0.2">
      <c r="A48" s="8" t="s">
        <v>15</v>
      </c>
      <c r="B48" s="51">
        <v>8000</v>
      </c>
      <c r="C48" s="51">
        <v>8173</v>
      </c>
      <c r="D48" s="51">
        <v>8213</v>
      </c>
      <c r="E48" s="51">
        <v>8060</v>
      </c>
      <c r="F48" s="15"/>
    </row>
    <row r="49" spans="1:6" ht="17.100000000000001" customHeight="1" x14ac:dyDescent="0.2">
      <c r="A49" s="8" t="s">
        <v>16</v>
      </c>
      <c r="B49" s="51">
        <v>27411</v>
      </c>
      <c r="C49" s="51">
        <v>27093</v>
      </c>
      <c r="D49" s="51">
        <v>26757</v>
      </c>
      <c r="E49" s="51">
        <v>27350</v>
      </c>
      <c r="F49" s="15"/>
    </row>
    <row r="50" spans="1:6" ht="17.100000000000001" customHeight="1" x14ac:dyDescent="0.2">
      <c r="A50" s="8" t="s">
        <v>17</v>
      </c>
      <c r="B50" s="51">
        <v>6722</v>
      </c>
      <c r="C50" s="51">
        <v>7115</v>
      </c>
      <c r="D50" s="51">
        <v>7546</v>
      </c>
      <c r="E50" s="51">
        <v>7529</v>
      </c>
      <c r="F50" s="15"/>
    </row>
    <row r="51" spans="1:6" ht="17.100000000000001" customHeight="1" x14ac:dyDescent="0.2">
      <c r="A51" s="8" t="s">
        <v>18</v>
      </c>
      <c r="B51" s="51">
        <v>42</v>
      </c>
      <c r="C51" s="51">
        <v>115</v>
      </c>
      <c r="D51" s="51">
        <v>54</v>
      </c>
      <c r="E51" s="51">
        <v>0</v>
      </c>
      <c r="F51" s="15"/>
    </row>
    <row r="52" spans="1:6" ht="17.100000000000001" customHeight="1" x14ac:dyDescent="0.2">
      <c r="A52" s="56"/>
      <c r="B52" s="57">
        <f>SUM(B46:B51)</f>
        <v>162613</v>
      </c>
      <c r="C52" s="57">
        <f>SUM(C46:C51)</f>
        <v>160436</v>
      </c>
      <c r="D52" s="57">
        <f>SUM(D46:D51)</f>
        <v>160167</v>
      </c>
      <c r="E52" s="57">
        <f>SUM(E46:E51)</f>
        <v>160050</v>
      </c>
      <c r="F52" s="17"/>
    </row>
    <row r="53" spans="1:6" ht="17.100000000000001" customHeight="1" x14ac:dyDescent="0.2">
      <c r="A53" s="8"/>
      <c r="B53" s="50"/>
      <c r="C53" s="50"/>
      <c r="D53" s="50"/>
      <c r="E53" s="50"/>
      <c r="F53" s="18"/>
    </row>
    <row r="54" spans="1:6" ht="17.100000000000001" customHeight="1" x14ac:dyDescent="0.2">
      <c r="A54" s="58" t="s">
        <v>56</v>
      </c>
      <c r="B54" s="57">
        <f>SUM(B45-B52)</f>
        <v>6437</v>
      </c>
      <c r="C54" s="57">
        <f>SUM(C45-C52)</f>
        <v>5322</v>
      </c>
      <c r="D54" s="57">
        <f>SUM(D45-D52)</f>
        <v>7012</v>
      </c>
      <c r="E54" s="57">
        <f>SUM(E45-E52)</f>
        <v>5615</v>
      </c>
      <c r="F54" s="1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>
    <tabColor theme="6"/>
  </sheetPr>
  <dimension ref="A2:G63"/>
  <sheetViews>
    <sheetView topLeftCell="A29" workbookViewId="0">
      <selection activeCell="A25" sqref="A25"/>
    </sheetView>
  </sheetViews>
  <sheetFormatPr baseColWidth="10" defaultRowHeight="12.75" x14ac:dyDescent="0.2"/>
  <cols>
    <col min="1" max="1" width="36" style="1" customWidth="1"/>
    <col min="2" max="16384" width="11.42578125" style="1"/>
  </cols>
  <sheetData>
    <row r="2" spans="1:6" x14ac:dyDescent="0.2">
      <c r="A2" s="1" t="s">
        <v>1</v>
      </c>
      <c r="B2" s="1">
        <f>$E$27</f>
        <v>2015</v>
      </c>
      <c r="C2" s="1">
        <f>$D$27</f>
        <v>2016</v>
      </c>
      <c r="D2" s="1">
        <f>$E$27</f>
        <v>2015</v>
      </c>
      <c r="E2" s="1">
        <f>$B$27</f>
        <v>2018</v>
      </c>
    </row>
    <row r="3" spans="1:6" x14ac:dyDescent="0.2">
      <c r="A3" s="14" t="s">
        <v>39</v>
      </c>
      <c r="B3" s="2">
        <f>E56</f>
        <v>-2926</v>
      </c>
      <c r="C3" s="2">
        <f>D56</f>
        <v>-2598</v>
      </c>
      <c r="D3" s="2">
        <f>C56</f>
        <v>-3746</v>
      </c>
      <c r="E3" s="2">
        <f>B56</f>
        <v>2669</v>
      </c>
    </row>
    <row r="5" spans="1:6" x14ac:dyDescent="0.2">
      <c r="A5" s="1" t="s">
        <v>0</v>
      </c>
      <c r="B5" s="1">
        <f>$E$27</f>
        <v>2015</v>
      </c>
      <c r="C5" s="1">
        <f>$D$27</f>
        <v>2016</v>
      </c>
      <c r="D5" s="1">
        <f>$E$27</f>
        <v>2015</v>
      </c>
      <c r="E5" s="1">
        <f>$B$27</f>
        <v>2018</v>
      </c>
    </row>
    <row r="6" spans="1:6" x14ac:dyDescent="0.2">
      <c r="A6" s="1" t="s">
        <v>39</v>
      </c>
      <c r="B6" s="3">
        <f>E37/E41</f>
        <v>6.3553573826560961E-2</v>
      </c>
      <c r="C6" s="3">
        <f>D37/D41</f>
        <v>7.4880119031895481E-2</v>
      </c>
      <c r="D6" s="3">
        <f>C37/C41</f>
        <v>0.23190662948977139</v>
      </c>
      <c r="E6" s="3">
        <f>B37/B41</f>
        <v>0.25014837298424702</v>
      </c>
    </row>
    <row r="7" spans="1:6" x14ac:dyDescent="0.2">
      <c r="C7" s="3"/>
      <c r="D7" s="3"/>
      <c r="E7" s="3"/>
      <c r="F7" s="3"/>
    </row>
    <row r="26" spans="1:6" ht="17.100000000000001" customHeight="1" x14ac:dyDescent="0.25">
      <c r="B26" s="35"/>
    </row>
    <row r="27" spans="1:6" ht="17.100000000000001" customHeight="1" x14ac:dyDescent="0.25">
      <c r="A27" s="54"/>
      <c r="B27" s="55">
        <v>2018</v>
      </c>
      <c r="C27" s="55">
        <v>2017</v>
      </c>
      <c r="D27" s="55">
        <v>2016</v>
      </c>
      <c r="E27" s="55">
        <v>2015</v>
      </c>
    </row>
    <row r="28" spans="1:6" ht="17.100000000000001" customHeight="1" x14ac:dyDescent="0.25">
      <c r="A28" s="35" t="s">
        <v>67</v>
      </c>
    </row>
    <row r="29" spans="1:6" ht="17.100000000000001" customHeight="1" x14ac:dyDescent="0.25">
      <c r="A29" s="35" t="s">
        <v>48</v>
      </c>
      <c r="F29" s="11"/>
    </row>
    <row r="30" spans="1:6" ht="17.100000000000001" customHeight="1" x14ac:dyDescent="0.2">
      <c r="A30" s="36"/>
      <c r="F30" s="7"/>
    </row>
    <row r="31" spans="1:6" ht="17.100000000000001" customHeight="1" x14ac:dyDescent="0.2">
      <c r="A31" s="8" t="s">
        <v>4</v>
      </c>
      <c r="B31" s="24">
        <v>337631</v>
      </c>
      <c r="C31" s="24">
        <v>341640</v>
      </c>
      <c r="D31" s="24">
        <v>339977</v>
      </c>
      <c r="E31" s="24">
        <v>343925</v>
      </c>
      <c r="F31" s="15"/>
    </row>
    <row r="32" spans="1:6" ht="17.100000000000001" customHeight="1" x14ac:dyDescent="0.2">
      <c r="A32" s="8" t="s">
        <v>5</v>
      </c>
      <c r="B32" s="24">
        <v>16132</v>
      </c>
      <c r="C32" s="24">
        <v>28748</v>
      </c>
      <c r="D32" s="24">
        <v>30902</v>
      </c>
      <c r="E32" s="24">
        <v>20834</v>
      </c>
      <c r="F32" s="15"/>
    </row>
    <row r="33" spans="1:7" ht="17.100000000000001" customHeight="1" x14ac:dyDescent="0.2">
      <c r="A33" s="8" t="s">
        <v>6</v>
      </c>
      <c r="B33" s="24">
        <v>75</v>
      </c>
      <c r="C33" s="24">
        <v>93</v>
      </c>
      <c r="D33" s="24">
        <v>114</v>
      </c>
      <c r="E33" s="24">
        <v>130</v>
      </c>
      <c r="F33" s="15"/>
    </row>
    <row r="34" spans="1:7" ht="17.100000000000001" customHeight="1" x14ac:dyDescent="0.2">
      <c r="A34" s="56"/>
      <c r="B34" s="57">
        <f>SUM(B31:B33)</f>
        <v>353838</v>
      </c>
      <c r="C34" s="57">
        <f>SUM(C31:C33)</f>
        <v>370481</v>
      </c>
      <c r="D34" s="57">
        <f>SUM(D31:D33)</f>
        <v>370993</v>
      </c>
      <c r="E34" s="57">
        <f>SUM(E31:E33)</f>
        <v>364889</v>
      </c>
      <c r="F34" s="17"/>
    </row>
    <row r="35" spans="1:7" ht="17.100000000000001" customHeight="1" x14ac:dyDescent="0.2">
      <c r="A35" s="36" t="s">
        <v>7</v>
      </c>
      <c r="B35" s="42"/>
      <c r="C35" s="42"/>
      <c r="D35" s="42"/>
      <c r="E35" s="42"/>
      <c r="F35" s="18"/>
    </row>
    <row r="36" spans="1:7" ht="17.100000000000001" customHeight="1" x14ac:dyDescent="0.2">
      <c r="A36" s="36"/>
      <c r="B36" s="42"/>
      <c r="C36" s="42"/>
      <c r="D36" s="42"/>
      <c r="E36" s="42"/>
      <c r="F36" s="18"/>
    </row>
    <row r="37" spans="1:7" ht="17.100000000000001" customHeight="1" x14ac:dyDescent="0.2">
      <c r="A37" s="8" t="s">
        <v>8</v>
      </c>
      <c r="B37" s="24">
        <v>88512</v>
      </c>
      <c r="C37" s="24">
        <v>85917</v>
      </c>
      <c r="D37" s="24">
        <v>27780</v>
      </c>
      <c r="E37" s="24">
        <v>23190</v>
      </c>
      <c r="F37" s="15"/>
    </row>
    <row r="38" spans="1:7" ht="17.100000000000001" customHeight="1" x14ac:dyDescent="0.2">
      <c r="A38" s="8" t="s">
        <v>9</v>
      </c>
      <c r="B38" s="24">
        <v>5215</v>
      </c>
      <c r="C38" s="24">
        <v>3662</v>
      </c>
      <c r="D38" s="24">
        <v>4236</v>
      </c>
      <c r="E38" s="24">
        <v>4914</v>
      </c>
      <c r="F38" s="15"/>
    </row>
    <row r="39" spans="1:7" ht="17.100000000000001" customHeight="1" x14ac:dyDescent="0.2">
      <c r="A39" s="8" t="s">
        <v>10</v>
      </c>
      <c r="B39" s="24">
        <v>258884</v>
      </c>
      <c r="C39" s="24">
        <v>279160</v>
      </c>
      <c r="D39" s="24">
        <v>338320</v>
      </c>
      <c r="E39" s="24">
        <v>336012</v>
      </c>
      <c r="F39" s="15"/>
    </row>
    <row r="40" spans="1:7" ht="17.100000000000001" customHeight="1" x14ac:dyDescent="0.2">
      <c r="A40" s="8" t="s">
        <v>6</v>
      </c>
      <c r="B40" s="24">
        <v>1227</v>
      </c>
      <c r="C40" s="24">
        <v>1742</v>
      </c>
      <c r="D40" s="24">
        <v>657</v>
      </c>
      <c r="E40" s="24">
        <v>773</v>
      </c>
      <c r="F40" s="15"/>
    </row>
    <row r="41" spans="1:7" ht="17.100000000000001" customHeight="1" x14ac:dyDescent="0.2">
      <c r="A41" s="56"/>
      <c r="B41" s="57">
        <f>SUM(B37:B40)</f>
        <v>353838</v>
      </c>
      <c r="C41" s="57">
        <f>SUM(C37:C40)</f>
        <v>370481</v>
      </c>
      <c r="D41" s="57">
        <f>SUM(D37:D40)</f>
        <v>370993</v>
      </c>
      <c r="E41" s="57">
        <f>SUM(E37:E40)</f>
        <v>364889</v>
      </c>
      <c r="F41" s="17"/>
    </row>
    <row r="42" spans="1:7" ht="17.100000000000001" customHeight="1" x14ac:dyDescent="0.25">
      <c r="A42" s="35" t="s">
        <v>11</v>
      </c>
      <c r="B42" s="65"/>
      <c r="C42" s="65"/>
      <c r="D42" s="65"/>
      <c r="E42" s="65"/>
      <c r="F42" s="2"/>
    </row>
    <row r="43" spans="1:7" ht="17.100000000000001" customHeight="1" x14ac:dyDescent="0.2">
      <c r="A43" s="47"/>
      <c r="B43" s="48"/>
      <c r="C43" s="48"/>
      <c r="D43" s="48"/>
      <c r="E43" s="48"/>
      <c r="F43" s="18"/>
    </row>
    <row r="44" spans="1:7" ht="17.100000000000001" customHeight="1" x14ac:dyDescent="0.2">
      <c r="A44" s="8" t="s">
        <v>12</v>
      </c>
      <c r="B44" s="24">
        <v>38652</v>
      </c>
      <c r="C44" s="24">
        <v>37742</v>
      </c>
      <c r="D44" s="24">
        <v>36656</v>
      </c>
      <c r="E44" s="24">
        <v>36451</v>
      </c>
      <c r="F44" s="15"/>
      <c r="G44" s="2"/>
    </row>
    <row r="45" spans="1:7" ht="17.100000000000001" customHeight="1" x14ac:dyDescent="0.2">
      <c r="A45" s="8" t="s">
        <v>19</v>
      </c>
      <c r="B45" s="24">
        <f>4179+114-1443</f>
        <v>2850</v>
      </c>
      <c r="C45" s="24">
        <f>-138+198+2407</f>
        <v>2467</v>
      </c>
      <c r="D45" s="24">
        <v>1305</v>
      </c>
      <c r="E45" s="24">
        <v>797</v>
      </c>
      <c r="F45" s="15"/>
      <c r="G45" s="2"/>
    </row>
    <row r="46" spans="1:7" ht="17.100000000000001" customHeight="1" x14ac:dyDescent="0.2">
      <c r="A46" s="8" t="s">
        <v>13</v>
      </c>
      <c r="B46" s="24">
        <v>1</v>
      </c>
      <c r="C46" s="24">
        <v>38</v>
      </c>
      <c r="D46" s="24">
        <v>35</v>
      </c>
      <c r="E46" s="24">
        <v>47</v>
      </c>
      <c r="F46" s="15"/>
    </row>
    <row r="47" spans="1:7" ht="17.100000000000001" customHeight="1" x14ac:dyDescent="0.2">
      <c r="A47" s="56"/>
      <c r="B47" s="57">
        <f>SUM(B44:B46)</f>
        <v>41503</v>
      </c>
      <c r="C47" s="57">
        <f>SUM(C44:C46)</f>
        <v>40247</v>
      </c>
      <c r="D47" s="57">
        <f>SUM(D44:D46)</f>
        <v>37996</v>
      </c>
      <c r="E47" s="57">
        <f>SUM(E44:E46)</f>
        <v>37295</v>
      </c>
      <c r="F47" s="17"/>
    </row>
    <row r="48" spans="1:7" ht="17.100000000000001" customHeight="1" x14ac:dyDescent="0.2">
      <c r="A48" s="8" t="s">
        <v>23</v>
      </c>
      <c r="B48" s="24">
        <v>17537</v>
      </c>
      <c r="C48" s="24">
        <f>18119+1320</f>
        <v>19439</v>
      </c>
      <c r="D48" s="24">
        <f>16813+269-203</f>
        <v>16879</v>
      </c>
      <c r="E48" s="24">
        <v>16589</v>
      </c>
      <c r="F48" s="15"/>
    </row>
    <row r="49" spans="1:6" ht="17.100000000000001" customHeight="1" x14ac:dyDescent="0.2">
      <c r="A49" s="8" t="s">
        <v>14</v>
      </c>
      <c r="B49" s="24">
        <v>4806</v>
      </c>
      <c r="C49" s="24">
        <v>5028</v>
      </c>
      <c r="D49" s="24">
        <v>4789</v>
      </c>
      <c r="E49" s="24">
        <v>4454</v>
      </c>
      <c r="F49" s="15"/>
    </row>
    <row r="50" spans="1:6" ht="17.100000000000001" customHeight="1" x14ac:dyDescent="0.2">
      <c r="A50" s="8" t="s">
        <v>15</v>
      </c>
      <c r="B50" s="24">
        <v>7858</v>
      </c>
      <c r="C50" s="24">
        <v>8846</v>
      </c>
      <c r="D50" s="24">
        <v>7286</v>
      </c>
      <c r="E50" s="24">
        <v>6804</v>
      </c>
      <c r="F50" s="15"/>
    </row>
    <row r="51" spans="1:6" ht="17.100000000000001" customHeight="1" x14ac:dyDescent="0.2">
      <c r="A51" s="8" t="s">
        <v>16</v>
      </c>
      <c r="B51" s="24">
        <v>2879</v>
      </c>
      <c r="C51" s="24">
        <v>2709</v>
      </c>
      <c r="D51" s="24">
        <v>3050</v>
      </c>
      <c r="E51" s="24">
        <v>2867</v>
      </c>
      <c r="F51" s="15"/>
    </row>
    <row r="52" spans="1:6" ht="17.100000000000001" customHeight="1" x14ac:dyDescent="0.2">
      <c r="A52" s="8" t="s">
        <v>17</v>
      </c>
      <c r="B52" s="24">
        <v>5570</v>
      </c>
      <c r="C52" s="24">
        <v>7928</v>
      </c>
      <c r="D52" s="24">
        <v>8548</v>
      </c>
      <c r="E52" s="24">
        <v>9489</v>
      </c>
      <c r="F52" s="15"/>
    </row>
    <row r="53" spans="1:6" ht="17.100000000000001" customHeight="1" x14ac:dyDescent="0.2">
      <c r="A53" s="8" t="s">
        <v>18</v>
      </c>
      <c r="B53" s="24">
        <f>159+25</f>
        <v>184</v>
      </c>
      <c r="C53" s="24">
        <f>13+30</f>
        <v>43</v>
      </c>
      <c r="D53" s="24">
        <f>(51-9)</f>
        <v>42</v>
      </c>
      <c r="E53" s="24">
        <v>18</v>
      </c>
      <c r="F53" s="15"/>
    </row>
    <row r="54" spans="1:6" ht="17.100000000000001" customHeight="1" x14ac:dyDescent="0.2">
      <c r="A54" s="56"/>
      <c r="B54" s="57">
        <f>SUM(B48:B53)</f>
        <v>38834</v>
      </c>
      <c r="C54" s="57">
        <f>SUM(C48:C53)</f>
        <v>43993</v>
      </c>
      <c r="D54" s="57">
        <f>SUM(D48:D53)</f>
        <v>40594</v>
      </c>
      <c r="E54" s="57">
        <f>SUM(E48:E53)</f>
        <v>40221</v>
      </c>
      <c r="F54" s="17"/>
    </row>
    <row r="55" spans="1:6" ht="17.100000000000001" customHeight="1" x14ac:dyDescent="0.2">
      <c r="A55" s="8"/>
      <c r="B55" s="24"/>
      <c r="C55" s="24"/>
      <c r="D55" s="24"/>
      <c r="E55" s="24"/>
      <c r="F55" s="18"/>
    </row>
    <row r="56" spans="1:6" ht="17.100000000000001" customHeight="1" x14ac:dyDescent="0.2">
      <c r="A56" s="58" t="s">
        <v>56</v>
      </c>
      <c r="B56" s="57">
        <f>SUM(B47-B54)</f>
        <v>2669</v>
      </c>
      <c r="C56" s="57">
        <f>SUM(C47-C54)</f>
        <v>-3746</v>
      </c>
      <c r="D56" s="57">
        <f>SUM(D47-D54)</f>
        <v>-2598</v>
      </c>
      <c r="E56" s="57">
        <f>SUM(E47-E54)</f>
        <v>-2926</v>
      </c>
      <c r="F56" s="17"/>
    </row>
    <row r="57" spans="1:6" s="110" customFormat="1" ht="17.100000000000001" customHeight="1" x14ac:dyDescent="0.2">
      <c r="A57" s="113"/>
      <c r="B57" s="109"/>
      <c r="C57" s="109"/>
      <c r="D57" s="109"/>
      <c r="E57" s="109"/>
      <c r="F57" s="108"/>
    </row>
    <row r="58" spans="1:6" s="110" customFormat="1" ht="17.100000000000001" customHeight="1" x14ac:dyDescent="0.2">
      <c r="A58" s="113"/>
      <c r="B58" s="109"/>
      <c r="C58" s="109"/>
      <c r="D58" s="109"/>
      <c r="E58" s="109"/>
      <c r="F58" s="108"/>
    </row>
    <row r="60" spans="1:6" x14ac:dyDescent="0.2">
      <c r="A60" s="14"/>
      <c r="B60" s="2"/>
      <c r="C60" s="2"/>
      <c r="D60" s="2"/>
    </row>
    <row r="62" spans="1:6" x14ac:dyDescent="0.2">
      <c r="B62" s="13"/>
      <c r="C62" s="13"/>
      <c r="D62" s="13"/>
    </row>
    <row r="63" spans="1:6" x14ac:dyDescent="0.2">
      <c r="B63" s="3"/>
      <c r="C63" s="3"/>
      <c r="D63" s="3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F65"/>
  <sheetViews>
    <sheetView topLeftCell="A31" workbookViewId="0">
      <selection activeCell="A27" sqref="A27"/>
    </sheetView>
  </sheetViews>
  <sheetFormatPr baseColWidth="10" defaultRowHeight="12.75" x14ac:dyDescent="0.2"/>
  <cols>
    <col min="1" max="1" width="36" style="1" customWidth="1"/>
    <col min="2" max="16384" width="11.42578125" style="1"/>
  </cols>
  <sheetData>
    <row r="2" spans="1:6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6" x14ac:dyDescent="0.2">
      <c r="A3" s="14" t="s">
        <v>39</v>
      </c>
      <c r="B3" s="2">
        <f>E58</f>
        <v>-2960</v>
      </c>
      <c r="C3" s="2">
        <f>D58</f>
        <v>-2642</v>
      </c>
      <c r="D3" s="2">
        <f>C58</f>
        <v>-3812</v>
      </c>
      <c r="E3" s="2">
        <f>B58</f>
        <v>2571</v>
      </c>
    </row>
    <row r="5" spans="1:6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6" x14ac:dyDescent="0.2">
      <c r="A6" s="1" t="s">
        <v>39</v>
      </c>
      <c r="B6" s="3">
        <f>E37/E41</f>
        <v>9.5562856604629029E-2</v>
      </c>
      <c r="C6" s="3">
        <f>D37/D41</f>
        <v>0.10788762188481807</v>
      </c>
      <c r="D6" s="3">
        <f>C37/C41</f>
        <v>0.28598710171843184</v>
      </c>
      <c r="E6" s="3">
        <f>B37/B41</f>
        <v>0.30263614566782465</v>
      </c>
    </row>
    <row r="7" spans="1:6" x14ac:dyDescent="0.2">
      <c r="C7" s="3"/>
      <c r="D7" s="3"/>
      <c r="E7" s="3"/>
      <c r="F7" s="3"/>
    </row>
    <row r="26" spans="1:6" ht="17.100000000000001" customHeight="1" x14ac:dyDescent="0.25">
      <c r="B26" s="35"/>
    </row>
    <row r="27" spans="1:6" ht="17.100000000000001" customHeight="1" x14ac:dyDescent="0.25">
      <c r="A27" s="54"/>
      <c r="B27" s="55">
        <v>2018</v>
      </c>
      <c r="C27" s="55">
        <v>2017</v>
      </c>
      <c r="D27" s="55">
        <v>2016</v>
      </c>
      <c r="E27" s="55">
        <v>2015</v>
      </c>
    </row>
    <row r="28" spans="1:6" ht="17.100000000000001" customHeight="1" x14ac:dyDescent="0.25">
      <c r="A28" s="35" t="s">
        <v>2</v>
      </c>
    </row>
    <row r="29" spans="1:6" ht="17.100000000000001" customHeight="1" x14ac:dyDescent="0.25">
      <c r="A29" s="35" t="s">
        <v>48</v>
      </c>
      <c r="F29" s="11"/>
    </row>
    <row r="30" spans="1:6" ht="17.100000000000001" customHeight="1" x14ac:dyDescent="0.2">
      <c r="A30" s="36"/>
      <c r="F30" s="7"/>
    </row>
    <row r="31" spans="1:6" ht="17.100000000000001" customHeight="1" x14ac:dyDescent="0.2">
      <c r="A31" s="8" t="s">
        <v>4</v>
      </c>
      <c r="B31" s="24">
        <v>265726</v>
      </c>
      <c r="C31" s="24">
        <v>269214</v>
      </c>
      <c r="D31" s="24">
        <v>267541</v>
      </c>
      <c r="E31" s="24">
        <v>272036</v>
      </c>
      <c r="F31" s="15"/>
    </row>
    <row r="32" spans="1:6" ht="17.100000000000001" customHeight="1" x14ac:dyDescent="0.2">
      <c r="A32" s="8" t="s">
        <v>5</v>
      </c>
      <c r="B32" s="24">
        <v>48259</v>
      </c>
      <c r="C32" s="24">
        <v>54305</v>
      </c>
      <c r="D32" s="24">
        <v>51914</v>
      </c>
      <c r="E32" s="24">
        <v>41034</v>
      </c>
      <c r="F32" s="15"/>
    </row>
    <row r="33" spans="1:6" ht="17.100000000000001" customHeight="1" x14ac:dyDescent="0.2">
      <c r="A33" s="8" t="s">
        <v>6</v>
      </c>
      <c r="B33" s="24">
        <v>72</v>
      </c>
      <c r="C33" s="24">
        <v>90</v>
      </c>
      <c r="D33" s="24">
        <v>109</v>
      </c>
      <c r="E33" s="24">
        <v>127</v>
      </c>
      <c r="F33" s="15"/>
    </row>
    <row r="34" spans="1:6" ht="17.100000000000001" customHeight="1" x14ac:dyDescent="0.2">
      <c r="A34" s="56"/>
      <c r="B34" s="57">
        <f>SUM(B31:B33)</f>
        <v>314057</v>
      </c>
      <c r="C34" s="57">
        <f>SUM(C31:C33)</f>
        <v>323609</v>
      </c>
      <c r="D34" s="57">
        <f>SUM(D31:D33)</f>
        <v>319564</v>
      </c>
      <c r="E34" s="57">
        <f>SUM(E31:E33)</f>
        <v>313197</v>
      </c>
      <c r="F34" s="17"/>
    </row>
    <row r="35" spans="1:6" ht="17.100000000000001" customHeight="1" x14ac:dyDescent="0.2">
      <c r="A35" s="36" t="s">
        <v>7</v>
      </c>
      <c r="B35" s="42"/>
      <c r="C35" s="42"/>
      <c r="D35" s="42"/>
      <c r="E35" s="42"/>
      <c r="F35" s="18"/>
    </row>
    <row r="36" spans="1:6" ht="17.100000000000001" customHeight="1" x14ac:dyDescent="0.2">
      <c r="A36" s="36"/>
      <c r="B36" s="42"/>
      <c r="C36" s="42"/>
      <c r="D36" s="42"/>
      <c r="E36" s="42"/>
      <c r="F36" s="18"/>
    </row>
    <row r="37" spans="1:6" ht="17.100000000000001" customHeight="1" x14ac:dyDescent="0.2">
      <c r="A37" s="8" t="s">
        <v>8</v>
      </c>
      <c r="B37" s="24">
        <v>95045</v>
      </c>
      <c r="C37" s="24">
        <v>92548</v>
      </c>
      <c r="D37" s="24">
        <v>34477</v>
      </c>
      <c r="E37" s="24">
        <v>29930</v>
      </c>
      <c r="F37" s="15"/>
    </row>
    <row r="38" spans="1:6" ht="17.100000000000001" customHeight="1" x14ac:dyDescent="0.2">
      <c r="A38" s="8" t="s">
        <v>9</v>
      </c>
      <c r="B38" s="24">
        <v>2703</v>
      </c>
      <c r="C38" s="24">
        <v>1274</v>
      </c>
      <c r="D38" s="24">
        <v>987</v>
      </c>
      <c r="E38" s="24">
        <v>951</v>
      </c>
      <c r="F38" s="15"/>
    </row>
    <row r="39" spans="1:6" ht="17.100000000000001" customHeight="1" x14ac:dyDescent="0.2">
      <c r="A39" s="8" t="s">
        <v>10</v>
      </c>
      <c r="B39" s="24">
        <v>215082</v>
      </c>
      <c r="C39" s="24">
        <v>228045</v>
      </c>
      <c r="D39" s="24">
        <v>283443</v>
      </c>
      <c r="E39" s="24">
        <v>281543</v>
      </c>
      <c r="F39" s="15"/>
    </row>
    <row r="40" spans="1:6" ht="17.100000000000001" customHeight="1" x14ac:dyDescent="0.2">
      <c r="A40" s="8" t="s">
        <v>6</v>
      </c>
      <c r="B40" s="24">
        <v>1227</v>
      </c>
      <c r="C40" s="24">
        <v>1742</v>
      </c>
      <c r="D40" s="24">
        <v>657</v>
      </c>
      <c r="E40" s="24">
        <v>773</v>
      </c>
      <c r="F40" s="15"/>
    </row>
    <row r="41" spans="1:6" ht="17.100000000000001" customHeight="1" x14ac:dyDescent="0.2">
      <c r="A41" s="56"/>
      <c r="B41" s="57">
        <f>SUM(B37:B40)</f>
        <v>314057</v>
      </c>
      <c r="C41" s="57">
        <f>SUM(C37:C40)</f>
        <v>323609</v>
      </c>
      <c r="D41" s="57">
        <f>SUM(D37:D40)</f>
        <v>319564</v>
      </c>
      <c r="E41" s="57">
        <f>SUM(E37:E40)</f>
        <v>313197</v>
      </c>
      <c r="F41" s="17"/>
    </row>
    <row r="42" spans="1:6" ht="17.100000000000001" customHeight="1" x14ac:dyDescent="0.25">
      <c r="A42" s="35" t="s">
        <v>11</v>
      </c>
      <c r="B42" s="65"/>
      <c r="C42" s="65"/>
      <c r="D42" s="65"/>
      <c r="E42" s="65"/>
      <c r="F42" s="2"/>
    </row>
    <row r="43" spans="1:6" ht="17.100000000000001" customHeight="1" x14ac:dyDescent="0.2">
      <c r="A43" s="47"/>
      <c r="B43" s="48"/>
      <c r="C43" s="48"/>
      <c r="D43" s="48"/>
      <c r="E43" s="48"/>
      <c r="F43" s="18"/>
    </row>
    <row r="44" spans="1:6" ht="17.100000000000001" customHeight="1" x14ac:dyDescent="0.2">
      <c r="A44" s="8" t="s">
        <v>12</v>
      </c>
      <c r="B44" s="24">
        <v>27174</v>
      </c>
      <c r="C44" s="24">
        <v>26184</v>
      </c>
      <c r="D44" s="24">
        <v>25365</v>
      </c>
      <c r="E44" s="24">
        <v>26195</v>
      </c>
      <c r="F44" s="15"/>
    </row>
    <row r="45" spans="1:6" ht="17.100000000000001" customHeight="1" x14ac:dyDescent="0.2">
      <c r="A45" s="8" t="s">
        <v>19</v>
      </c>
      <c r="B45" s="24">
        <f>307+3907+87</f>
        <v>4301</v>
      </c>
      <c r="C45" s="24">
        <f>-3+718+129</f>
        <v>844</v>
      </c>
      <c r="D45" s="24">
        <f>220+428</f>
        <v>648</v>
      </c>
      <c r="E45" s="24">
        <v>-636</v>
      </c>
      <c r="F45" s="15"/>
    </row>
    <row r="46" spans="1:6" ht="17.100000000000001" customHeight="1" x14ac:dyDescent="0.2">
      <c r="A46" s="8" t="s">
        <v>13</v>
      </c>
      <c r="B46" s="24">
        <v>1116</v>
      </c>
      <c r="C46" s="24">
        <v>1306</v>
      </c>
      <c r="D46" s="24">
        <f>1160+149</f>
        <v>1309</v>
      </c>
      <c r="E46" s="24">
        <v>1069</v>
      </c>
      <c r="F46" s="15"/>
    </row>
    <row r="47" spans="1:6" ht="17.100000000000001" customHeight="1" x14ac:dyDescent="0.2">
      <c r="A47" s="56"/>
      <c r="B47" s="57">
        <f>SUM(B44:B46)</f>
        <v>32591</v>
      </c>
      <c r="C47" s="57">
        <f>SUM(C44:C46)</f>
        <v>28334</v>
      </c>
      <c r="D47" s="57">
        <f>SUM(D44:D46)</f>
        <v>27322</v>
      </c>
      <c r="E47" s="57">
        <f>SUM(E44:E46)</f>
        <v>26628</v>
      </c>
      <c r="F47" s="17"/>
    </row>
    <row r="48" spans="1:6" ht="17.100000000000001" customHeight="1" x14ac:dyDescent="0.2">
      <c r="A48" s="164"/>
      <c r="B48" s="109"/>
      <c r="C48" s="109"/>
      <c r="D48" s="109"/>
      <c r="E48" s="109"/>
      <c r="F48" s="17"/>
    </row>
    <row r="49" spans="1:6" ht="17.100000000000001" customHeight="1" x14ac:dyDescent="0.2">
      <c r="A49" s="8" t="s">
        <v>23</v>
      </c>
      <c r="B49" s="24">
        <v>16257</v>
      </c>
      <c r="C49" s="24">
        <v>13979</v>
      </c>
      <c r="D49" s="24">
        <v>13093</v>
      </c>
      <c r="E49" s="24">
        <v>11626</v>
      </c>
      <c r="F49" s="15"/>
    </row>
    <row r="50" spans="1:6" ht="17.100000000000001" customHeight="1" x14ac:dyDescent="0.2">
      <c r="A50" s="8" t="s">
        <v>14</v>
      </c>
      <c r="B50" s="24">
        <v>0</v>
      </c>
      <c r="C50" s="24">
        <v>0</v>
      </c>
      <c r="D50" s="24">
        <v>19</v>
      </c>
      <c r="E50" s="24">
        <v>38</v>
      </c>
      <c r="F50" s="15"/>
    </row>
    <row r="51" spans="1:6" ht="17.100000000000001" customHeight="1" x14ac:dyDescent="0.2">
      <c r="A51" s="8" t="s">
        <v>15</v>
      </c>
      <c r="B51" s="24">
        <v>6341</v>
      </c>
      <c r="C51" s="24">
        <v>7310</v>
      </c>
      <c r="D51" s="24">
        <v>5849</v>
      </c>
      <c r="E51" s="24">
        <v>5290</v>
      </c>
      <c r="F51" s="15"/>
    </row>
    <row r="52" spans="1:6" ht="17.100000000000001" customHeight="1" x14ac:dyDescent="0.2">
      <c r="A52" s="8" t="s">
        <v>16</v>
      </c>
      <c r="B52" s="24">
        <v>1325</v>
      </c>
      <c r="C52" s="24">
        <v>1260</v>
      </c>
      <c r="D52" s="24">
        <v>1527</v>
      </c>
      <c r="E52" s="24">
        <v>2747</v>
      </c>
      <c r="F52" s="15"/>
    </row>
    <row r="53" spans="1:6" ht="17.100000000000001" customHeight="1" x14ac:dyDescent="0.2">
      <c r="A53" s="8" t="s">
        <v>17</v>
      </c>
      <c r="B53" s="24">
        <v>4832</v>
      </c>
      <c r="C53" s="24">
        <v>7070</v>
      </c>
      <c r="D53" s="24">
        <v>7625</v>
      </c>
      <c r="E53" s="24">
        <v>8488</v>
      </c>
      <c r="F53" s="15"/>
    </row>
    <row r="54" spans="1:6" ht="17.100000000000001" customHeight="1" x14ac:dyDescent="0.2">
      <c r="A54" s="8" t="s">
        <v>59</v>
      </c>
      <c r="B54" s="24">
        <v>1090</v>
      </c>
      <c r="C54" s="24">
        <v>2492</v>
      </c>
      <c r="D54" s="24">
        <v>1814</v>
      </c>
      <c r="E54" s="24">
        <v>1389</v>
      </c>
      <c r="F54" s="15"/>
    </row>
    <row r="55" spans="1:6" ht="17.100000000000001" customHeight="1" x14ac:dyDescent="0.2">
      <c r="A55" s="8" t="s">
        <v>18</v>
      </c>
      <c r="B55" s="24">
        <f>159+16</f>
        <v>175</v>
      </c>
      <c r="C55" s="24">
        <f>13+22</f>
        <v>35</v>
      </c>
      <c r="D55" s="24">
        <v>37</v>
      </c>
      <c r="E55" s="24">
        <v>10</v>
      </c>
      <c r="F55" s="15"/>
    </row>
    <row r="56" spans="1:6" ht="17.100000000000001" customHeight="1" x14ac:dyDescent="0.2">
      <c r="A56" s="56"/>
      <c r="B56" s="57">
        <f>SUM(B49:B55)</f>
        <v>30020</v>
      </c>
      <c r="C56" s="57">
        <f>SUM(C49:C55)</f>
        <v>32146</v>
      </c>
      <c r="D56" s="57">
        <f>SUM(D49:D55)</f>
        <v>29964</v>
      </c>
      <c r="E56" s="57">
        <f>SUM(E49:E55)</f>
        <v>29588</v>
      </c>
      <c r="F56" s="17"/>
    </row>
    <row r="57" spans="1:6" ht="17.100000000000001" customHeight="1" x14ac:dyDescent="0.2">
      <c r="A57" s="8"/>
      <c r="B57" s="24"/>
      <c r="C57" s="24"/>
      <c r="D57" s="24"/>
      <c r="E57" s="24"/>
      <c r="F57" s="18"/>
    </row>
    <row r="58" spans="1:6" ht="17.100000000000001" customHeight="1" x14ac:dyDescent="0.2">
      <c r="A58" s="58" t="s">
        <v>56</v>
      </c>
      <c r="B58" s="57">
        <f>SUM(B47-B56)</f>
        <v>2571</v>
      </c>
      <c r="C58" s="57">
        <f>SUM(C47-C56)</f>
        <v>-3812</v>
      </c>
      <c r="D58" s="57">
        <f>SUM(D47-D56)</f>
        <v>-2642</v>
      </c>
      <c r="E58" s="57">
        <f>SUM(E47-E56)</f>
        <v>-2960</v>
      </c>
      <c r="F58" s="17"/>
    </row>
    <row r="59" spans="1:6" s="110" customFormat="1" ht="17.100000000000001" customHeight="1" x14ac:dyDescent="0.2">
      <c r="A59" s="113"/>
      <c r="B59" s="109"/>
      <c r="C59" s="109"/>
      <c r="D59" s="109"/>
      <c r="E59" s="109"/>
      <c r="F59" s="108"/>
    </row>
    <row r="60" spans="1:6" s="110" customFormat="1" ht="17.100000000000001" customHeight="1" x14ac:dyDescent="0.2">
      <c r="A60" s="113"/>
      <c r="B60" s="109"/>
      <c r="C60" s="109"/>
      <c r="D60" s="109"/>
      <c r="E60" s="109"/>
      <c r="F60" s="108"/>
    </row>
    <row r="62" spans="1:6" x14ac:dyDescent="0.2">
      <c r="A62" s="14"/>
      <c r="B62" s="2"/>
      <c r="C62" s="2"/>
      <c r="D62" s="2"/>
    </row>
    <row r="64" spans="1:6" x14ac:dyDescent="0.2">
      <c r="B64" s="13"/>
      <c r="C64" s="13"/>
      <c r="D64" s="13"/>
    </row>
    <row r="65" spans="2:4" x14ac:dyDescent="0.2">
      <c r="B65" s="3"/>
      <c r="C65" s="3"/>
      <c r="D65" s="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>
    <tabColor theme="6"/>
  </sheetPr>
  <dimension ref="A2:G58"/>
  <sheetViews>
    <sheetView workbookViewId="0">
      <selection activeCell="A28" sqref="A28"/>
    </sheetView>
  </sheetViews>
  <sheetFormatPr baseColWidth="10" defaultRowHeight="12.75" x14ac:dyDescent="0.2"/>
  <cols>
    <col min="1" max="1" width="36.42578125" style="1" customWidth="1"/>
    <col min="2" max="16384" width="11.42578125" style="1"/>
  </cols>
  <sheetData>
    <row r="2" spans="1:5" x14ac:dyDescent="0.2">
      <c r="A2" s="1" t="s">
        <v>1</v>
      </c>
      <c r="B2" s="1">
        <f>$E$28</f>
        <v>2015</v>
      </c>
      <c r="C2" s="1">
        <f>$D$28</f>
        <v>2016</v>
      </c>
      <c r="D2" s="1">
        <f>$C$28</f>
        <v>2017</v>
      </c>
      <c r="E2" s="1">
        <f>$B$28</f>
        <v>2018</v>
      </c>
    </row>
    <row r="3" spans="1:5" x14ac:dyDescent="0.2">
      <c r="A3" s="14"/>
      <c r="B3" s="2">
        <f>E57</f>
        <v>-1389</v>
      </c>
      <c r="C3" s="2">
        <f>D57</f>
        <v>-1814</v>
      </c>
      <c r="D3" s="2">
        <f>C57</f>
        <v>-2492</v>
      </c>
      <c r="E3" s="2">
        <f>B57</f>
        <v>-1090</v>
      </c>
    </row>
    <row r="5" spans="1:5" x14ac:dyDescent="0.2">
      <c r="A5" s="1" t="s">
        <v>0</v>
      </c>
      <c r="B5" s="1">
        <f>$E$28</f>
        <v>2015</v>
      </c>
      <c r="C5" s="1">
        <f>$D$28</f>
        <v>2016</v>
      </c>
      <c r="D5" s="1">
        <f>$C$28</f>
        <v>2017</v>
      </c>
      <c r="E5" s="1">
        <f>$B$28</f>
        <v>2018</v>
      </c>
    </row>
    <row r="6" spans="1:5" x14ac:dyDescent="0.2">
      <c r="B6" s="3">
        <f>E38/E42</f>
        <v>0.1865815135283615</v>
      </c>
      <c r="C6" s="3">
        <f>D38/D42</f>
        <v>0.18074773815859499</v>
      </c>
      <c r="D6" s="3">
        <f>C38/C42</f>
        <v>0.1695608081753647</v>
      </c>
      <c r="E6" s="3">
        <f>B38/B42</f>
        <v>0.18308008490279978</v>
      </c>
    </row>
    <row r="27" spans="1:6" ht="17.100000000000001" customHeight="1" x14ac:dyDescent="0.25">
      <c r="B27" s="35"/>
    </row>
    <row r="28" spans="1:6" ht="17.100000000000001" customHeight="1" x14ac:dyDescent="0.25">
      <c r="A28" s="54"/>
      <c r="B28" s="55">
        <v>2018</v>
      </c>
      <c r="C28" s="55">
        <v>2017</v>
      </c>
      <c r="D28" s="55">
        <v>2016</v>
      </c>
      <c r="E28" s="55">
        <v>2015</v>
      </c>
    </row>
    <row r="29" spans="1:6" ht="17.100000000000001" customHeight="1" x14ac:dyDescent="0.25">
      <c r="A29" s="35" t="s">
        <v>2</v>
      </c>
    </row>
    <row r="30" spans="1:6" ht="17.100000000000001" customHeight="1" x14ac:dyDescent="0.2">
      <c r="A30" s="36" t="s">
        <v>48</v>
      </c>
      <c r="F30" s="11"/>
    </row>
    <row r="31" spans="1:6" ht="17.100000000000001" customHeight="1" x14ac:dyDescent="0.2">
      <c r="A31" s="36"/>
      <c r="F31" s="7"/>
    </row>
    <row r="32" spans="1:6" ht="17.100000000000001" customHeight="1" x14ac:dyDescent="0.2">
      <c r="A32" s="8" t="s">
        <v>4</v>
      </c>
      <c r="B32" s="24">
        <v>55904</v>
      </c>
      <c r="C32" s="24">
        <v>54473</v>
      </c>
      <c r="D32" s="24">
        <v>52532</v>
      </c>
      <c r="E32" s="24">
        <v>51225</v>
      </c>
      <c r="F32" s="15"/>
    </row>
    <row r="33" spans="1:7" ht="17.100000000000001" customHeight="1" x14ac:dyDescent="0.2">
      <c r="A33" s="8" t="s">
        <v>5</v>
      </c>
      <c r="B33" s="24">
        <v>3456</v>
      </c>
      <c r="C33" s="24">
        <v>9620</v>
      </c>
      <c r="D33" s="24">
        <v>7591</v>
      </c>
      <c r="E33" s="24">
        <v>7020</v>
      </c>
      <c r="F33" s="15"/>
    </row>
    <row r="34" spans="1:7" ht="17.100000000000001" customHeight="1" x14ac:dyDescent="0.2">
      <c r="A34" s="8" t="s">
        <v>6</v>
      </c>
      <c r="B34" s="24">
        <v>2</v>
      </c>
      <c r="C34" s="24">
        <v>2</v>
      </c>
      <c r="D34" s="24">
        <v>5</v>
      </c>
      <c r="E34" s="24">
        <v>3</v>
      </c>
      <c r="F34" s="15"/>
    </row>
    <row r="35" spans="1:7" ht="17.100000000000001" customHeight="1" x14ac:dyDescent="0.2">
      <c r="A35" s="56"/>
      <c r="B35" s="57">
        <f>SUM(B32:B34)</f>
        <v>59362</v>
      </c>
      <c r="C35" s="57">
        <f>SUM(C32:C34)</f>
        <v>64095</v>
      </c>
      <c r="D35" s="57">
        <f>SUM(D32:D34)</f>
        <v>60128</v>
      </c>
      <c r="E35" s="57">
        <f>SUM(E32:E34)</f>
        <v>58248</v>
      </c>
      <c r="F35" s="17"/>
      <c r="G35" s="2"/>
    </row>
    <row r="36" spans="1:7" ht="17.100000000000001" customHeight="1" x14ac:dyDescent="0.2">
      <c r="A36" s="36" t="s">
        <v>7</v>
      </c>
      <c r="B36" s="42"/>
      <c r="C36" s="42"/>
      <c r="D36" s="42"/>
      <c r="E36" s="42"/>
      <c r="F36" s="18"/>
    </row>
    <row r="37" spans="1:7" ht="17.100000000000001" customHeight="1" x14ac:dyDescent="0.2">
      <c r="A37" s="36"/>
      <c r="B37" s="42"/>
      <c r="C37" s="42"/>
      <c r="D37" s="42"/>
      <c r="E37" s="42"/>
      <c r="F37" s="18"/>
    </row>
    <row r="38" spans="1:7" ht="17.100000000000001" customHeight="1" x14ac:dyDescent="0.2">
      <c r="A38" s="8" t="s">
        <v>8</v>
      </c>
      <c r="B38" s="24">
        <v>10868</v>
      </c>
      <c r="C38" s="24">
        <v>10868</v>
      </c>
      <c r="D38" s="24">
        <v>10868</v>
      </c>
      <c r="E38" s="24">
        <v>10868</v>
      </c>
      <c r="F38" s="15"/>
    </row>
    <row r="39" spans="1:7" ht="17.100000000000001" customHeight="1" x14ac:dyDescent="0.2">
      <c r="A39" s="8" t="s">
        <v>9</v>
      </c>
      <c r="B39" s="24">
        <v>2512</v>
      </c>
      <c r="C39" s="24">
        <v>2388</v>
      </c>
      <c r="D39" s="24">
        <v>3249</v>
      </c>
      <c r="E39" s="24">
        <v>3963</v>
      </c>
      <c r="F39" s="15"/>
    </row>
    <row r="40" spans="1:7" ht="17.100000000000001" customHeight="1" x14ac:dyDescent="0.2">
      <c r="A40" s="8" t="s">
        <v>10</v>
      </c>
      <c r="B40" s="24">
        <v>45982</v>
      </c>
      <c r="C40" s="24">
        <v>50839</v>
      </c>
      <c r="D40" s="24">
        <v>46011</v>
      </c>
      <c r="E40" s="24">
        <v>43417</v>
      </c>
      <c r="F40" s="15"/>
    </row>
    <row r="41" spans="1:7" ht="17.100000000000001" customHeight="1" x14ac:dyDescent="0.2">
      <c r="A41" s="8" t="s">
        <v>6</v>
      </c>
      <c r="B41" s="24"/>
      <c r="C41" s="24">
        <v>0</v>
      </c>
      <c r="D41" s="24">
        <v>0</v>
      </c>
      <c r="E41" s="24">
        <v>0</v>
      </c>
      <c r="F41" s="15"/>
    </row>
    <row r="42" spans="1:7" ht="17.100000000000001" customHeight="1" x14ac:dyDescent="0.2">
      <c r="A42" s="56"/>
      <c r="B42" s="57">
        <f>SUM(B38:B41)</f>
        <v>59362</v>
      </c>
      <c r="C42" s="57">
        <f>SUM(C38:C41)</f>
        <v>64095</v>
      </c>
      <c r="D42" s="57">
        <f>SUM(D38:D41)</f>
        <v>60128</v>
      </c>
      <c r="E42" s="57">
        <f>SUM(E38:E41)</f>
        <v>58248</v>
      </c>
      <c r="F42" s="17"/>
    </row>
    <row r="43" spans="1:7" ht="17.100000000000001" customHeight="1" x14ac:dyDescent="0.25">
      <c r="A43" s="35" t="s">
        <v>66</v>
      </c>
      <c r="B43" s="65"/>
      <c r="C43" s="65"/>
      <c r="D43" s="65"/>
      <c r="E43" s="65"/>
      <c r="F43" s="2"/>
    </row>
    <row r="44" spans="1:7" ht="17.100000000000001" customHeight="1" x14ac:dyDescent="0.2">
      <c r="A44" s="8" t="s">
        <v>12</v>
      </c>
      <c r="B44" s="24">
        <v>14401</v>
      </c>
      <c r="C44" s="24">
        <v>14330</v>
      </c>
      <c r="D44" s="24">
        <v>14149</v>
      </c>
      <c r="E44" s="24">
        <v>13544</v>
      </c>
      <c r="F44" s="15"/>
      <c r="G44" s="2"/>
    </row>
    <row r="45" spans="1:7" ht="17.100000000000001" customHeight="1" x14ac:dyDescent="0.2">
      <c r="A45" s="8" t="s">
        <v>19</v>
      </c>
      <c r="B45" s="49">
        <f>-1750+114+272</f>
        <v>-1364</v>
      </c>
      <c r="C45" s="49">
        <f>-136+198+1689</f>
        <v>1751</v>
      </c>
      <c r="D45" s="49">
        <f>-489+203+877</f>
        <v>591</v>
      </c>
      <c r="E45" s="49">
        <v>1590</v>
      </c>
      <c r="F45" s="15"/>
    </row>
    <row r="46" spans="1:7" ht="17.100000000000001" customHeight="1" x14ac:dyDescent="0.2">
      <c r="A46" s="8" t="s">
        <v>13</v>
      </c>
      <c r="B46" s="24">
        <v>0</v>
      </c>
      <c r="C46" s="24">
        <v>0</v>
      </c>
      <c r="D46" s="24">
        <v>5</v>
      </c>
      <c r="E46" s="24">
        <v>10</v>
      </c>
      <c r="F46" s="15"/>
    </row>
    <row r="47" spans="1:7" ht="17.100000000000001" customHeight="1" x14ac:dyDescent="0.2">
      <c r="A47" s="56"/>
      <c r="B47" s="57">
        <f>SUM(B44:B46)</f>
        <v>13037</v>
      </c>
      <c r="C47" s="57">
        <f>SUM(C44:C46)</f>
        <v>16081</v>
      </c>
      <c r="D47" s="57">
        <f>SUM(D44:D46)</f>
        <v>14745</v>
      </c>
      <c r="E47" s="57">
        <f>SUM(E44:E46)</f>
        <v>15144</v>
      </c>
      <c r="F47" s="17"/>
    </row>
    <row r="48" spans="1:7" ht="17.100000000000001" customHeight="1" x14ac:dyDescent="0.2">
      <c r="A48" s="8"/>
      <c r="B48" s="24"/>
      <c r="C48" s="24"/>
      <c r="D48" s="24"/>
      <c r="E48" s="24"/>
      <c r="F48" s="15"/>
    </row>
    <row r="49" spans="1:6" ht="17.100000000000001" customHeight="1" x14ac:dyDescent="0.2">
      <c r="A49" s="8" t="s">
        <v>23</v>
      </c>
      <c r="B49" s="24">
        <v>5355</v>
      </c>
      <c r="C49" s="24">
        <v>9382</v>
      </c>
      <c r="D49" s="24">
        <v>7728</v>
      </c>
      <c r="E49" s="24">
        <v>7654</v>
      </c>
      <c r="F49" s="15"/>
    </row>
    <row r="50" spans="1:6" ht="17.100000000000001" customHeight="1" x14ac:dyDescent="0.2">
      <c r="A50" s="8" t="s">
        <v>14</v>
      </c>
      <c r="B50" s="24">
        <v>4806</v>
      </c>
      <c r="C50" s="24">
        <v>5028</v>
      </c>
      <c r="D50" s="24">
        <v>4770</v>
      </c>
      <c r="E50" s="24">
        <v>4416</v>
      </c>
      <c r="F50" s="15"/>
    </row>
    <row r="51" spans="1:6" ht="17.100000000000001" customHeight="1" x14ac:dyDescent="0.2">
      <c r="A51" s="8" t="s">
        <v>15</v>
      </c>
      <c r="B51" s="24">
        <v>1144</v>
      </c>
      <c r="C51" s="24">
        <v>1162</v>
      </c>
      <c r="D51" s="24">
        <v>1064</v>
      </c>
      <c r="E51" s="24">
        <v>1140</v>
      </c>
      <c r="F51" s="15"/>
    </row>
    <row r="52" spans="1:6" ht="17.100000000000001" customHeight="1" x14ac:dyDescent="0.2">
      <c r="A52" s="8" t="s">
        <v>16</v>
      </c>
      <c r="B52" s="24">
        <v>1494</v>
      </c>
      <c r="C52" s="24">
        <v>1392</v>
      </c>
      <c r="D52" s="24">
        <v>1465</v>
      </c>
      <c r="E52" s="24">
        <v>1804</v>
      </c>
      <c r="F52" s="15"/>
    </row>
    <row r="53" spans="1:6" ht="17.100000000000001" customHeight="1" x14ac:dyDescent="0.2">
      <c r="A53" s="8" t="s">
        <v>17</v>
      </c>
      <c r="B53" s="24">
        <v>1320</v>
      </c>
      <c r="C53" s="24">
        <v>1601</v>
      </c>
      <c r="D53" s="24">
        <v>1526</v>
      </c>
      <c r="E53" s="24">
        <v>1511</v>
      </c>
      <c r="F53" s="15"/>
    </row>
    <row r="54" spans="1:6" ht="17.100000000000001" customHeight="1" x14ac:dyDescent="0.2">
      <c r="A54" s="8" t="s">
        <v>18</v>
      </c>
      <c r="B54" s="24">
        <v>8</v>
      </c>
      <c r="C54" s="24">
        <v>8</v>
      </c>
      <c r="D54" s="24">
        <v>6</v>
      </c>
      <c r="E54" s="24">
        <v>8</v>
      </c>
      <c r="F54" s="15"/>
    </row>
    <row r="55" spans="1:6" ht="17.100000000000001" customHeight="1" x14ac:dyDescent="0.2">
      <c r="A55" s="56"/>
      <c r="B55" s="57">
        <f>SUM(B48:B54)</f>
        <v>14127</v>
      </c>
      <c r="C55" s="57">
        <f>SUM(C48:C54)</f>
        <v>18573</v>
      </c>
      <c r="D55" s="57">
        <f>SUM(D48:D54)</f>
        <v>16559</v>
      </c>
      <c r="E55" s="57">
        <f>SUM(E48:E54)</f>
        <v>16533</v>
      </c>
      <c r="F55" s="17"/>
    </row>
    <row r="56" spans="1:6" ht="17.100000000000001" customHeight="1" x14ac:dyDescent="0.2">
      <c r="A56" s="8"/>
      <c r="B56" s="24"/>
      <c r="C56" s="24"/>
      <c r="D56" s="24"/>
      <c r="E56" s="24"/>
      <c r="F56" s="18"/>
    </row>
    <row r="57" spans="1:6" ht="17.100000000000001" customHeight="1" x14ac:dyDescent="0.2">
      <c r="A57" s="58" t="s">
        <v>56</v>
      </c>
      <c r="B57" s="57">
        <f>SUM(B47-B55)</f>
        <v>-1090</v>
      </c>
      <c r="C57" s="57">
        <f>SUM(C47-C55)</f>
        <v>-2492</v>
      </c>
      <c r="D57" s="57">
        <f>SUM(D47-D55)</f>
        <v>-1814</v>
      </c>
      <c r="E57" s="57">
        <f>SUM(E47-E55)</f>
        <v>-1389</v>
      </c>
      <c r="F57" s="17"/>
    </row>
    <row r="58" spans="1:6" ht="15.75" x14ac:dyDescent="0.25">
      <c r="A58" s="29" t="s">
        <v>40</v>
      </c>
      <c r="B58" s="29"/>
      <c r="C58" s="29"/>
      <c r="D58" s="29"/>
      <c r="E58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9">
    <tabColor rgb="FF92D050"/>
  </sheetPr>
  <dimension ref="A2:E53"/>
  <sheetViews>
    <sheetView topLeftCell="A19" workbookViewId="0">
      <selection activeCell="A25" sqref="A25"/>
    </sheetView>
  </sheetViews>
  <sheetFormatPr baseColWidth="10" defaultRowHeight="12.75" x14ac:dyDescent="0.2"/>
  <cols>
    <col min="1" max="1" width="36.85546875" style="1" bestFit="1" customWidth="1"/>
    <col min="2" max="16384" width="11.42578125" style="1"/>
  </cols>
  <sheetData>
    <row r="2" spans="1:5" x14ac:dyDescent="0.2">
      <c r="A2" s="1" t="s">
        <v>1</v>
      </c>
      <c r="B2" s="1">
        <f>$E$25</f>
        <v>2015</v>
      </c>
      <c r="C2" s="1">
        <f>$D$25</f>
        <v>2016</v>
      </c>
      <c r="D2" s="1">
        <f>$C$25</f>
        <v>2017</v>
      </c>
      <c r="E2" s="1">
        <f>$B$25</f>
        <v>2018</v>
      </c>
    </row>
    <row r="3" spans="1:5" x14ac:dyDescent="0.2">
      <c r="A3" s="14"/>
      <c r="B3" s="2">
        <f>E53</f>
        <v>8073</v>
      </c>
      <c r="C3" s="2">
        <f>D53</f>
        <v>7036</v>
      </c>
      <c r="D3" s="2">
        <f>C53</f>
        <v>8864</v>
      </c>
      <c r="E3" s="2"/>
    </row>
    <row r="5" spans="1:5" x14ac:dyDescent="0.2">
      <c r="A5" s="1" t="s">
        <v>0</v>
      </c>
      <c r="B5" s="1">
        <f>$E$25</f>
        <v>2015</v>
      </c>
      <c r="C5" s="1">
        <f>$D$25</f>
        <v>2016</v>
      </c>
      <c r="D5" s="1">
        <f>$C$25</f>
        <v>2017</v>
      </c>
      <c r="E5" s="1">
        <f>$B$25</f>
        <v>2018</v>
      </c>
    </row>
    <row r="6" spans="1:5" x14ac:dyDescent="0.2">
      <c r="B6" s="3">
        <f>E35/E39</f>
        <v>0.43356203967134749</v>
      </c>
      <c r="C6" s="3">
        <f>D35/D39</f>
        <v>0.418112734537193</v>
      </c>
      <c r="D6" s="3">
        <f>C35/C39</f>
        <v>0.41914868201003425</v>
      </c>
      <c r="E6" s="3"/>
    </row>
    <row r="24" spans="1:5" ht="17.100000000000001" customHeight="1" x14ac:dyDescent="0.25">
      <c r="B24" s="35"/>
    </row>
    <row r="25" spans="1:5" ht="17.100000000000001" customHeight="1" x14ac:dyDescent="0.25">
      <c r="A25" s="54"/>
      <c r="B25" s="55">
        <v>2018</v>
      </c>
      <c r="C25" s="55">
        <v>2017</v>
      </c>
      <c r="D25" s="55">
        <v>2016</v>
      </c>
      <c r="E25" s="55">
        <v>2015</v>
      </c>
    </row>
    <row r="26" spans="1:5" ht="17.100000000000001" customHeight="1" x14ac:dyDescent="0.25">
      <c r="A26" s="35" t="s">
        <v>2</v>
      </c>
      <c r="B26" s="141"/>
      <c r="C26" s="141"/>
      <c r="D26" s="141"/>
      <c r="E26" s="141"/>
    </row>
    <row r="27" spans="1:5" ht="17.100000000000001" customHeight="1" x14ac:dyDescent="0.2">
      <c r="A27" s="36" t="s">
        <v>48</v>
      </c>
      <c r="B27" s="141"/>
      <c r="C27" s="141"/>
      <c r="D27" s="141"/>
      <c r="E27" s="141"/>
    </row>
    <row r="28" spans="1:5" ht="17.100000000000001" customHeight="1" x14ac:dyDescent="0.2">
      <c r="A28" s="36"/>
      <c r="B28" s="141"/>
      <c r="C28" s="141"/>
      <c r="D28" s="141"/>
      <c r="E28" s="141"/>
    </row>
    <row r="29" spans="1:5" ht="17.100000000000001" customHeight="1" x14ac:dyDescent="0.2">
      <c r="A29" s="8" t="s">
        <v>4</v>
      </c>
      <c r="B29" s="51"/>
      <c r="C29" s="51">
        <v>817750</v>
      </c>
      <c r="D29" s="51">
        <v>799927</v>
      </c>
      <c r="E29" s="51">
        <v>794710</v>
      </c>
    </row>
    <row r="30" spans="1:5" ht="17.100000000000001" customHeight="1" x14ac:dyDescent="0.2">
      <c r="A30" s="8" t="s">
        <v>5</v>
      </c>
      <c r="B30" s="51"/>
      <c r="C30" s="51">
        <v>86038</v>
      </c>
      <c r="D30" s="51">
        <v>92291</v>
      </c>
      <c r="E30" s="51">
        <v>57948</v>
      </c>
    </row>
    <row r="31" spans="1:5" ht="17.100000000000001" customHeight="1" x14ac:dyDescent="0.2">
      <c r="A31" s="8" t="s">
        <v>6</v>
      </c>
      <c r="B31" s="51"/>
      <c r="C31" s="51">
        <v>316</v>
      </c>
      <c r="D31" s="51">
        <v>1297</v>
      </c>
      <c r="E31" s="51">
        <v>401</v>
      </c>
    </row>
    <row r="32" spans="1:5" ht="17.100000000000001" customHeight="1" x14ac:dyDescent="0.2">
      <c r="A32" s="56"/>
      <c r="B32" s="57">
        <f>SUM(B29:B31)</f>
        <v>0</v>
      </c>
      <c r="C32" s="57">
        <f>SUM(C29:C31)</f>
        <v>904104</v>
      </c>
      <c r="D32" s="57">
        <f>SUM(D29:D31)</f>
        <v>893515</v>
      </c>
      <c r="E32" s="57">
        <f>SUM(E29:E31)</f>
        <v>853059</v>
      </c>
    </row>
    <row r="33" spans="1:5" ht="17.100000000000001" customHeight="1" x14ac:dyDescent="0.2">
      <c r="A33" s="36" t="s">
        <v>7</v>
      </c>
      <c r="B33" s="51"/>
      <c r="C33" s="51"/>
      <c r="D33" s="51"/>
      <c r="E33" s="51"/>
    </row>
    <row r="34" spans="1:5" ht="17.100000000000001" customHeight="1" x14ac:dyDescent="0.2">
      <c r="A34" s="36"/>
      <c r="B34" s="51"/>
      <c r="C34" s="51"/>
      <c r="D34" s="51"/>
      <c r="E34" s="51"/>
    </row>
    <row r="35" spans="1:5" ht="17.100000000000001" customHeight="1" x14ac:dyDescent="0.2">
      <c r="A35" s="8" t="s">
        <v>8</v>
      </c>
      <c r="B35" s="51"/>
      <c r="C35" s="51">
        <v>378954</v>
      </c>
      <c r="D35" s="51">
        <v>373590</v>
      </c>
      <c r="E35" s="51">
        <v>369854</v>
      </c>
    </row>
    <row r="36" spans="1:5" ht="17.100000000000001" customHeight="1" x14ac:dyDescent="0.2">
      <c r="A36" s="8" t="s">
        <v>81</v>
      </c>
      <c r="B36" s="51"/>
      <c r="C36" s="51">
        <f>233955+19279</f>
        <v>253234</v>
      </c>
      <c r="D36" s="51">
        <f>223893+24250</f>
        <v>248143</v>
      </c>
      <c r="E36" s="51">
        <f>215434+23486</f>
        <v>238920</v>
      </c>
    </row>
    <row r="37" spans="1:5" ht="17.100000000000001" customHeight="1" x14ac:dyDescent="0.2">
      <c r="A37" s="8" t="s">
        <v>10</v>
      </c>
      <c r="B37" s="51"/>
      <c r="C37" s="51">
        <v>271897</v>
      </c>
      <c r="D37" s="51">
        <v>271765</v>
      </c>
      <c r="E37" s="51">
        <v>244271</v>
      </c>
    </row>
    <row r="38" spans="1:5" ht="17.100000000000001" customHeight="1" x14ac:dyDescent="0.2">
      <c r="A38" s="8" t="s">
        <v>6</v>
      </c>
      <c r="B38" s="51"/>
      <c r="C38" s="51">
        <v>19</v>
      </c>
      <c r="D38" s="51">
        <v>17</v>
      </c>
      <c r="E38" s="51">
        <v>14</v>
      </c>
    </row>
    <row r="39" spans="1:5" ht="17.100000000000001" customHeight="1" x14ac:dyDescent="0.2">
      <c r="A39" s="56"/>
      <c r="B39" s="57">
        <f t="shared" ref="B39" si="0">SUM(B35:B38)</f>
        <v>0</v>
      </c>
      <c r="C39" s="57">
        <f t="shared" ref="C39:E39" si="1">SUM(C35:C38)</f>
        <v>904104</v>
      </c>
      <c r="D39" s="57">
        <f t="shared" si="1"/>
        <v>893515</v>
      </c>
      <c r="E39" s="57">
        <f t="shared" si="1"/>
        <v>853059</v>
      </c>
    </row>
    <row r="40" spans="1:5" ht="17.100000000000001" customHeight="1" x14ac:dyDescent="0.25">
      <c r="A40" s="35" t="s">
        <v>66</v>
      </c>
      <c r="B40" s="51"/>
      <c r="C40" s="51"/>
      <c r="D40" s="51"/>
      <c r="E40" s="51"/>
    </row>
    <row r="41" spans="1:5" ht="17.100000000000001" customHeight="1" x14ac:dyDescent="0.2">
      <c r="A41" s="8" t="s">
        <v>12</v>
      </c>
      <c r="B41" s="51"/>
      <c r="C41" s="51">
        <v>123804</v>
      </c>
      <c r="D41" s="51">
        <v>93603</v>
      </c>
      <c r="E41" s="51">
        <v>122573</v>
      </c>
    </row>
    <row r="42" spans="1:5" ht="17.100000000000001" customHeight="1" x14ac:dyDescent="0.2">
      <c r="A42" s="8" t="s">
        <v>19</v>
      </c>
      <c r="B42" s="51"/>
      <c r="C42" s="51">
        <f>3893+3538+10252</f>
        <v>17683</v>
      </c>
      <c r="D42" s="51">
        <f>31073+3213+10014</f>
        <v>44300</v>
      </c>
      <c r="E42" s="51">
        <f>1664+3775+9320</f>
        <v>14759</v>
      </c>
    </row>
    <row r="43" spans="1:5" ht="17.100000000000001" customHeight="1" x14ac:dyDescent="0.2">
      <c r="A43" s="8" t="s">
        <v>13</v>
      </c>
      <c r="B43" s="51"/>
      <c r="C43" s="51">
        <v>678</v>
      </c>
      <c r="D43" s="51">
        <v>2</v>
      </c>
      <c r="E43" s="51">
        <v>6</v>
      </c>
    </row>
    <row r="44" spans="1:5" ht="17.100000000000001" customHeight="1" x14ac:dyDescent="0.2">
      <c r="A44" s="56"/>
      <c r="B44" s="57">
        <f t="shared" ref="B44" si="2">SUM(B41:B43)</f>
        <v>0</v>
      </c>
      <c r="C44" s="57">
        <f t="shared" ref="C44:E44" si="3">SUM(C41:C43)</f>
        <v>142165</v>
      </c>
      <c r="D44" s="57">
        <f t="shared" si="3"/>
        <v>137905</v>
      </c>
      <c r="E44" s="57">
        <f t="shared" si="3"/>
        <v>137338</v>
      </c>
    </row>
    <row r="45" spans="1:5" ht="17.100000000000001" customHeight="1" x14ac:dyDescent="0.2">
      <c r="A45" s="8" t="s">
        <v>20</v>
      </c>
      <c r="B45" s="51"/>
      <c r="C45" s="51">
        <v>66936</v>
      </c>
      <c r="D45" s="51">
        <v>62560</v>
      </c>
      <c r="E45" s="51">
        <v>62384</v>
      </c>
    </row>
    <row r="46" spans="1:5" ht="17.100000000000001" customHeight="1" x14ac:dyDescent="0.2">
      <c r="A46" s="8" t="s">
        <v>14</v>
      </c>
      <c r="B46" s="51"/>
      <c r="C46" s="51">
        <v>26891</v>
      </c>
      <c r="D46" s="51">
        <v>23527</v>
      </c>
      <c r="E46" s="51">
        <v>21944</v>
      </c>
    </row>
    <row r="47" spans="1:5" ht="17.100000000000001" customHeight="1" x14ac:dyDescent="0.2">
      <c r="A47" s="8" t="s">
        <v>15</v>
      </c>
      <c r="B47" s="51"/>
      <c r="C47" s="51">
        <v>26599</v>
      </c>
      <c r="D47" s="51">
        <v>30530</v>
      </c>
      <c r="E47" s="51">
        <v>28864</v>
      </c>
    </row>
    <row r="48" spans="1:5" ht="17.100000000000001" customHeight="1" x14ac:dyDescent="0.2">
      <c r="A48" s="8" t="s">
        <v>16</v>
      </c>
      <c r="B48" s="51"/>
      <c r="C48" s="51">
        <v>4528</v>
      </c>
      <c r="D48" s="51">
        <v>5608</v>
      </c>
      <c r="E48" s="51">
        <v>7097</v>
      </c>
    </row>
    <row r="49" spans="1:5" ht="17.100000000000001" customHeight="1" x14ac:dyDescent="0.2">
      <c r="A49" s="8" t="s">
        <v>17</v>
      </c>
      <c r="B49" s="51"/>
      <c r="C49" s="51">
        <v>7082</v>
      </c>
      <c r="D49" s="51">
        <v>7462</v>
      </c>
      <c r="E49" s="51">
        <v>7841</v>
      </c>
    </row>
    <row r="50" spans="1:5" ht="17.100000000000001" customHeight="1" x14ac:dyDescent="0.2">
      <c r="A50" s="8" t="s">
        <v>18</v>
      </c>
      <c r="B50" s="51"/>
      <c r="C50" s="51">
        <f>42+1223</f>
        <v>1265</v>
      </c>
      <c r="D50" s="51">
        <f>61+1121</f>
        <v>1182</v>
      </c>
      <c r="E50" s="51">
        <v>1135</v>
      </c>
    </row>
    <row r="51" spans="1:5" ht="17.100000000000001" customHeight="1" x14ac:dyDescent="0.2">
      <c r="A51" s="56"/>
      <c r="B51" s="57">
        <f>SUM(B45:B50)</f>
        <v>0</v>
      </c>
      <c r="C51" s="57">
        <f>SUM(C45:C50)</f>
        <v>133301</v>
      </c>
      <c r="D51" s="57">
        <f>SUM(D45:D50)</f>
        <v>130869</v>
      </c>
      <c r="E51" s="57">
        <f>SUM(E45:E50)</f>
        <v>129265</v>
      </c>
    </row>
    <row r="52" spans="1:5" ht="17.100000000000001" customHeight="1" x14ac:dyDescent="0.2">
      <c r="A52" s="8"/>
      <c r="B52" s="51"/>
      <c r="C52" s="51"/>
      <c r="D52" s="51"/>
      <c r="E52" s="51"/>
    </row>
    <row r="53" spans="1:5" ht="17.100000000000001" customHeight="1" x14ac:dyDescent="0.2">
      <c r="A53" s="58" t="s">
        <v>56</v>
      </c>
      <c r="B53" s="57">
        <f>SUM(B44-B51)</f>
        <v>0</v>
      </c>
      <c r="C53" s="57">
        <f>SUM(C44-C51)</f>
        <v>8864</v>
      </c>
      <c r="D53" s="57">
        <f>SUM(D44-D51)</f>
        <v>7036</v>
      </c>
      <c r="E53" s="57">
        <f>SUM(E44-E51)</f>
        <v>8073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>
    <tabColor rgb="FF92D050"/>
  </sheetPr>
  <dimension ref="A1:F55"/>
  <sheetViews>
    <sheetView topLeftCell="A21" workbookViewId="0">
      <selection activeCell="A27" sqref="A27:E55"/>
    </sheetView>
  </sheetViews>
  <sheetFormatPr baseColWidth="10" defaultRowHeight="12.75" x14ac:dyDescent="0.2"/>
  <cols>
    <col min="1" max="1" width="37.7109375" style="1" customWidth="1"/>
    <col min="2" max="16384" width="11.42578125" style="1"/>
  </cols>
  <sheetData>
    <row r="1" spans="1:5" hidden="1" x14ac:dyDescent="0.2"/>
    <row r="3" spans="1:5" x14ac:dyDescent="0.2">
      <c r="A3" s="1" t="s">
        <v>1</v>
      </c>
      <c r="B3" s="1">
        <f>$E$27</f>
        <v>2015</v>
      </c>
      <c r="C3" s="1">
        <f>$D$27</f>
        <v>2016</v>
      </c>
      <c r="D3" s="1">
        <f>$C$27</f>
        <v>2017</v>
      </c>
      <c r="E3" s="1">
        <f>$B$27</f>
        <v>2018</v>
      </c>
    </row>
    <row r="4" spans="1:5" x14ac:dyDescent="0.2">
      <c r="A4" s="14"/>
      <c r="B4" s="2">
        <f>E55</f>
        <v>181</v>
      </c>
      <c r="C4" s="2">
        <f>D55</f>
        <v>184</v>
      </c>
      <c r="D4" s="2">
        <f>C55</f>
        <v>344</v>
      </c>
      <c r="E4" s="2">
        <f>B55</f>
        <v>29</v>
      </c>
    </row>
    <row r="5" spans="1:5" x14ac:dyDescent="0.2">
      <c r="B5" s="26"/>
      <c r="C5" s="26"/>
      <c r="D5" s="26"/>
    </row>
    <row r="6" spans="1:5" x14ac:dyDescent="0.2">
      <c r="A6" s="1" t="s">
        <v>0</v>
      </c>
      <c r="B6" s="1">
        <f>$E$27</f>
        <v>2015</v>
      </c>
      <c r="C6" s="1">
        <f>$D$27</f>
        <v>2016</v>
      </c>
      <c r="D6" s="1">
        <f>$C$27</f>
        <v>2017</v>
      </c>
      <c r="E6" s="1">
        <f>$B$27</f>
        <v>2018</v>
      </c>
    </row>
    <row r="7" spans="1:5" x14ac:dyDescent="0.2">
      <c r="B7" s="3">
        <f>E37/E41</f>
        <v>0.67766323024054986</v>
      </c>
      <c r="C7" s="3">
        <f>D37/D41</f>
        <v>0.71823204419889508</v>
      </c>
      <c r="D7" s="3">
        <f>C37/C41</f>
        <v>0.72315035799522676</v>
      </c>
      <c r="E7" s="3">
        <f>B37/B41</f>
        <v>0.73628993800667619</v>
      </c>
    </row>
    <row r="26" spans="1:6" ht="17.100000000000001" customHeight="1" x14ac:dyDescent="0.25">
      <c r="B26" s="35"/>
    </row>
    <row r="27" spans="1:6" ht="17.100000000000001" customHeight="1" x14ac:dyDescent="0.25">
      <c r="A27" s="54"/>
      <c r="B27" s="55">
        <v>2018</v>
      </c>
      <c r="C27" s="55">
        <v>2017</v>
      </c>
      <c r="D27" s="55">
        <v>2016</v>
      </c>
      <c r="E27" s="55">
        <v>2015</v>
      </c>
    </row>
    <row r="28" spans="1:6" ht="17.100000000000001" customHeight="1" x14ac:dyDescent="0.25">
      <c r="A28" s="35" t="s">
        <v>2</v>
      </c>
    </row>
    <row r="29" spans="1:6" ht="17.100000000000001" customHeight="1" x14ac:dyDescent="0.2">
      <c r="A29" s="36" t="s">
        <v>48</v>
      </c>
      <c r="F29" s="11"/>
    </row>
    <row r="30" spans="1:6" ht="17.100000000000001" customHeight="1" x14ac:dyDescent="0.2">
      <c r="A30" s="36"/>
      <c r="F30" s="7"/>
    </row>
    <row r="31" spans="1:6" ht="17.100000000000001" customHeight="1" x14ac:dyDescent="0.2">
      <c r="A31" s="8" t="s">
        <v>4</v>
      </c>
      <c r="B31" s="24">
        <v>154</v>
      </c>
      <c r="C31" s="24">
        <v>101</v>
      </c>
      <c r="D31" s="24">
        <v>100</v>
      </c>
      <c r="E31" s="24">
        <v>125</v>
      </c>
      <c r="F31" s="15"/>
    </row>
    <row r="32" spans="1:6" ht="17.100000000000001" customHeight="1" x14ac:dyDescent="0.2">
      <c r="A32" s="8" t="s">
        <v>5</v>
      </c>
      <c r="B32" s="24">
        <v>1914</v>
      </c>
      <c r="C32" s="24">
        <v>1970</v>
      </c>
      <c r="D32" s="24">
        <v>1506</v>
      </c>
      <c r="E32" s="24">
        <v>1313</v>
      </c>
      <c r="F32" s="15"/>
    </row>
    <row r="33" spans="1:6" ht="17.100000000000001" customHeight="1" x14ac:dyDescent="0.2">
      <c r="A33" s="8" t="s">
        <v>6</v>
      </c>
      <c r="B33" s="24">
        <v>29</v>
      </c>
      <c r="C33" s="24">
        <v>24</v>
      </c>
      <c r="D33" s="24">
        <v>23</v>
      </c>
      <c r="E33" s="24">
        <v>17</v>
      </c>
      <c r="F33" s="15"/>
    </row>
    <row r="34" spans="1:6" ht="17.100000000000001" customHeight="1" x14ac:dyDescent="0.2">
      <c r="A34" s="56"/>
      <c r="B34" s="57">
        <f>SUM(B31:B33)</f>
        <v>2097</v>
      </c>
      <c r="C34" s="57">
        <f>SUM(C31:C33)</f>
        <v>2095</v>
      </c>
      <c r="D34" s="57">
        <f>SUM(D31:D33)</f>
        <v>1629</v>
      </c>
      <c r="E34" s="57">
        <f>SUM(E31:E33)</f>
        <v>1455</v>
      </c>
      <c r="F34" s="17"/>
    </row>
    <row r="35" spans="1:6" ht="17.100000000000001" customHeight="1" x14ac:dyDescent="0.2">
      <c r="A35" s="36" t="s">
        <v>7</v>
      </c>
      <c r="B35" s="42"/>
      <c r="C35" s="42"/>
      <c r="D35" s="42"/>
      <c r="E35" s="42"/>
      <c r="F35" s="18"/>
    </row>
    <row r="36" spans="1:6" ht="17.100000000000001" customHeight="1" x14ac:dyDescent="0.2">
      <c r="A36" s="36"/>
      <c r="B36" s="42"/>
      <c r="C36" s="42"/>
      <c r="D36" s="42"/>
      <c r="E36" s="42"/>
      <c r="F36" s="18"/>
    </row>
    <row r="37" spans="1:6" ht="17.100000000000001" customHeight="1" x14ac:dyDescent="0.2">
      <c r="A37" s="8" t="s">
        <v>8</v>
      </c>
      <c r="B37" s="24">
        <v>1544</v>
      </c>
      <c r="C37" s="24">
        <v>1515</v>
      </c>
      <c r="D37" s="24">
        <v>1170</v>
      </c>
      <c r="E37" s="24">
        <v>986</v>
      </c>
      <c r="F37" s="15"/>
    </row>
    <row r="38" spans="1:6" ht="17.100000000000001" customHeight="1" x14ac:dyDescent="0.2">
      <c r="A38" s="8" t="s">
        <v>9</v>
      </c>
      <c r="B38" s="24">
        <v>117</v>
      </c>
      <c r="C38" s="24">
        <v>119</v>
      </c>
      <c r="D38" s="24">
        <v>116</v>
      </c>
      <c r="E38" s="24">
        <v>120</v>
      </c>
      <c r="F38" s="15"/>
    </row>
    <row r="39" spans="1:6" ht="17.100000000000001" customHeight="1" x14ac:dyDescent="0.2">
      <c r="A39" s="8" t="s">
        <v>10</v>
      </c>
      <c r="B39" s="24">
        <v>436</v>
      </c>
      <c r="C39" s="24">
        <v>461</v>
      </c>
      <c r="D39" s="24">
        <v>343</v>
      </c>
      <c r="E39" s="24">
        <v>346</v>
      </c>
      <c r="F39" s="15"/>
    </row>
    <row r="40" spans="1:6" ht="17.100000000000001" customHeight="1" x14ac:dyDescent="0.2">
      <c r="A40" s="8" t="s">
        <v>6</v>
      </c>
      <c r="B40" s="24">
        <v>0</v>
      </c>
      <c r="C40" s="24">
        <v>0</v>
      </c>
      <c r="D40" s="24">
        <v>0</v>
      </c>
      <c r="E40" s="24">
        <v>3</v>
      </c>
      <c r="F40" s="15"/>
    </row>
    <row r="41" spans="1:6" ht="17.100000000000001" customHeight="1" x14ac:dyDescent="0.2">
      <c r="A41" s="56"/>
      <c r="B41" s="57">
        <f>SUM(B37:B40)</f>
        <v>2097</v>
      </c>
      <c r="C41" s="57">
        <f>SUM(C37:C40)</f>
        <v>2095</v>
      </c>
      <c r="D41" s="57">
        <f>SUM(D37:D40)</f>
        <v>1629</v>
      </c>
      <c r="E41" s="57">
        <f>SUM(E37:E40)</f>
        <v>1455</v>
      </c>
      <c r="F41" s="17"/>
    </row>
    <row r="42" spans="1:6" ht="17.100000000000001" customHeight="1" x14ac:dyDescent="0.25">
      <c r="A42" s="35" t="s">
        <v>66</v>
      </c>
      <c r="B42" s="65"/>
      <c r="C42" s="65"/>
      <c r="D42" s="65"/>
      <c r="E42" s="65"/>
      <c r="F42" s="2"/>
    </row>
    <row r="43" spans="1:6" ht="17.100000000000001" customHeight="1" x14ac:dyDescent="0.2">
      <c r="A43" s="8" t="s">
        <v>12</v>
      </c>
      <c r="B43" s="24">
        <v>2184</v>
      </c>
      <c r="C43" s="24">
        <v>2471</v>
      </c>
      <c r="D43" s="24">
        <v>2042</v>
      </c>
      <c r="E43" s="24">
        <v>1942</v>
      </c>
      <c r="F43" s="15"/>
    </row>
    <row r="44" spans="1:6" ht="17.100000000000001" customHeight="1" x14ac:dyDescent="0.2">
      <c r="A44" s="8" t="s">
        <v>19</v>
      </c>
      <c r="B44" s="24">
        <f>785+48</f>
        <v>833</v>
      </c>
      <c r="C44" s="24">
        <f>785+112+56</f>
        <v>953</v>
      </c>
      <c r="D44" s="24">
        <f>58+785+55</f>
        <v>898</v>
      </c>
      <c r="E44" s="24">
        <f>933+18</f>
        <v>951</v>
      </c>
      <c r="F44" s="15"/>
    </row>
    <row r="45" spans="1:6" ht="17.100000000000001" customHeight="1" x14ac:dyDescent="0.2">
      <c r="A45" s="8" t="s">
        <v>13</v>
      </c>
      <c r="B45" s="24">
        <v>0</v>
      </c>
      <c r="C45" s="24">
        <v>0</v>
      </c>
      <c r="D45" s="24">
        <v>1</v>
      </c>
      <c r="E45" s="24">
        <v>1</v>
      </c>
      <c r="F45" s="15"/>
    </row>
    <row r="46" spans="1:6" ht="17.100000000000001" customHeight="1" x14ac:dyDescent="0.2">
      <c r="A46" s="56"/>
      <c r="B46" s="57">
        <f>SUM(B43:B45)</f>
        <v>3017</v>
      </c>
      <c r="C46" s="57">
        <f>SUM(C43:C45)</f>
        <v>3424</v>
      </c>
      <c r="D46" s="57">
        <f>SUM(D43:D45)</f>
        <v>2941</v>
      </c>
      <c r="E46" s="57">
        <f>SUM(E43:E45)</f>
        <v>2894</v>
      </c>
      <c r="F46" s="17"/>
    </row>
    <row r="47" spans="1:6" ht="17.100000000000001" customHeight="1" x14ac:dyDescent="0.2">
      <c r="A47" s="8" t="s">
        <v>20</v>
      </c>
      <c r="B47" s="24">
        <v>457</v>
      </c>
      <c r="C47" s="24">
        <v>422</v>
      </c>
      <c r="D47" s="24">
        <v>518</v>
      </c>
      <c r="E47" s="24">
        <v>520</v>
      </c>
      <c r="F47" s="15"/>
    </row>
    <row r="48" spans="1:6" ht="17.100000000000001" customHeight="1" x14ac:dyDescent="0.2">
      <c r="A48" s="8" t="s">
        <v>14</v>
      </c>
      <c r="B48" s="24">
        <v>977</v>
      </c>
      <c r="C48" s="24">
        <v>924</v>
      </c>
      <c r="D48" s="24">
        <v>784</v>
      </c>
      <c r="E48" s="24">
        <v>740</v>
      </c>
      <c r="F48" s="15"/>
    </row>
    <row r="49" spans="1:6" ht="17.100000000000001" customHeight="1" x14ac:dyDescent="0.2">
      <c r="A49" s="8" t="s">
        <v>15</v>
      </c>
      <c r="B49" s="24">
        <v>40</v>
      </c>
      <c r="C49" s="24">
        <v>35</v>
      </c>
      <c r="D49" s="24">
        <v>45</v>
      </c>
      <c r="E49" s="24">
        <v>46</v>
      </c>
      <c r="F49" s="15"/>
    </row>
    <row r="50" spans="1:6" ht="17.100000000000001" customHeight="1" x14ac:dyDescent="0.2">
      <c r="A50" s="8" t="s">
        <v>16</v>
      </c>
      <c r="B50" s="24">
        <f>1505+8</f>
        <v>1513</v>
      </c>
      <c r="C50" s="24">
        <v>1698</v>
      </c>
      <c r="D50" s="24">
        <v>1408</v>
      </c>
      <c r="E50" s="24">
        <v>1406</v>
      </c>
      <c r="F50" s="15"/>
    </row>
    <row r="51" spans="1:6" ht="17.100000000000001" customHeight="1" x14ac:dyDescent="0.2">
      <c r="A51" s="8" t="s">
        <v>17</v>
      </c>
      <c r="B51" s="24">
        <v>0</v>
      </c>
      <c r="C51" s="24">
        <v>0</v>
      </c>
      <c r="D51" s="24">
        <v>1</v>
      </c>
      <c r="E51" s="24">
        <v>1</v>
      </c>
      <c r="F51" s="15"/>
    </row>
    <row r="52" spans="1:6" ht="17.100000000000001" customHeight="1" x14ac:dyDescent="0.2">
      <c r="A52" s="8" t="s">
        <v>18</v>
      </c>
      <c r="B52" s="24">
        <v>1</v>
      </c>
      <c r="C52" s="24">
        <v>1</v>
      </c>
      <c r="D52" s="24">
        <v>1</v>
      </c>
      <c r="E52" s="24">
        <v>0</v>
      </c>
      <c r="F52" s="15"/>
    </row>
    <row r="53" spans="1:6" ht="17.100000000000001" customHeight="1" x14ac:dyDescent="0.2">
      <c r="A53" s="56"/>
      <c r="B53" s="57">
        <f>SUM(B47:B52)</f>
        <v>2988</v>
      </c>
      <c r="C53" s="57">
        <f>SUM(C47:C52)</f>
        <v>3080</v>
      </c>
      <c r="D53" s="57">
        <f>SUM(D47:D52)</f>
        <v>2757</v>
      </c>
      <c r="E53" s="57">
        <f>SUM(E47:E52)</f>
        <v>2713</v>
      </c>
      <c r="F53" s="17"/>
    </row>
    <row r="54" spans="1:6" ht="17.100000000000001" customHeight="1" x14ac:dyDescent="0.2">
      <c r="A54" s="8"/>
      <c r="B54" s="24"/>
      <c r="C54" s="24"/>
      <c r="D54" s="24"/>
      <c r="E54" s="24"/>
      <c r="F54" s="18"/>
    </row>
    <row r="55" spans="1:6" ht="17.100000000000001" customHeight="1" x14ac:dyDescent="0.2">
      <c r="A55" s="58" t="s">
        <v>56</v>
      </c>
      <c r="B55" s="57">
        <f>SUM(B46-B53)</f>
        <v>29</v>
      </c>
      <c r="C55" s="57">
        <f>SUM(C46-C53)</f>
        <v>344</v>
      </c>
      <c r="D55" s="57">
        <f>SUM(D46-D53)</f>
        <v>184</v>
      </c>
      <c r="E55" s="57">
        <f>SUM(E46-E53)</f>
        <v>181</v>
      </c>
      <c r="F55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>
    <tabColor rgb="FF92D050"/>
  </sheetPr>
  <dimension ref="A2:F55"/>
  <sheetViews>
    <sheetView topLeftCell="A22" workbookViewId="0">
      <selection activeCell="B48" sqref="B48"/>
    </sheetView>
  </sheetViews>
  <sheetFormatPr baseColWidth="10" defaultRowHeight="12.75" x14ac:dyDescent="0.2"/>
  <cols>
    <col min="1" max="1" width="36.140625" style="1" bestFit="1" customWidth="1"/>
    <col min="2" max="16384" width="11.42578125" style="1"/>
  </cols>
  <sheetData>
    <row r="2" spans="1:6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6" x14ac:dyDescent="0.2">
      <c r="A3" s="14"/>
      <c r="B3" s="2">
        <f>E54</f>
        <v>19</v>
      </c>
      <c r="C3" s="2">
        <f>D54</f>
        <v>55</v>
      </c>
      <c r="D3" s="2">
        <f>C54</f>
        <v>55</v>
      </c>
      <c r="E3" s="2">
        <f>B54</f>
        <v>-8</v>
      </c>
    </row>
    <row r="5" spans="1:6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6" x14ac:dyDescent="0.2">
      <c r="B6" s="3">
        <f>E36/E40</f>
        <v>0.16025641025641027</v>
      </c>
      <c r="C6" s="3">
        <f>D36/D40</f>
        <v>0.17006802721088435</v>
      </c>
      <c r="D6" s="3">
        <f>C36/C40</f>
        <v>0.16891891891891891</v>
      </c>
      <c r="E6" s="3">
        <f>B36/B40</f>
        <v>0.15151515151515152</v>
      </c>
      <c r="F6" s="3"/>
    </row>
    <row r="25" spans="1:6" ht="17.100000000000001" customHeight="1" x14ac:dyDescent="0.25">
      <c r="B25" s="35"/>
    </row>
    <row r="26" spans="1:6" ht="17.100000000000001" customHeight="1" x14ac:dyDescent="0.25">
      <c r="A26" s="54"/>
      <c r="B26" s="55">
        <v>2018</v>
      </c>
      <c r="C26" s="55">
        <v>2017</v>
      </c>
      <c r="D26" s="55">
        <v>2016</v>
      </c>
      <c r="E26" s="55">
        <v>2015</v>
      </c>
      <c r="F26" s="11"/>
    </row>
    <row r="27" spans="1:6" ht="17.100000000000001" customHeight="1" x14ac:dyDescent="0.25">
      <c r="A27" s="35" t="s">
        <v>2</v>
      </c>
      <c r="B27" s="35"/>
      <c r="C27" s="35"/>
      <c r="D27" s="35"/>
      <c r="E27" s="35"/>
    </row>
    <row r="28" spans="1:6" ht="17.100000000000001" customHeight="1" x14ac:dyDescent="0.25">
      <c r="A28" s="36" t="s">
        <v>48</v>
      </c>
      <c r="B28" s="29"/>
      <c r="C28" s="29"/>
      <c r="D28" s="29"/>
      <c r="E28" s="29"/>
    </row>
    <row r="29" spans="1:6" ht="17.100000000000001" customHeight="1" x14ac:dyDescent="0.25">
      <c r="A29" s="36"/>
      <c r="B29" s="29"/>
      <c r="C29" s="29"/>
      <c r="D29" s="29"/>
      <c r="E29" s="29"/>
      <c r="F29" s="7"/>
    </row>
    <row r="30" spans="1:6" ht="17.100000000000001" customHeight="1" x14ac:dyDescent="0.2">
      <c r="A30" s="8" t="s">
        <v>4</v>
      </c>
      <c r="B30" s="24">
        <v>6</v>
      </c>
      <c r="C30" s="24">
        <v>5</v>
      </c>
      <c r="D30" s="24">
        <v>7</v>
      </c>
      <c r="E30" s="24">
        <v>7</v>
      </c>
      <c r="F30" s="15"/>
    </row>
    <row r="31" spans="1:6" ht="17.100000000000001" customHeight="1" x14ac:dyDescent="0.2">
      <c r="A31" s="8" t="s">
        <v>5</v>
      </c>
      <c r="B31" s="24">
        <v>159</v>
      </c>
      <c r="C31" s="24">
        <v>142</v>
      </c>
      <c r="D31" s="24">
        <v>139</v>
      </c>
      <c r="E31" s="24">
        <v>148</v>
      </c>
      <c r="F31" s="15"/>
    </row>
    <row r="32" spans="1:6" ht="17.100000000000001" customHeight="1" x14ac:dyDescent="0.2">
      <c r="A32" s="8" t="s">
        <v>6</v>
      </c>
      <c r="B32" s="24">
        <v>0</v>
      </c>
      <c r="C32" s="24">
        <v>1</v>
      </c>
      <c r="D32" s="24">
        <v>1</v>
      </c>
      <c r="E32" s="24">
        <v>1</v>
      </c>
      <c r="F32" s="15"/>
    </row>
    <row r="33" spans="1:6" ht="17.100000000000001" customHeight="1" x14ac:dyDescent="0.2">
      <c r="A33" s="56"/>
      <c r="B33" s="57">
        <f>SUM(B30:B32)</f>
        <v>165</v>
      </c>
      <c r="C33" s="57">
        <f>SUM(C30:C32)</f>
        <v>148</v>
      </c>
      <c r="D33" s="57">
        <f>SUM(D30:D32)</f>
        <v>147</v>
      </c>
      <c r="E33" s="57">
        <f>SUM(E30:E32)</f>
        <v>156</v>
      </c>
      <c r="F33" s="17"/>
    </row>
    <row r="34" spans="1:6" ht="17.100000000000001" customHeight="1" x14ac:dyDescent="0.25">
      <c r="A34" s="36" t="s">
        <v>7</v>
      </c>
      <c r="B34" s="29"/>
      <c r="C34" s="29"/>
      <c r="D34" s="29"/>
      <c r="E34" s="29"/>
      <c r="F34" s="18"/>
    </row>
    <row r="35" spans="1:6" ht="17.100000000000001" customHeight="1" x14ac:dyDescent="0.25">
      <c r="A35" s="36"/>
      <c r="B35" s="29"/>
      <c r="C35" s="29"/>
      <c r="D35" s="29"/>
      <c r="E35" s="29"/>
      <c r="F35" s="18"/>
    </row>
    <row r="36" spans="1:6" ht="17.100000000000001" customHeight="1" x14ac:dyDescent="0.2">
      <c r="A36" s="8" t="s">
        <v>8</v>
      </c>
      <c r="B36" s="24">
        <v>25</v>
      </c>
      <c r="C36" s="24">
        <v>25</v>
      </c>
      <c r="D36" s="24">
        <v>25</v>
      </c>
      <c r="E36" s="24">
        <v>25</v>
      </c>
      <c r="F36" s="15"/>
    </row>
    <row r="37" spans="1:6" ht="17.100000000000001" customHeight="1" x14ac:dyDescent="0.2">
      <c r="A37" s="8" t="s">
        <v>9</v>
      </c>
      <c r="B37" s="24">
        <v>43</v>
      </c>
      <c r="C37" s="24">
        <v>40</v>
      </c>
      <c r="D37" s="24">
        <v>37</v>
      </c>
      <c r="E37" s="24">
        <v>29</v>
      </c>
      <c r="F37" s="15"/>
    </row>
    <row r="38" spans="1:6" ht="17.100000000000001" customHeight="1" x14ac:dyDescent="0.2">
      <c r="A38" s="8" t="s">
        <v>10</v>
      </c>
      <c r="B38" s="24">
        <v>97</v>
      </c>
      <c r="C38" s="24">
        <v>83</v>
      </c>
      <c r="D38" s="24">
        <v>85</v>
      </c>
      <c r="E38" s="24">
        <v>102</v>
      </c>
      <c r="F38" s="15"/>
    </row>
    <row r="39" spans="1:6" ht="17.100000000000001" customHeight="1" x14ac:dyDescent="0.2">
      <c r="A39" s="8" t="s">
        <v>6</v>
      </c>
      <c r="B39" s="24">
        <v>0</v>
      </c>
      <c r="C39" s="24">
        <v>0</v>
      </c>
      <c r="D39" s="24">
        <v>0</v>
      </c>
      <c r="E39" s="24">
        <v>0</v>
      </c>
      <c r="F39" s="15"/>
    </row>
    <row r="40" spans="1:6" ht="17.100000000000001" customHeight="1" x14ac:dyDescent="0.2">
      <c r="A40" s="56"/>
      <c r="B40" s="57">
        <f>SUM(B36:B39)</f>
        <v>165</v>
      </c>
      <c r="C40" s="57">
        <f>SUM(C36:C39)</f>
        <v>148</v>
      </c>
      <c r="D40" s="57">
        <f>SUM(D36:D39)</f>
        <v>147</v>
      </c>
      <c r="E40" s="57">
        <f>SUM(E36:E39)</f>
        <v>156</v>
      </c>
      <c r="F40" s="17"/>
    </row>
    <row r="41" spans="1:6" ht="17.100000000000001" customHeight="1" x14ac:dyDescent="0.25">
      <c r="A41" s="35" t="s">
        <v>66</v>
      </c>
      <c r="B41" s="29"/>
      <c r="C41" s="29"/>
      <c r="D41" s="29"/>
      <c r="E41" s="29"/>
      <c r="F41" s="2"/>
    </row>
    <row r="42" spans="1:6" ht="17.100000000000001" customHeight="1" x14ac:dyDescent="0.2">
      <c r="A42" s="8" t="s">
        <v>12</v>
      </c>
      <c r="B42" s="24">
        <v>937</v>
      </c>
      <c r="C42" s="24">
        <v>903</v>
      </c>
      <c r="D42" s="24">
        <v>882</v>
      </c>
      <c r="E42" s="24">
        <v>797</v>
      </c>
      <c r="F42" s="15"/>
    </row>
    <row r="43" spans="1:6" ht="17.100000000000001" customHeight="1" x14ac:dyDescent="0.2">
      <c r="A43" s="8" t="s">
        <v>19</v>
      </c>
      <c r="B43" s="24">
        <v>48</v>
      </c>
      <c r="C43" s="24">
        <v>29</v>
      </c>
      <c r="D43" s="24">
        <v>41</v>
      </c>
      <c r="E43" s="24">
        <v>31</v>
      </c>
      <c r="F43" s="15"/>
    </row>
    <row r="44" spans="1:6" ht="17.100000000000001" customHeight="1" x14ac:dyDescent="0.2">
      <c r="A44" s="8" t="s">
        <v>13</v>
      </c>
      <c r="B44" s="24">
        <v>0</v>
      </c>
      <c r="C44" s="24">
        <v>0</v>
      </c>
      <c r="D44" s="24">
        <v>0</v>
      </c>
      <c r="E44" s="24">
        <v>0</v>
      </c>
      <c r="F44" s="15"/>
    </row>
    <row r="45" spans="1:6" ht="17.100000000000001" customHeight="1" x14ac:dyDescent="0.2">
      <c r="A45" s="56"/>
      <c r="B45" s="57">
        <f>SUM(B42:B44)</f>
        <v>985</v>
      </c>
      <c r="C45" s="57">
        <f>SUM(C42:C44)</f>
        <v>932</v>
      </c>
      <c r="D45" s="57">
        <f>SUM(D42:D44)</f>
        <v>923</v>
      </c>
      <c r="E45" s="57">
        <f>SUM(E42:E44)</f>
        <v>828</v>
      </c>
      <c r="F45" s="17"/>
    </row>
    <row r="46" spans="1:6" ht="17.100000000000001" customHeight="1" x14ac:dyDescent="0.2">
      <c r="A46" s="8" t="s">
        <v>20</v>
      </c>
      <c r="B46" s="24">
        <v>28</v>
      </c>
      <c r="C46" s="24">
        <v>0</v>
      </c>
      <c r="D46" s="24">
        <v>0</v>
      </c>
      <c r="E46" s="24">
        <v>0</v>
      </c>
      <c r="F46" s="15"/>
    </row>
    <row r="47" spans="1:6" ht="17.100000000000001" customHeight="1" x14ac:dyDescent="0.2">
      <c r="A47" s="8" t="s">
        <v>14</v>
      </c>
      <c r="B47" s="24">
        <v>907</v>
      </c>
      <c r="C47" s="24">
        <v>823</v>
      </c>
      <c r="D47" s="24">
        <v>799</v>
      </c>
      <c r="E47" s="24">
        <v>750</v>
      </c>
      <c r="F47" s="15"/>
    </row>
    <row r="48" spans="1:6" ht="17.100000000000001" customHeight="1" x14ac:dyDescent="0.2">
      <c r="A48" s="8" t="s">
        <v>15</v>
      </c>
      <c r="B48" s="24">
        <v>2</v>
      </c>
      <c r="C48" s="24">
        <v>3</v>
      </c>
      <c r="D48" s="24">
        <v>3</v>
      </c>
      <c r="E48" s="24">
        <v>3</v>
      </c>
      <c r="F48" s="15"/>
    </row>
    <row r="49" spans="1:6" ht="17.100000000000001" customHeight="1" x14ac:dyDescent="0.2">
      <c r="A49" s="8" t="s">
        <v>16</v>
      </c>
      <c r="B49" s="24">
        <v>56</v>
      </c>
      <c r="C49" s="24">
        <v>51</v>
      </c>
      <c r="D49" s="24">
        <v>66</v>
      </c>
      <c r="E49" s="24">
        <v>56</v>
      </c>
      <c r="F49" s="15"/>
    </row>
    <row r="50" spans="1:6" ht="17.100000000000001" customHeight="1" x14ac:dyDescent="0.2">
      <c r="A50" s="8" t="s">
        <v>17</v>
      </c>
      <c r="B50" s="24">
        <v>0</v>
      </c>
      <c r="C50" s="24">
        <v>0</v>
      </c>
      <c r="D50" s="24">
        <v>0</v>
      </c>
      <c r="E50" s="24">
        <v>0</v>
      </c>
      <c r="F50" s="15"/>
    </row>
    <row r="51" spans="1:6" ht="17.100000000000001" customHeight="1" x14ac:dyDescent="0.2">
      <c r="A51" s="8" t="s">
        <v>18</v>
      </c>
      <c r="B51" s="24">
        <v>0</v>
      </c>
      <c r="C51" s="24">
        <v>0</v>
      </c>
      <c r="D51" s="24">
        <v>0</v>
      </c>
      <c r="E51" s="24">
        <v>0</v>
      </c>
      <c r="F51" s="15"/>
    </row>
    <row r="52" spans="1:6" ht="17.100000000000001" customHeight="1" x14ac:dyDescent="0.2">
      <c r="A52" s="56"/>
      <c r="B52" s="57">
        <f>SUM(B46:B51)</f>
        <v>993</v>
      </c>
      <c r="C52" s="57">
        <f>SUM(C46:C51)</f>
        <v>877</v>
      </c>
      <c r="D52" s="57">
        <f>SUM(D46:D51)</f>
        <v>868</v>
      </c>
      <c r="E52" s="57">
        <f>SUM(E46:E51)</f>
        <v>809</v>
      </c>
      <c r="F52" s="17"/>
    </row>
    <row r="53" spans="1:6" ht="17.100000000000001" customHeight="1" x14ac:dyDescent="0.25">
      <c r="A53" s="8"/>
      <c r="B53" s="29"/>
      <c r="C53" s="29"/>
      <c r="D53" s="29"/>
      <c r="E53" s="29"/>
      <c r="F53" s="18"/>
    </row>
    <row r="54" spans="1:6" ht="17.100000000000001" customHeight="1" x14ac:dyDescent="0.2">
      <c r="A54" s="58" t="s">
        <v>79</v>
      </c>
      <c r="B54" s="57">
        <f>SUM(B45-B52)</f>
        <v>-8</v>
      </c>
      <c r="C54" s="57">
        <f>SUM(C45-C52)</f>
        <v>55</v>
      </c>
      <c r="D54" s="57">
        <f>SUM(D45-D52)</f>
        <v>55</v>
      </c>
      <c r="E54" s="57">
        <f>SUM(E45-E52)</f>
        <v>19</v>
      </c>
      <c r="F54" s="17"/>
    </row>
    <row r="55" spans="1:6" ht="15.75" x14ac:dyDescent="0.25">
      <c r="A55" s="29" t="s">
        <v>41</v>
      </c>
      <c r="B55" s="29"/>
      <c r="C55" s="29"/>
      <c r="D55" s="29"/>
      <c r="E55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>
    <tabColor rgb="FF92D050"/>
  </sheetPr>
  <dimension ref="A2:G55"/>
  <sheetViews>
    <sheetView topLeftCell="A23" workbookViewId="0">
      <selection activeCell="R35" sqref="R35"/>
    </sheetView>
  </sheetViews>
  <sheetFormatPr baseColWidth="10" defaultRowHeight="12.75" x14ac:dyDescent="0.2"/>
  <cols>
    <col min="1" max="1" width="37.140625" style="1" customWidth="1"/>
    <col min="2" max="16384" width="11.42578125" style="1"/>
  </cols>
  <sheetData>
    <row r="2" spans="1:6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6" x14ac:dyDescent="0.2">
      <c r="A3" s="14"/>
      <c r="B3" s="2">
        <f>E55</f>
        <v>0</v>
      </c>
      <c r="C3" s="2">
        <f>D55</f>
        <v>0</v>
      </c>
      <c r="D3" s="2">
        <f>C55</f>
        <v>0</v>
      </c>
      <c r="E3" s="2">
        <f>D55</f>
        <v>0</v>
      </c>
    </row>
    <row r="5" spans="1:6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6" x14ac:dyDescent="0.2">
      <c r="B6" s="3">
        <v>0.157</v>
      </c>
      <c r="C6" s="3">
        <v>0.19</v>
      </c>
      <c r="D6" s="3">
        <v>0.13400000000000001</v>
      </c>
      <c r="E6" s="3">
        <f>50.1/B41</f>
        <v>0.10891304347826088</v>
      </c>
      <c r="F6" s="3"/>
    </row>
    <row r="7" spans="1:6" x14ac:dyDescent="0.2">
      <c r="C7" s="3"/>
    </row>
    <row r="21" spans="1:7" ht="17.100000000000001" customHeight="1" x14ac:dyDescent="0.25">
      <c r="A21" s="35" t="s">
        <v>2</v>
      </c>
      <c r="B21" s="35"/>
    </row>
    <row r="22" spans="1:7" ht="17.100000000000001" customHeight="1" x14ac:dyDescent="0.2">
      <c r="A22" s="5"/>
      <c r="B22" s="5"/>
    </row>
    <row r="23" spans="1:7" ht="17.100000000000001" customHeight="1" x14ac:dyDescent="0.2">
      <c r="A23" s="5"/>
      <c r="B23" s="5"/>
    </row>
    <row r="24" spans="1:7" ht="17.100000000000001" customHeight="1" x14ac:dyDescent="0.2">
      <c r="A24" s="5"/>
      <c r="B24" s="5"/>
    </row>
    <row r="25" spans="1:7" ht="17.100000000000001" customHeight="1" x14ac:dyDescent="0.2">
      <c r="A25" s="5"/>
      <c r="B25" s="5"/>
    </row>
    <row r="26" spans="1:7" ht="17.100000000000001" customHeight="1" x14ac:dyDescent="0.2">
      <c r="A26" s="5"/>
      <c r="B26" s="5"/>
    </row>
    <row r="27" spans="1:7" ht="17.100000000000001" customHeight="1" x14ac:dyDescent="0.25">
      <c r="A27" s="54"/>
      <c r="B27" s="106">
        <v>2018</v>
      </c>
      <c r="C27" s="106">
        <v>2017</v>
      </c>
      <c r="D27" s="106">
        <v>2016</v>
      </c>
      <c r="E27" s="106">
        <v>2015</v>
      </c>
    </row>
    <row r="28" spans="1:7" ht="17.100000000000001" customHeight="1" x14ac:dyDescent="0.25">
      <c r="A28" s="35" t="s">
        <v>2</v>
      </c>
    </row>
    <row r="29" spans="1:7" ht="17.100000000000001" customHeight="1" x14ac:dyDescent="0.2">
      <c r="A29" s="36" t="s">
        <v>48</v>
      </c>
      <c r="F29" s="11"/>
    </row>
    <row r="30" spans="1:7" ht="17.100000000000001" customHeight="1" x14ac:dyDescent="0.2">
      <c r="A30" s="36"/>
      <c r="F30" s="7"/>
    </row>
    <row r="31" spans="1:7" ht="17.100000000000001" customHeight="1" x14ac:dyDescent="0.2">
      <c r="A31" s="8" t="s">
        <v>4</v>
      </c>
      <c r="B31" s="18">
        <v>79</v>
      </c>
      <c r="C31" s="18">
        <f>39+2</f>
        <v>41</v>
      </c>
      <c r="D31" s="18">
        <f>0+20+2</f>
        <v>22</v>
      </c>
      <c r="E31" s="18">
        <f>1+24+2</f>
        <v>27</v>
      </c>
      <c r="F31" s="15"/>
    </row>
    <row r="32" spans="1:7" ht="17.100000000000001" customHeight="1" x14ac:dyDescent="0.2">
      <c r="A32" s="8" t="s">
        <v>5</v>
      </c>
      <c r="B32" s="18">
        <v>361</v>
      </c>
      <c r="C32" s="18">
        <f>182+390</f>
        <v>572</v>
      </c>
      <c r="D32" s="18">
        <f>135+290</f>
        <v>425</v>
      </c>
      <c r="E32" s="18">
        <f>67+279</f>
        <v>346</v>
      </c>
      <c r="F32" s="15"/>
      <c r="G32" s="2"/>
    </row>
    <row r="33" spans="1:7" ht="17.100000000000001" customHeight="1" x14ac:dyDescent="0.2">
      <c r="A33" s="8" t="s">
        <v>6</v>
      </c>
      <c r="B33" s="18">
        <v>20</v>
      </c>
      <c r="C33" s="18">
        <v>17</v>
      </c>
      <c r="D33" s="18">
        <v>31</v>
      </c>
      <c r="E33" s="18">
        <v>1</v>
      </c>
      <c r="F33" s="15"/>
    </row>
    <row r="34" spans="1:7" ht="17.100000000000001" customHeight="1" x14ac:dyDescent="0.2">
      <c r="A34" s="56"/>
      <c r="B34" s="57">
        <f>SUM(B31:B33)</f>
        <v>460</v>
      </c>
      <c r="C34" s="57">
        <f>SUM(C31:C33)</f>
        <v>630</v>
      </c>
      <c r="D34" s="57">
        <f>SUM(D31:D33)</f>
        <v>478</v>
      </c>
      <c r="E34" s="57">
        <f>SUM(E31:E33)</f>
        <v>374</v>
      </c>
      <c r="F34" s="17"/>
      <c r="G34" s="2"/>
    </row>
    <row r="35" spans="1:7" ht="17.100000000000001" customHeight="1" x14ac:dyDescent="0.2">
      <c r="A35" s="36" t="s">
        <v>7</v>
      </c>
      <c r="B35" s="18"/>
      <c r="C35" s="18"/>
      <c r="D35" s="18"/>
      <c r="E35" s="18"/>
      <c r="F35" s="18"/>
    </row>
    <row r="36" spans="1:7" ht="17.100000000000001" customHeight="1" x14ac:dyDescent="0.2">
      <c r="A36" s="36"/>
      <c r="B36" s="18"/>
      <c r="C36" s="18"/>
      <c r="D36" s="18"/>
      <c r="E36" s="18"/>
      <c r="F36" s="18"/>
    </row>
    <row r="37" spans="1:7" ht="17.100000000000001" customHeight="1" x14ac:dyDescent="0.2">
      <c r="A37" s="8" t="s">
        <v>34</v>
      </c>
      <c r="B37" s="18">
        <f>50+78</f>
        <v>128</v>
      </c>
      <c r="C37" s="18">
        <f>50+39</f>
        <v>89</v>
      </c>
      <c r="D37" s="18">
        <v>71</v>
      </c>
      <c r="E37" s="18">
        <f>50+25</f>
        <v>75</v>
      </c>
      <c r="F37" s="3"/>
    </row>
    <row r="38" spans="1:7" ht="17.100000000000001" customHeight="1" x14ac:dyDescent="0.2">
      <c r="A38" s="8" t="s">
        <v>9</v>
      </c>
      <c r="B38" s="18">
        <v>38</v>
      </c>
      <c r="C38" s="18">
        <v>45</v>
      </c>
      <c r="D38" s="18">
        <v>29</v>
      </c>
      <c r="E38" s="18">
        <v>34</v>
      </c>
      <c r="F38" s="112"/>
    </row>
    <row r="39" spans="1:7" ht="17.100000000000001" customHeight="1" x14ac:dyDescent="0.2">
      <c r="A39" s="8" t="s">
        <v>10</v>
      </c>
      <c r="B39" s="18">
        <v>294</v>
      </c>
      <c r="C39" s="18">
        <v>496</v>
      </c>
      <c r="D39" s="18">
        <v>378</v>
      </c>
      <c r="E39" s="18">
        <v>265</v>
      </c>
      <c r="F39" s="15"/>
      <c r="G39" s="2"/>
    </row>
    <row r="40" spans="1:7" ht="17.100000000000001" customHeight="1" x14ac:dyDescent="0.2">
      <c r="A40" s="8" t="s">
        <v>6</v>
      </c>
      <c r="B40" s="18">
        <v>0</v>
      </c>
      <c r="C40" s="18">
        <v>0</v>
      </c>
      <c r="D40" s="18">
        <v>0</v>
      </c>
      <c r="E40" s="18">
        <v>0</v>
      </c>
      <c r="F40" s="15"/>
    </row>
    <row r="41" spans="1:7" ht="17.100000000000001" customHeight="1" x14ac:dyDescent="0.2">
      <c r="A41" s="56"/>
      <c r="B41" s="57">
        <f>SUM(B37:B40)</f>
        <v>460</v>
      </c>
      <c r="C41" s="57">
        <f>SUM(C37:C40)</f>
        <v>630</v>
      </c>
      <c r="D41" s="57">
        <f>SUM(D37:D40)</f>
        <v>478</v>
      </c>
      <c r="E41" s="57">
        <f>SUM(E37:E40)</f>
        <v>374</v>
      </c>
      <c r="F41" s="17"/>
    </row>
    <row r="42" spans="1:7" ht="17.100000000000001" customHeight="1" x14ac:dyDescent="0.25">
      <c r="A42" s="35" t="s">
        <v>66</v>
      </c>
      <c r="B42" s="52"/>
      <c r="C42" s="52"/>
      <c r="D42" s="52"/>
      <c r="E42" s="52"/>
      <c r="F42" s="2"/>
    </row>
    <row r="43" spans="1:7" ht="17.100000000000001" customHeight="1" x14ac:dyDescent="0.2">
      <c r="A43" s="8" t="s">
        <v>12</v>
      </c>
      <c r="B43" s="18">
        <v>325</v>
      </c>
      <c r="C43" s="18">
        <v>365</v>
      </c>
      <c r="D43" s="18">
        <v>329</v>
      </c>
      <c r="E43" s="18">
        <v>0</v>
      </c>
      <c r="F43" s="15"/>
    </row>
    <row r="44" spans="1:7" ht="17.100000000000001" customHeight="1" x14ac:dyDescent="0.2">
      <c r="A44" s="8" t="s">
        <v>19</v>
      </c>
      <c r="B44" s="18">
        <v>2096</v>
      </c>
      <c r="C44" s="18">
        <v>1984</v>
      </c>
      <c r="D44" s="18">
        <v>1618</v>
      </c>
      <c r="E44" s="18">
        <v>1604</v>
      </c>
      <c r="F44" s="15"/>
    </row>
    <row r="45" spans="1:7" ht="17.100000000000001" customHeight="1" x14ac:dyDescent="0.2">
      <c r="A45" s="8" t="s">
        <v>13</v>
      </c>
      <c r="B45" s="18">
        <v>0</v>
      </c>
      <c r="C45" s="18">
        <v>0</v>
      </c>
      <c r="D45" s="18">
        <v>0</v>
      </c>
      <c r="E45" s="18">
        <v>0</v>
      </c>
      <c r="F45" s="15"/>
    </row>
    <row r="46" spans="1:7" ht="17.100000000000001" customHeight="1" x14ac:dyDescent="0.2">
      <c r="A46" s="56"/>
      <c r="B46" s="57">
        <f>SUM(B43:B45)</f>
        <v>2421</v>
      </c>
      <c r="C46" s="57">
        <f>SUM(C43:C45)</f>
        <v>2349</v>
      </c>
      <c r="D46" s="57">
        <f>SUM(D43:D45)</f>
        <v>1947</v>
      </c>
      <c r="E46" s="57">
        <f>SUM(E43:E45)</f>
        <v>1604</v>
      </c>
      <c r="F46" s="17"/>
      <c r="G46" s="2"/>
    </row>
    <row r="47" spans="1:7" ht="17.100000000000001" customHeight="1" x14ac:dyDescent="0.2">
      <c r="A47" s="8" t="s">
        <v>20</v>
      </c>
      <c r="B47" s="18">
        <v>599</v>
      </c>
      <c r="C47" s="18">
        <v>599</v>
      </c>
      <c r="D47" s="18">
        <v>659</v>
      </c>
      <c r="E47" s="18">
        <v>361</v>
      </c>
      <c r="F47" s="15"/>
    </row>
    <row r="48" spans="1:7" ht="17.100000000000001" customHeight="1" x14ac:dyDescent="0.2">
      <c r="A48" s="8" t="s">
        <v>14</v>
      </c>
      <c r="B48" s="18">
        <v>1195</v>
      </c>
      <c r="C48" s="18">
        <v>1165</v>
      </c>
      <c r="D48" s="18">
        <v>942</v>
      </c>
      <c r="E48" s="18">
        <v>704</v>
      </c>
      <c r="F48" s="15"/>
    </row>
    <row r="49" spans="1:6" ht="17.100000000000001" customHeight="1" x14ac:dyDescent="0.2">
      <c r="A49" s="8" t="s">
        <v>15</v>
      </c>
      <c r="B49" s="18">
        <f>16+2</f>
        <v>18</v>
      </c>
      <c r="C49" s="18">
        <v>11</v>
      </c>
      <c r="D49" s="18">
        <v>12</v>
      </c>
      <c r="E49" s="18">
        <v>13</v>
      </c>
      <c r="F49" s="15"/>
    </row>
    <row r="50" spans="1:6" ht="17.100000000000001" customHeight="1" x14ac:dyDescent="0.2">
      <c r="A50" s="8" t="s">
        <v>16</v>
      </c>
      <c r="B50" s="18">
        <v>609</v>
      </c>
      <c r="C50" s="18">
        <v>574</v>
      </c>
      <c r="D50" s="18">
        <v>333</v>
      </c>
      <c r="E50" s="18">
        <v>526</v>
      </c>
      <c r="F50" s="15"/>
    </row>
    <row r="51" spans="1:6" ht="17.100000000000001" customHeight="1" x14ac:dyDescent="0.2">
      <c r="A51" s="8" t="s">
        <v>17</v>
      </c>
      <c r="B51" s="18">
        <v>0</v>
      </c>
      <c r="C51" s="18">
        <v>0</v>
      </c>
      <c r="D51" s="18">
        <v>0</v>
      </c>
      <c r="E51" s="18">
        <v>0</v>
      </c>
      <c r="F51" s="15"/>
    </row>
    <row r="52" spans="1:6" ht="17.100000000000001" customHeight="1" x14ac:dyDescent="0.2">
      <c r="A52" s="8" t="s">
        <v>18</v>
      </c>
      <c r="B52" s="18">
        <v>0</v>
      </c>
      <c r="C52" s="18">
        <v>0</v>
      </c>
      <c r="D52" s="18">
        <v>1</v>
      </c>
      <c r="E52" s="18">
        <v>0</v>
      </c>
      <c r="F52" s="15"/>
    </row>
    <row r="53" spans="1:6" ht="17.100000000000001" customHeight="1" x14ac:dyDescent="0.2">
      <c r="A53" s="56"/>
      <c r="B53" s="57">
        <f>SUM(B47:B52)</f>
        <v>2421</v>
      </c>
      <c r="C53" s="57">
        <f>SUM(C47:C52)</f>
        <v>2349</v>
      </c>
      <c r="D53" s="57">
        <f>SUM(D47:D52)</f>
        <v>1947</v>
      </c>
      <c r="E53" s="57">
        <f>SUM(E47:E52)</f>
        <v>1604</v>
      </c>
      <c r="F53" s="17"/>
    </row>
    <row r="54" spans="1:6" ht="17.100000000000001" customHeight="1" x14ac:dyDescent="0.2">
      <c r="A54" s="8"/>
      <c r="B54" s="18"/>
      <c r="C54" s="18"/>
      <c r="D54" s="18"/>
      <c r="E54" s="18"/>
      <c r="F54" s="18"/>
    </row>
    <row r="55" spans="1:6" ht="17.100000000000001" customHeight="1" x14ac:dyDescent="0.2">
      <c r="A55" s="58" t="s">
        <v>56</v>
      </c>
      <c r="B55" s="57">
        <f>SUM(B46-B53)</f>
        <v>0</v>
      </c>
      <c r="C55" s="57">
        <f>SUM(C46-C53)</f>
        <v>0</v>
      </c>
      <c r="D55" s="57">
        <f>SUM(D46-D53)</f>
        <v>0</v>
      </c>
      <c r="E55" s="57">
        <f>SUM(E46-E53)</f>
        <v>0</v>
      </c>
      <c r="F55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1">
    <tabColor rgb="FF92D050"/>
  </sheetPr>
  <dimension ref="A2:F59"/>
  <sheetViews>
    <sheetView topLeftCell="A27" workbookViewId="0">
      <selection activeCell="A27" sqref="A27:E59"/>
    </sheetView>
  </sheetViews>
  <sheetFormatPr baseColWidth="10" defaultRowHeight="12.75" x14ac:dyDescent="0.2"/>
  <cols>
    <col min="1" max="1" width="35.85546875" style="1" customWidth="1"/>
    <col min="2" max="16384" width="11.42578125" style="1"/>
  </cols>
  <sheetData>
    <row r="2" spans="1:5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A3" s="14"/>
      <c r="B3" s="2">
        <f>E59</f>
        <v>-372</v>
      </c>
      <c r="C3" s="2">
        <f>D59</f>
        <v>-385</v>
      </c>
      <c r="D3" s="2">
        <f>C59</f>
        <v>-272</v>
      </c>
      <c r="E3" s="2">
        <f>B59</f>
        <v>-272</v>
      </c>
    </row>
    <row r="4" spans="1:5" x14ac:dyDescent="0.2">
      <c r="B4" s="26"/>
      <c r="C4" s="26"/>
      <c r="D4" s="26"/>
    </row>
    <row r="5" spans="1:5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E38/E42</f>
        <v>0.77368421052631575</v>
      </c>
      <c r="C6" s="3">
        <f>D38/D42</f>
        <v>0.21818181818181817</v>
      </c>
      <c r="D6" s="3">
        <f>C38/C42</f>
        <v>7.7720207253886009E-2</v>
      </c>
      <c r="E6" s="3">
        <f>B38/B42</f>
        <v>0</v>
      </c>
    </row>
    <row r="26" spans="1:6" ht="17.100000000000001" customHeight="1" x14ac:dyDescent="0.25">
      <c r="B26" s="4"/>
    </row>
    <row r="27" spans="1:6" ht="17.100000000000001" customHeight="1" x14ac:dyDescent="0.25">
      <c r="A27" s="66"/>
      <c r="B27" s="135">
        <v>2018</v>
      </c>
      <c r="C27" s="135">
        <v>2017</v>
      </c>
      <c r="D27" s="135">
        <v>2016</v>
      </c>
      <c r="E27" s="135">
        <v>2015</v>
      </c>
    </row>
    <row r="28" spans="1:6" ht="17.100000000000001" customHeight="1" x14ac:dyDescent="0.25">
      <c r="A28" s="71" t="s">
        <v>2</v>
      </c>
      <c r="B28" s="33"/>
      <c r="C28" s="33"/>
      <c r="D28" s="33"/>
      <c r="E28" s="33"/>
    </row>
    <row r="29" spans="1:6" ht="17.100000000000001" customHeight="1" x14ac:dyDescent="0.2">
      <c r="A29" s="73" t="s">
        <v>48</v>
      </c>
      <c r="B29" s="33"/>
      <c r="C29" s="33"/>
      <c r="D29" s="33"/>
      <c r="E29" s="33"/>
      <c r="F29" s="11"/>
    </row>
    <row r="30" spans="1:6" ht="17.100000000000001" customHeight="1" x14ac:dyDescent="0.2">
      <c r="A30" s="73"/>
      <c r="B30" s="33"/>
      <c r="C30" s="33"/>
      <c r="D30" s="33"/>
      <c r="E30" s="33"/>
      <c r="F30" s="7"/>
    </row>
    <row r="31" spans="1:6" ht="17.100000000000001" customHeight="1" x14ac:dyDescent="0.25">
      <c r="A31" s="74" t="s">
        <v>4</v>
      </c>
      <c r="B31" s="72">
        <v>52</v>
      </c>
      <c r="C31" s="72">
        <v>69</v>
      </c>
      <c r="D31" s="72">
        <v>47</v>
      </c>
      <c r="E31" s="72">
        <v>63</v>
      </c>
      <c r="F31" s="15"/>
    </row>
    <row r="32" spans="1:6" ht="17.100000000000001" customHeight="1" x14ac:dyDescent="0.25">
      <c r="A32" s="74" t="s">
        <v>5</v>
      </c>
      <c r="B32" s="72">
        <v>86</v>
      </c>
      <c r="C32" s="72">
        <v>124</v>
      </c>
      <c r="D32" s="72">
        <v>62</v>
      </c>
      <c r="E32" s="72">
        <v>127</v>
      </c>
      <c r="F32" s="15"/>
    </row>
    <row r="33" spans="1:6" ht="17.100000000000001" customHeight="1" x14ac:dyDescent="0.25">
      <c r="A33" s="74" t="s">
        <v>6</v>
      </c>
      <c r="B33" s="72">
        <v>0</v>
      </c>
      <c r="C33" s="72">
        <v>0</v>
      </c>
      <c r="D33" s="72">
        <v>1</v>
      </c>
      <c r="E33" s="72">
        <v>0</v>
      </c>
      <c r="F33" s="16"/>
    </row>
    <row r="34" spans="1:6" ht="18.75" customHeight="1" x14ac:dyDescent="0.25">
      <c r="A34" s="29" t="s">
        <v>49</v>
      </c>
      <c r="B34" s="29">
        <v>32</v>
      </c>
      <c r="C34" s="29">
        <v>0</v>
      </c>
      <c r="D34" s="29">
        <v>0</v>
      </c>
      <c r="E34" s="29">
        <v>0</v>
      </c>
    </row>
    <row r="35" spans="1:6" ht="17.100000000000001" customHeight="1" x14ac:dyDescent="0.2">
      <c r="A35" s="68"/>
      <c r="B35" s="69">
        <f>SUM(B31:B34)</f>
        <v>170</v>
      </c>
      <c r="C35" s="69">
        <f>SUM(C31:C34)</f>
        <v>193</v>
      </c>
      <c r="D35" s="69">
        <f>SUM(D31:D34)</f>
        <v>110</v>
      </c>
      <c r="E35" s="69">
        <f>SUM(E31:E34)</f>
        <v>190</v>
      </c>
      <c r="F35" s="17"/>
    </row>
    <row r="36" spans="1:6" ht="17.100000000000001" customHeight="1" x14ac:dyDescent="0.25">
      <c r="A36" s="73" t="s">
        <v>7</v>
      </c>
      <c r="B36" s="72"/>
      <c r="C36" s="72"/>
      <c r="D36" s="72"/>
      <c r="E36" s="72"/>
      <c r="F36" s="18"/>
    </row>
    <row r="37" spans="1:6" ht="17.100000000000001" customHeight="1" x14ac:dyDescent="0.25">
      <c r="A37" s="73"/>
      <c r="B37" s="72"/>
      <c r="C37" s="72"/>
      <c r="D37" s="72"/>
      <c r="E37" s="72"/>
      <c r="F37" s="18"/>
    </row>
    <row r="38" spans="1:6" ht="17.100000000000001" customHeight="1" x14ac:dyDescent="0.25">
      <c r="A38" s="74" t="s">
        <v>8</v>
      </c>
      <c r="B38" s="72">
        <v>0</v>
      </c>
      <c r="C38" s="72">
        <v>15</v>
      </c>
      <c r="D38" s="72">
        <v>24</v>
      </c>
      <c r="E38" s="72">
        <v>147</v>
      </c>
      <c r="F38" s="15"/>
    </row>
    <row r="39" spans="1:6" ht="17.100000000000001" customHeight="1" x14ac:dyDescent="0.25">
      <c r="A39" s="74" t="s">
        <v>9</v>
      </c>
      <c r="B39" s="72">
        <v>37</v>
      </c>
      <c r="C39" s="72">
        <v>41</v>
      </c>
      <c r="D39" s="72">
        <v>51</v>
      </c>
      <c r="E39" s="72">
        <v>27</v>
      </c>
      <c r="F39" s="15"/>
    </row>
    <row r="40" spans="1:6" ht="17.100000000000001" customHeight="1" x14ac:dyDescent="0.25">
      <c r="A40" s="74" t="s">
        <v>10</v>
      </c>
      <c r="B40" s="72">
        <v>110</v>
      </c>
      <c r="C40" s="72">
        <v>92</v>
      </c>
      <c r="D40" s="72">
        <v>35</v>
      </c>
      <c r="E40" s="72">
        <v>16</v>
      </c>
      <c r="F40" s="15"/>
    </row>
    <row r="41" spans="1:6" ht="17.100000000000001" customHeight="1" x14ac:dyDescent="0.25">
      <c r="A41" s="74" t="s">
        <v>6</v>
      </c>
      <c r="B41" s="72">
        <v>23</v>
      </c>
      <c r="C41" s="72">
        <v>45</v>
      </c>
      <c r="D41" s="72">
        <v>0</v>
      </c>
      <c r="E41" s="72">
        <v>0</v>
      </c>
      <c r="F41" s="16"/>
    </row>
    <row r="42" spans="1:6" ht="17.100000000000001" customHeight="1" x14ac:dyDescent="0.2">
      <c r="A42" s="68"/>
      <c r="B42" s="69">
        <f>SUM(B38:B41)</f>
        <v>170</v>
      </c>
      <c r="C42" s="69">
        <f>SUM(C38:C41)</f>
        <v>193</v>
      </c>
      <c r="D42" s="69">
        <f>SUM(D38:D41)</f>
        <v>110</v>
      </c>
      <c r="E42" s="69">
        <f>SUM(E38:E41)</f>
        <v>190</v>
      </c>
      <c r="F42" s="17"/>
    </row>
    <row r="43" spans="1:6" ht="17.100000000000001" customHeight="1" x14ac:dyDescent="0.25">
      <c r="A43" s="74"/>
      <c r="B43" s="72"/>
      <c r="C43" s="72"/>
      <c r="D43" s="72"/>
      <c r="E43" s="72"/>
      <c r="F43" s="18"/>
    </row>
    <row r="44" spans="1:6" ht="17.100000000000001" customHeight="1" x14ac:dyDescent="0.25">
      <c r="A44" s="74"/>
      <c r="B44" s="72"/>
      <c r="C44" s="72"/>
      <c r="D44" s="72"/>
      <c r="E44" s="72"/>
      <c r="F44" s="18"/>
    </row>
    <row r="45" spans="1:6" ht="17.100000000000001" customHeight="1" x14ac:dyDescent="0.25">
      <c r="A45" s="71" t="s">
        <v>66</v>
      </c>
      <c r="B45" s="72"/>
      <c r="C45" s="72"/>
      <c r="D45" s="72"/>
      <c r="E45" s="72"/>
      <c r="F45" s="2"/>
    </row>
    <row r="46" spans="1:6" ht="17.100000000000001" customHeight="1" x14ac:dyDescent="0.25">
      <c r="A46" s="74" t="s">
        <v>12</v>
      </c>
      <c r="B46" s="72">
        <v>543</v>
      </c>
      <c r="C46" s="72">
        <v>451</v>
      </c>
      <c r="D46" s="72">
        <v>190</v>
      </c>
      <c r="E46" s="72">
        <v>4</v>
      </c>
      <c r="F46" s="15"/>
    </row>
    <row r="47" spans="1:6" ht="17.100000000000001" customHeight="1" x14ac:dyDescent="0.25">
      <c r="A47" s="74" t="s">
        <v>19</v>
      </c>
      <c r="B47" s="72">
        <v>2</v>
      </c>
      <c r="C47" s="72">
        <f>30+13</f>
        <v>43</v>
      </c>
      <c r="D47" s="72">
        <v>2</v>
      </c>
      <c r="E47" s="72">
        <v>150</v>
      </c>
      <c r="F47" s="15"/>
    </row>
    <row r="48" spans="1:6" ht="17.100000000000001" customHeight="1" x14ac:dyDescent="0.25">
      <c r="A48" s="74" t="s">
        <v>13</v>
      </c>
      <c r="B48" s="72">
        <v>0</v>
      </c>
      <c r="C48" s="72">
        <v>0</v>
      </c>
      <c r="D48" s="72">
        <v>0</v>
      </c>
      <c r="E48" s="72">
        <v>0</v>
      </c>
      <c r="F48" s="16"/>
    </row>
    <row r="49" spans="1:6" ht="17.100000000000001" customHeight="1" x14ac:dyDescent="0.2">
      <c r="A49" s="68"/>
      <c r="B49" s="69">
        <f>SUM(B46:B48)</f>
        <v>545</v>
      </c>
      <c r="C49" s="69">
        <f>SUM(C46:C48)</f>
        <v>494</v>
      </c>
      <c r="D49" s="69">
        <f>SUM(D46:D48)</f>
        <v>192</v>
      </c>
      <c r="E49" s="69">
        <f>SUM(E46:E48)</f>
        <v>154</v>
      </c>
      <c r="F49" s="17"/>
    </row>
    <row r="50" spans="1:6" ht="17.100000000000001" customHeight="1" x14ac:dyDescent="0.25">
      <c r="A50" s="74"/>
      <c r="B50" s="72"/>
      <c r="C50" s="72"/>
      <c r="D50" s="72"/>
      <c r="E50" s="72"/>
      <c r="F50" s="18"/>
    </row>
    <row r="51" spans="1:6" ht="17.100000000000001" customHeight="1" x14ac:dyDescent="0.25">
      <c r="A51" s="74" t="s">
        <v>20</v>
      </c>
      <c r="B51" s="72">
        <v>0</v>
      </c>
      <c r="C51" s="72">
        <v>0</v>
      </c>
      <c r="D51" s="72">
        <v>0</v>
      </c>
      <c r="E51" s="72">
        <v>0</v>
      </c>
      <c r="F51" s="15"/>
    </row>
    <row r="52" spans="1:6" ht="17.100000000000001" customHeight="1" x14ac:dyDescent="0.25">
      <c r="A52" s="74" t="s">
        <v>14</v>
      </c>
      <c r="B52" s="72">
        <v>640</v>
      </c>
      <c r="C52" s="72">
        <v>585</v>
      </c>
      <c r="D52" s="72">
        <v>410</v>
      </c>
      <c r="E52" s="72">
        <v>329</v>
      </c>
      <c r="F52" s="15"/>
    </row>
    <row r="53" spans="1:6" ht="17.100000000000001" customHeight="1" x14ac:dyDescent="0.25">
      <c r="A53" s="74" t="s">
        <v>15</v>
      </c>
      <c r="B53" s="72">
        <v>20</v>
      </c>
      <c r="C53" s="72">
        <v>28</v>
      </c>
      <c r="D53" s="72">
        <v>27</v>
      </c>
      <c r="E53" s="72">
        <v>28</v>
      </c>
      <c r="F53" s="15"/>
    </row>
    <row r="54" spans="1:6" ht="17.100000000000001" customHeight="1" x14ac:dyDescent="0.25">
      <c r="A54" s="74" t="s">
        <v>16</v>
      </c>
      <c r="B54" s="72">
        <v>144</v>
      </c>
      <c r="C54" s="72">
        <v>145</v>
      </c>
      <c r="D54" s="72">
        <v>136</v>
      </c>
      <c r="E54" s="72">
        <v>165</v>
      </c>
      <c r="F54" s="15"/>
    </row>
    <row r="55" spans="1:6" ht="17.100000000000001" customHeight="1" x14ac:dyDescent="0.25">
      <c r="A55" s="74" t="s">
        <v>17</v>
      </c>
      <c r="B55" s="72">
        <v>9</v>
      </c>
      <c r="C55" s="72">
        <v>8</v>
      </c>
      <c r="D55" s="72">
        <v>4</v>
      </c>
      <c r="E55" s="72">
        <v>4</v>
      </c>
      <c r="F55" s="15"/>
    </row>
    <row r="56" spans="1:6" ht="17.100000000000001" customHeight="1" x14ac:dyDescent="0.25">
      <c r="A56" s="74" t="s">
        <v>18</v>
      </c>
      <c r="B56" s="72">
        <v>4</v>
      </c>
      <c r="C56" s="72">
        <v>0</v>
      </c>
      <c r="D56" s="72">
        <v>0</v>
      </c>
      <c r="E56" s="72">
        <v>0</v>
      </c>
      <c r="F56" s="16"/>
    </row>
    <row r="57" spans="1:6" ht="17.100000000000001" customHeight="1" x14ac:dyDescent="0.2">
      <c r="A57" s="68"/>
      <c r="B57" s="69">
        <f>SUM(B51:B56)</f>
        <v>817</v>
      </c>
      <c r="C57" s="69">
        <f>SUM(C51:C56)</f>
        <v>766</v>
      </c>
      <c r="D57" s="69">
        <f>SUM(D51:D56)</f>
        <v>577</v>
      </c>
      <c r="E57" s="69">
        <f>SUM(E51:E56)</f>
        <v>526</v>
      </c>
      <c r="F57" s="17"/>
    </row>
    <row r="58" spans="1:6" ht="17.100000000000001" customHeight="1" x14ac:dyDescent="0.25">
      <c r="A58" s="74"/>
      <c r="B58" s="72"/>
      <c r="C58" s="72"/>
      <c r="D58" s="72"/>
      <c r="E58" s="72"/>
      <c r="F58" s="18"/>
    </row>
    <row r="59" spans="1:6" ht="17.100000000000001" customHeight="1" x14ac:dyDescent="0.2">
      <c r="A59" s="70" t="s">
        <v>56</v>
      </c>
      <c r="B59" s="69">
        <f>SUM(B49-B57)</f>
        <v>-272</v>
      </c>
      <c r="C59" s="69">
        <f>SUM(C49-C57)</f>
        <v>-272</v>
      </c>
      <c r="D59" s="69">
        <f>SUM(D49-D57)</f>
        <v>-385</v>
      </c>
      <c r="E59" s="69">
        <f>SUM(E49-E57)</f>
        <v>-372</v>
      </c>
      <c r="F59" s="21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>
    <tabColor rgb="FF00B050"/>
  </sheetPr>
  <dimension ref="A2:F56"/>
  <sheetViews>
    <sheetView topLeftCell="A23" workbookViewId="0">
      <selection activeCell="A28" sqref="A28:E56"/>
    </sheetView>
  </sheetViews>
  <sheetFormatPr baseColWidth="10" defaultRowHeight="12.75" x14ac:dyDescent="0.2"/>
  <cols>
    <col min="1" max="1" width="36.7109375" style="1" customWidth="1"/>
    <col min="2" max="16384" width="11.42578125" style="1"/>
  </cols>
  <sheetData>
    <row r="2" spans="1:5" x14ac:dyDescent="0.2">
      <c r="A2" s="1" t="s">
        <v>1</v>
      </c>
      <c r="B2" s="1">
        <f>$E$28</f>
        <v>2015</v>
      </c>
      <c r="C2" s="1">
        <f>$D$28</f>
        <v>2016</v>
      </c>
      <c r="D2" s="1">
        <f>$C$28</f>
        <v>2017</v>
      </c>
      <c r="E2" s="1">
        <f>$B$28</f>
        <v>2018</v>
      </c>
    </row>
    <row r="3" spans="1:5" x14ac:dyDescent="0.2">
      <c r="A3" s="14"/>
      <c r="B3" s="2">
        <f>E56</f>
        <v>308</v>
      </c>
      <c r="C3" s="2">
        <f>D56</f>
        <v>449</v>
      </c>
      <c r="D3" s="2">
        <f>C56</f>
        <v>5467</v>
      </c>
      <c r="E3" s="2"/>
    </row>
    <row r="5" spans="1:5" x14ac:dyDescent="0.2">
      <c r="A5" s="1" t="s">
        <v>0</v>
      </c>
      <c r="B5" s="1">
        <f>$E$28</f>
        <v>2015</v>
      </c>
      <c r="C5" s="1">
        <f>$D$28</f>
        <v>2016</v>
      </c>
      <c r="D5" s="1">
        <f>$C$28</f>
        <v>2017</v>
      </c>
      <c r="E5" s="1">
        <f>$B$28</f>
        <v>2018</v>
      </c>
    </row>
    <row r="6" spans="1:5" x14ac:dyDescent="0.2">
      <c r="B6" s="3">
        <f>E38/E42</f>
        <v>0.22918478260869565</v>
      </c>
      <c r="C6" s="3">
        <f>D38/D42</f>
        <v>0.24738934534852902</v>
      </c>
      <c r="D6" s="3">
        <f>C38/C42</f>
        <v>0.61285835248578691</v>
      </c>
      <c r="E6" s="3"/>
    </row>
    <row r="26" spans="1:6" ht="15.75" x14ac:dyDescent="0.25">
      <c r="A26" s="29"/>
      <c r="B26" s="29"/>
      <c r="C26" s="29"/>
      <c r="D26" s="29"/>
      <c r="E26" s="29"/>
    </row>
    <row r="27" spans="1:6" ht="15.75" x14ac:dyDescent="0.25">
      <c r="A27" s="29"/>
      <c r="B27" s="35"/>
      <c r="C27" s="35"/>
      <c r="D27" s="29"/>
      <c r="E27" s="35"/>
    </row>
    <row r="28" spans="1:6" ht="15.75" x14ac:dyDescent="0.25">
      <c r="A28" s="54"/>
      <c r="B28" s="55">
        <v>2018</v>
      </c>
      <c r="C28" s="55">
        <v>2017</v>
      </c>
      <c r="D28" s="55">
        <v>2016</v>
      </c>
      <c r="E28" s="55">
        <v>2015</v>
      </c>
    </row>
    <row r="29" spans="1:6" ht="15.75" x14ac:dyDescent="0.25">
      <c r="A29" s="35" t="s">
        <v>2</v>
      </c>
    </row>
    <row r="30" spans="1:6" ht="15.75" x14ac:dyDescent="0.2">
      <c r="A30" s="36" t="s">
        <v>3</v>
      </c>
      <c r="F30" s="11"/>
    </row>
    <row r="31" spans="1:6" ht="15.75" x14ac:dyDescent="0.2">
      <c r="A31" s="36"/>
      <c r="F31" s="7"/>
    </row>
    <row r="32" spans="1:6" ht="17.100000000000001" customHeight="1" x14ac:dyDescent="0.2">
      <c r="A32" s="8" t="s">
        <v>4</v>
      </c>
      <c r="B32" s="51"/>
      <c r="C32" s="51">
        <v>13263</v>
      </c>
      <c r="D32" s="51">
        <v>15653</v>
      </c>
      <c r="E32" s="51">
        <v>16037</v>
      </c>
      <c r="F32" s="15"/>
    </row>
    <row r="33" spans="1:6" ht="17.100000000000001" customHeight="1" x14ac:dyDescent="0.2">
      <c r="A33" s="8" t="s">
        <v>5</v>
      </c>
      <c r="B33" s="51"/>
      <c r="C33" s="51">
        <v>3270</v>
      </c>
      <c r="D33" s="51">
        <f>1655+1554</f>
        <v>3209</v>
      </c>
      <c r="E33" s="51">
        <f>1521+840</f>
        <v>2361</v>
      </c>
      <c r="F33" s="15"/>
    </row>
    <row r="34" spans="1:6" ht="17.100000000000001" customHeight="1" x14ac:dyDescent="0.2">
      <c r="A34" s="8" t="s">
        <v>6</v>
      </c>
      <c r="B34" s="51"/>
      <c r="C34" s="51">
        <v>1</v>
      </c>
      <c r="D34" s="51">
        <v>3</v>
      </c>
      <c r="E34" s="51">
        <v>2</v>
      </c>
      <c r="F34" s="20"/>
    </row>
    <row r="35" spans="1:6" ht="17.100000000000001" customHeight="1" x14ac:dyDescent="0.2">
      <c r="A35" s="56"/>
      <c r="B35" s="57"/>
      <c r="C35" s="57">
        <f>SUM(C32:C34)</f>
        <v>16534</v>
      </c>
      <c r="D35" s="57">
        <f>SUM(D32:D34)</f>
        <v>18865</v>
      </c>
      <c r="E35" s="57">
        <f>SUM(E32:E34)</f>
        <v>18400</v>
      </c>
      <c r="F35" s="17"/>
    </row>
    <row r="36" spans="1:6" ht="17.100000000000001" customHeight="1" x14ac:dyDescent="0.2">
      <c r="A36" s="36" t="s">
        <v>7</v>
      </c>
      <c r="B36" s="51"/>
      <c r="C36" s="51"/>
      <c r="D36" s="51"/>
      <c r="E36" s="51"/>
      <c r="F36" s="17"/>
    </row>
    <row r="37" spans="1:6" ht="17.100000000000001" customHeight="1" x14ac:dyDescent="0.2">
      <c r="A37" s="36"/>
      <c r="B37" s="51"/>
      <c r="C37" s="51"/>
      <c r="D37" s="51"/>
      <c r="E37" s="51"/>
      <c r="F37" s="17"/>
    </row>
    <row r="38" spans="1:6" ht="17.100000000000001" customHeight="1" x14ac:dyDescent="0.2">
      <c r="A38" s="8" t="s">
        <v>8</v>
      </c>
      <c r="B38" s="51"/>
      <c r="C38" s="51">
        <v>10133</v>
      </c>
      <c r="D38" s="51">
        <v>4667</v>
      </c>
      <c r="E38" s="51">
        <v>4217</v>
      </c>
      <c r="F38" s="17"/>
    </row>
    <row r="39" spans="1:6" ht="17.100000000000001" customHeight="1" x14ac:dyDescent="0.2">
      <c r="A39" s="8" t="s">
        <v>9</v>
      </c>
      <c r="B39" s="51"/>
      <c r="C39" s="51">
        <v>398</v>
      </c>
      <c r="D39" s="51">
        <v>223</v>
      </c>
      <c r="E39" s="51">
        <v>189</v>
      </c>
      <c r="F39" s="17"/>
    </row>
    <row r="40" spans="1:6" ht="17.100000000000001" customHeight="1" x14ac:dyDescent="0.2">
      <c r="A40" s="8" t="s">
        <v>10</v>
      </c>
      <c r="B40" s="51"/>
      <c r="C40" s="51">
        <v>5997</v>
      </c>
      <c r="D40" s="51">
        <v>13760</v>
      </c>
      <c r="E40" s="51">
        <v>13905</v>
      </c>
      <c r="F40" s="17"/>
    </row>
    <row r="41" spans="1:6" ht="17.100000000000001" customHeight="1" x14ac:dyDescent="0.2">
      <c r="A41" s="8" t="s">
        <v>6</v>
      </c>
      <c r="B41" s="51"/>
      <c r="C41" s="51">
        <v>6</v>
      </c>
      <c r="D41" s="51">
        <v>215</v>
      </c>
      <c r="E41" s="51">
        <v>89</v>
      </c>
      <c r="F41" s="17"/>
    </row>
    <row r="42" spans="1:6" ht="17.100000000000001" customHeight="1" x14ac:dyDescent="0.2">
      <c r="A42" s="56"/>
      <c r="B42" s="57"/>
      <c r="C42" s="57">
        <f>SUM(C38:C41)</f>
        <v>16534</v>
      </c>
      <c r="D42" s="57">
        <f>SUM(D38:D41)</f>
        <v>18865</v>
      </c>
      <c r="E42" s="57">
        <f>SUM(E38:E41)</f>
        <v>18400</v>
      </c>
      <c r="F42" s="17"/>
    </row>
    <row r="43" spans="1:6" ht="17.100000000000001" customHeight="1" x14ac:dyDescent="0.25">
      <c r="A43" s="35" t="s">
        <v>66</v>
      </c>
      <c r="B43" s="51"/>
      <c r="C43" s="51"/>
      <c r="D43" s="51"/>
      <c r="E43" s="51"/>
      <c r="F43" s="2"/>
    </row>
    <row r="44" spans="1:6" ht="17.100000000000001" customHeight="1" x14ac:dyDescent="0.2">
      <c r="A44" s="8" t="s">
        <v>12</v>
      </c>
      <c r="B44" s="51"/>
      <c r="C44" s="51">
        <v>3957</v>
      </c>
      <c r="D44" s="51">
        <v>3121</v>
      </c>
      <c r="E44" s="51">
        <v>4175</v>
      </c>
      <c r="F44" s="15"/>
    </row>
    <row r="45" spans="1:6" ht="17.100000000000001" customHeight="1" x14ac:dyDescent="0.2">
      <c r="A45" s="8" t="s">
        <v>19</v>
      </c>
      <c r="B45" s="51"/>
      <c r="C45" s="51">
        <f>172+4944</f>
        <v>5116</v>
      </c>
      <c r="D45" s="51">
        <f>815+117</f>
        <v>932</v>
      </c>
      <c r="E45" s="51">
        <f>65+43</f>
        <v>108</v>
      </c>
      <c r="F45" s="20"/>
    </row>
    <row r="46" spans="1:6" ht="17.100000000000001" customHeight="1" x14ac:dyDescent="0.2">
      <c r="A46" s="8" t="s">
        <v>13</v>
      </c>
      <c r="B46" s="51"/>
      <c r="C46" s="51">
        <v>5</v>
      </c>
      <c r="D46" s="51">
        <v>3</v>
      </c>
      <c r="E46" s="51">
        <v>3</v>
      </c>
      <c r="F46" s="20"/>
    </row>
    <row r="47" spans="1:6" ht="17.100000000000001" customHeight="1" x14ac:dyDescent="0.2">
      <c r="A47" s="56"/>
      <c r="B47" s="57"/>
      <c r="C47" s="57">
        <f>SUM(C44:C46)</f>
        <v>9078</v>
      </c>
      <c r="D47" s="57">
        <f>SUM(D44:D46)</f>
        <v>4056</v>
      </c>
      <c r="E47" s="57">
        <f>SUM(E44:E46)</f>
        <v>4286</v>
      </c>
      <c r="F47" s="17"/>
    </row>
    <row r="48" spans="1:6" ht="17.100000000000001" customHeight="1" x14ac:dyDescent="0.2">
      <c r="A48" s="8" t="s">
        <v>20</v>
      </c>
      <c r="B48" s="51"/>
      <c r="C48" s="51">
        <v>2414</v>
      </c>
      <c r="D48" s="51">
        <v>2718</v>
      </c>
      <c r="E48" s="51">
        <v>2977</v>
      </c>
      <c r="F48" s="20"/>
    </row>
    <row r="49" spans="1:6" ht="17.100000000000001" customHeight="1" x14ac:dyDescent="0.2">
      <c r="A49" s="8" t="s">
        <v>14</v>
      </c>
      <c r="B49" s="51"/>
      <c r="C49" s="51">
        <v>11</v>
      </c>
      <c r="D49" s="51">
        <v>11</v>
      </c>
      <c r="E49" s="51">
        <v>11</v>
      </c>
      <c r="F49" s="15"/>
    </row>
    <row r="50" spans="1:6" ht="17.100000000000001" customHeight="1" x14ac:dyDescent="0.2">
      <c r="A50" s="8" t="s">
        <v>15</v>
      </c>
      <c r="B50" s="51"/>
      <c r="C50" s="51">
        <v>563</v>
      </c>
      <c r="D50" s="51">
        <v>560</v>
      </c>
      <c r="E50" s="51">
        <v>549</v>
      </c>
      <c r="F50" s="15"/>
    </row>
    <row r="51" spans="1:6" ht="17.100000000000001" customHeight="1" x14ac:dyDescent="0.2">
      <c r="A51" s="8" t="s">
        <v>16</v>
      </c>
      <c r="B51" s="51"/>
      <c r="C51" s="51">
        <v>51</v>
      </c>
      <c r="D51" s="51">
        <v>43</v>
      </c>
      <c r="E51" s="51">
        <v>101</v>
      </c>
      <c r="F51" s="20"/>
    </row>
    <row r="52" spans="1:6" ht="17.100000000000001" customHeight="1" x14ac:dyDescent="0.2">
      <c r="A52" s="8" t="s">
        <v>17</v>
      </c>
      <c r="B52" s="51"/>
      <c r="C52" s="51">
        <v>116</v>
      </c>
      <c r="D52" s="51">
        <v>120</v>
      </c>
      <c r="E52" s="51">
        <v>133</v>
      </c>
      <c r="F52" s="20"/>
    </row>
    <row r="53" spans="1:6" ht="17.100000000000001" customHeight="1" x14ac:dyDescent="0.2">
      <c r="A53" s="8" t="s">
        <v>18</v>
      </c>
      <c r="B53" s="51"/>
      <c r="C53" s="51">
        <f>300+156</f>
        <v>456</v>
      </c>
      <c r="D53" s="51">
        <v>155</v>
      </c>
      <c r="E53" s="51">
        <v>207</v>
      </c>
      <c r="F53" s="20"/>
    </row>
    <row r="54" spans="1:6" ht="17.100000000000001" customHeight="1" x14ac:dyDescent="0.2">
      <c r="A54" s="56"/>
      <c r="B54" s="57"/>
      <c r="C54" s="57">
        <f>SUM(C48:C53)</f>
        <v>3611</v>
      </c>
      <c r="D54" s="57">
        <f>SUM(D48:D53)</f>
        <v>3607</v>
      </c>
      <c r="E54" s="57">
        <f>SUM(E48:E53)</f>
        <v>3978</v>
      </c>
      <c r="F54" s="17"/>
    </row>
    <row r="55" spans="1:6" ht="17.100000000000001" customHeight="1" x14ac:dyDescent="0.2">
      <c r="A55" s="8"/>
      <c r="B55" s="51"/>
      <c r="C55" s="51"/>
      <c r="D55" s="51"/>
      <c r="E55" s="51"/>
      <c r="F55" s="18"/>
    </row>
    <row r="56" spans="1:6" ht="17.100000000000001" customHeight="1" x14ac:dyDescent="0.2">
      <c r="A56" s="58" t="s">
        <v>56</v>
      </c>
      <c r="B56" s="57">
        <f>SUM(B47-B54)</f>
        <v>0</v>
      </c>
      <c r="C56" s="57">
        <f>SUM(C47-C54)</f>
        <v>5467</v>
      </c>
      <c r="D56" s="57">
        <f>SUM(D47-D54)</f>
        <v>449</v>
      </c>
      <c r="E56" s="57">
        <f>SUM(E47-E54)</f>
        <v>308</v>
      </c>
      <c r="F56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3"/>
  <sheetViews>
    <sheetView topLeftCell="A18" workbookViewId="0">
      <selection activeCell="A28" sqref="A28:E53"/>
    </sheetView>
  </sheetViews>
  <sheetFormatPr baseColWidth="10" defaultRowHeight="12.75" x14ac:dyDescent="0.2"/>
  <cols>
    <col min="1" max="1" width="39" customWidth="1"/>
  </cols>
  <sheetData>
    <row r="1" spans="1:6" x14ac:dyDescent="0.2">
      <c r="A1" s="1" t="s">
        <v>1</v>
      </c>
      <c r="B1" s="1">
        <f>$E$28</f>
        <v>2015</v>
      </c>
      <c r="C1" s="1">
        <f>$D$28</f>
        <v>2016</v>
      </c>
      <c r="D1" s="1">
        <f>$C$28</f>
        <v>2017</v>
      </c>
      <c r="E1" s="1">
        <f>$B$28</f>
        <v>2018</v>
      </c>
      <c r="F1" s="1"/>
    </row>
    <row r="2" spans="1:6" x14ac:dyDescent="0.2">
      <c r="A2" s="14"/>
      <c r="B2" s="2">
        <f>E53</f>
        <v>3</v>
      </c>
      <c r="C2" s="2">
        <f>D53</f>
        <v>2</v>
      </c>
      <c r="D2" s="2">
        <f>C53</f>
        <v>2</v>
      </c>
      <c r="E2" s="1"/>
      <c r="F2" s="1"/>
    </row>
    <row r="3" spans="1:6" x14ac:dyDescent="0.2">
      <c r="A3" s="1"/>
      <c r="B3" s="1"/>
      <c r="C3" s="1"/>
      <c r="D3" s="1"/>
      <c r="F3" s="1"/>
    </row>
    <row r="4" spans="1:6" x14ac:dyDescent="0.2">
      <c r="A4" s="1" t="s">
        <v>0</v>
      </c>
      <c r="B4" s="1">
        <f>$E$28</f>
        <v>2015</v>
      </c>
      <c r="C4" s="1">
        <f>$D$28</f>
        <v>2016</v>
      </c>
      <c r="D4" s="1">
        <f>$C$28</f>
        <v>2017</v>
      </c>
      <c r="E4" s="1">
        <f>$B$28</f>
        <v>2018</v>
      </c>
      <c r="F4" s="1"/>
    </row>
    <row r="5" spans="1:6" x14ac:dyDescent="0.2">
      <c r="A5" s="1"/>
      <c r="B5" s="3">
        <f>E38/E42</f>
        <v>0.98</v>
      </c>
      <c r="C5" s="3">
        <f>D38/D42</f>
        <v>0.98076923076923073</v>
      </c>
      <c r="D5" s="3">
        <f>C38/C42</f>
        <v>0.98148148148148151</v>
      </c>
      <c r="E5" s="3"/>
      <c r="F5" s="1"/>
    </row>
    <row r="6" spans="1:6" x14ac:dyDescent="0.2">
      <c r="A6" s="1"/>
      <c r="B6" s="3"/>
      <c r="C6" s="3"/>
      <c r="D6" s="3"/>
      <c r="E6" s="3"/>
      <c r="F6" s="1"/>
    </row>
    <row r="7" spans="1:6" x14ac:dyDescent="0.2">
      <c r="A7" s="1"/>
      <c r="B7" s="3"/>
      <c r="C7" s="3"/>
      <c r="D7" s="3"/>
      <c r="E7" s="3"/>
      <c r="F7" s="1"/>
    </row>
    <row r="8" spans="1:6" x14ac:dyDescent="0.2">
      <c r="A8" s="1"/>
      <c r="B8" s="3"/>
      <c r="C8" s="3"/>
      <c r="D8" s="3"/>
      <c r="E8" s="3"/>
      <c r="F8" s="1"/>
    </row>
    <row r="9" spans="1:6" x14ac:dyDescent="0.2">
      <c r="A9" s="1"/>
      <c r="B9" s="3"/>
      <c r="C9" s="3"/>
      <c r="D9" s="3"/>
      <c r="E9" s="3"/>
      <c r="F9" s="1"/>
    </row>
    <row r="10" spans="1:6" x14ac:dyDescent="0.2">
      <c r="A10" s="1"/>
      <c r="B10" s="3"/>
      <c r="C10" s="3"/>
      <c r="D10" s="3"/>
      <c r="E10" s="3"/>
      <c r="F10" s="1"/>
    </row>
    <row r="11" spans="1:6" x14ac:dyDescent="0.2">
      <c r="A11" s="1"/>
      <c r="B11" s="3"/>
      <c r="C11" s="3"/>
      <c r="D11" s="3"/>
      <c r="E11" s="3"/>
      <c r="F11" s="1"/>
    </row>
    <row r="12" spans="1:6" x14ac:dyDescent="0.2">
      <c r="A12" s="1"/>
      <c r="B12" s="3"/>
      <c r="C12" s="3"/>
      <c r="D12" s="3"/>
      <c r="E12" s="3"/>
      <c r="F12" s="1"/>
    </row>
    <row r="13" spans="1:6" x14ac:dyDescent="0.2">
      <c r="A13" s="1"/>
      <c r="B13" s="3"/>
      <c r="C13" s="3"/>
      <c r="D13" s="3"/>
      <c r="E13" s="3"/>
      <c r="F13" s="1"/>
    </row>
    <row r="14" spans="1:6" x14ac:dyDescent="0.2">
      <c r="A14" s="1"/>
      <c r="B14" s="3"/>
      <c r="C14" s="3"/>
      <c r="D14" s="3"/>
      <c r="E14" s="3"/>
      <c r="F14" s="1"/>
    </row>
    <row r="15" spans="1:6" x14ac:dyDescent="0.2">
      <c r="A15" s="1"/>
      <c r="B15" s="3"/>
      <c r="C15" s="3"/>
      <c r="D15" s="3"/>
      <c r="E15" s="3"/>
      <c r="F15" s="1"/>
    </row>
    <row r="16" spans="1:6" x14ac:dyDescent="0.2">
      <c r="A16" s="1"/>
      <c r="B16" s="3"/>
      <c r="C16" s="3"/>
      <c r="D16" s="3"/>
      <c r="E16" s="3"/>
      <c r="F16" s="1"/>
    </row>
    <row r="17" spans="1:6" x14ac:dyDescent="0.2">
      <c r="A17" s="1"/>
      <c r="B17" s="3"/>
      <c r="C17" s="3"/>
      <c r="D17" s="3"/>
      <c r="E17" s="3"/>
      <c r="F17" s="1"/>
    </row>
    <row r="18" spans="1:6" x14ac:dyDescent="0.2">
      <c r="A18" s="1"/>
      <c r="B18" s="3"/>
      <c r="C18" s="3"/>
      <c r="D18" s="3"/>
      <c r="E18" s="3"/>
      <c r="F18" s="1"/>
    </row>
    <row r="19" spans="1:6" x14ac:dyDescent="0.2">
      <c r="A19" s="1"/>
      <c r="B19" s="3"/>
      <c r="C19" s="3"/>
      <c r="D19" s="3"/>
      <c r="E19" s="3"/>
      <c r="F19" s="1"/>
    </row>
    <row r="20" spans="1:6" x14ac:dyDescent="0.2">
      <c r="A20" s="1"/>
      <c r="B20" s="1"/>
      <c r="C20" s="1"/>
      <c r="D20" s="1"/>
      <c r="E20" s="1"/>
      <c r="F20" s="1"/>
    </row>
    <row r="25" spans="1:6" x14ac:dyDescent="0.2">
      <c r="A25" s="1" t="s">
        <v>25</v>
      </c>
      <c r="B25" s="1"/>
      <c r="C25" s="1"/>
      <c r="D25" s="1"/>
      <c r="E25" s="1"/>
    </row>
    <row r="26" spans="1:6" x14ac:dyDescent="0.2">
      <c r="A26" s="1"/>
      <c r="B26" s="1"/>
      <c r="C26" s="1"/>
      <c r="D26" s="1"/>
      <c r="E26" s="1"/>
    </row>
    <row r="27" spans="1:6" ht="15.75" x14ac:dyDescent="0.25">
      <c r="A27" s="1"/>
      <c r="B27" s="35"/>
      <c r="C27" s="1"/>
      <c r="D27" s="1"/>
      <c r="E27" s="1"/>
    </row>
    <row r="28" spans="1:6" ht="15.75" x14ac:dyDescent="0.25">
      <c r="A28" s="54"/>
      <c r="B28" s="55">
        <v>2018</v>
      </c>
      <c r="C28" s="55">
        <v>2017</v>
      </c>
      <c r="D28" s="55">
        <v>2016</v>
      </c>
      <c r="E28" s="55">
        <v>2015</v>
      </c>
    </row>
    <row r="29" spans="1:6" ht="15.75" x14ac:dyDescent="0.25">
      <c r="A29" s="35" t="s">
        <v>2</v>
      </c>
      <c r="B29" s="136"/>
      <c r="C29" s="136"/>
      <c r="D29" s="136"/>
      <c r="E29" s="136"/>
    </row>
    <row r="30" spans="1:6" ht="15.75" x14ac:dyDescent="0.2">
      <c r="A30" s="36" t="s">
        <v>48</v>
      </c>
      <c r="B30" s="136"/>
      <c r="C30" s="136"/>
      <c r="D30" s="136"/>
      <c r="E30" s="136"/>
    </row>
    <row r="31" spans="1:6" ht="15.75" x14ac:dyDescent="0.2">
      <c r="A31" s="36"/>
      <c r="B31" s="136"/>
      <c r="C31" s="136"/>
      <c r="D31" s="136"/>
      <c r="E31" s="136"/>
    </row>
    <row r="32" spans="1:6" ht="15.75" x14ac:dyDescent="0.25">
      <c r="A32" s="8" t="s">
        <v>4</v>
      </c>
      <c r="B32" s="137"/>
      <c r="C32" s="137">
        <v>0</v>
      </c>
      <c r="D32" s="137">
        <v>0</v>
      </c>
      <c r="E32" s="137">
        <v>0</v>
      </c>
    </row>
    <row r="33" spans="1:5" ht="15.75" x14ac:dyDescent="0.25">
      <c r="A33" s="8" t="s">
        <v>5</v>
      </c>
      <c r="B33" s="137"/>
      <c r="C33" s="137">
        <v>54</v>
      </c>
      <c r="D33" s="137">
        <v>52</v>
      </c>
      <c r="E33" s="137">
        <v>50</v>
      </c>
    </row>
    <row r="34" spans="1:5" ht="15.75" x14ac:dyDescent="0.25">
      <c r="A34" s="8" t="s">
        <v>6</v>
      </c>
      <c r="B34" s="137"/>
      <c r="C34" s="137">
        <v>0</v>
      </c>
      <c r="D34" s="137">
        <v>0</v>
      </c>
      <c r="E34" s="137">
        <v>0</v>
      </c>
    </row>
    <row r="35" spans="1:5" ht="15.75" x14ac:dyDescent="0.2">
      <c r="A35" s="56"/>
      <c r="B35" s="57"/>
      <c r="C35" s="57">
        <f>SUM(C32:C34)</f>
        <v>54</v>
      </c>
      <c r="D35" s="57">
        <f>SUM(D32:D34)</f>
        <v>52</v>
      </c>
      <c r="E35" s="57">
        <f>SUM(E32:E34)</f>
        <v>50</v>
      </c>
    </row>
    <row r="36" spans="1:5" ht="15.75" x14ac:dyDescent="0.25">
      <c r="A36" s="36" t="s">
        <v>7</v>
      </c>
      <c r="B36" s="137"/>
      <c r="C36" s="137"/>
      <c r="D36" s="137"/>
      <c r="E36" s="137"/>
    </row>
    <row r="37" spans="1:5" ht="15.75" x14ac:dyDescent="0.25">
      <c r="A37" s="36"/>
      <c r="B37" s="137"/>
      <c r="C37" s="137"/>
      <c r="D37" s="137"/>
      <c r="E37" s="137"/>
    </row>
    <row r="38" spans="1:5" ht="15.75" x14ac:dyDescent="0.25">
      <c r="A38" s="8" t="s">
        <v>8</v>
      </c>
      <c r="B38" s="137"/>
      <c r="C38" s="137">
        <v>53</v>
      </c>
      <c r="D38" s="137">
        <v>51</v>
      </c>
      <c r="E38" s="137">
        <v>49</v>
      </c>
    </row>
    <row r="39" spans="1:5" ht="15.75" x14ac:dyDescent="0.25">
      <c r="A39" s="8" t="s">
        <v>9</v>
      </c>
      <c r="B39" s="137"/>
      <c r="C39" s="137">
        <v>1</v>
      </c>
      <c r="D39" s="137">
        <v>1</v>
      </c>
      <c r="E39" s="137">
        <v>1</v>
      </c>
    </row>
    <row r="40" spans="1:5" ht="15.75" x14ac:dyDescent="0.25">
      <c r="A40" s="8" t="s">
        <v>10</v>
      </c>
      <c r="B40" s="137"/>
      <c r="C40" s="137">
        <v>0</v>
      </c>
      <c r="D40" s="137">
        <v>0</v>
      </c>
      <c r="E40" s="137">
        <v>0</v>
      </c>
    </row>
    <row r="41" spans="1:5" ht="15.75" x14ac:dyDescent="0.25">
      <c r="A41" s="8" t="s">
        <v>6</v>
      </c>
      <c r="B41" s="137"/>
      <c r="C41" s="137">
        <v>0</v>
      </c>
      <c r="D41" s="137">
        <v>0</v>
      </c>
      <c r="E41" s="137">
        <v>0</v>
      </c>
    </row>
    <row r="42" spans="1:5" ht="15.75" x14ac:dyDescent="0.2">
      <c r="A42" s="57"/>
      <c r="B42" s="57"/>
      <c r="C42" s="57">
        <f>SUM(C38:C41)</f>
        <v>54</v>
      </c>
      <c r="D42" s="57">
        <f>SUM(D38:D41)</f>
        <v>52</v>
      </c>
      <c r="E42" s="57">
        <f>SUM(E38:E41)</f>
        <v>50</v>
      </c>
    </row>
    <row r="43" spans="1:5" ht="15.75" x14ac:dyDescent="0.25">
      <c r="A43" s="35" t="s">
        <v>11</v>
      </c>
      <c r="B43" s="137"/>
      <c r="C43" s="137"/>
      <c r="D43" s="137"/>
      <c r="E43" s="137"/>
    </row>
    <row r="44" spans="1:5" ht="15.75" x14ac:dyDescent="0.25">
      <c r="A44" s="47"/>
      <c r="B44" s="137"/>
      <c r="C44" s="137"/>
      <c r="D44" s="137"/>
      <c r="E44" s="137"/>
    </row>
    <row r="45" spans="1:5" ht="15.75" x14ac:dyDescent="0.25">
      <c r="A45" s="8" t="s">
        <v>12</v>
      </c>
      <c r="B45" s="137"/>
      <c r="C45" s="137">
        <v>0</v>
      </c>
      <c r="D45" s="137">
        <v>0</v>
      </c>
      <c r="E45" s="137">
        <v>0</v>
      </c>
    </row>
    <row r="46" spans="1:5" ht="15.75" x14ac:dyDescent="0.25">
      <c r="A46" s="8" t="s">
        <v>19</v>
      </c>
      <c r="B46" s="137"/>
      <c r="C46" s="137">
        <v>3</v>
      </c>
      <c r="D46" s="137">
        <v>3</v>
      </c>
      <c r="E46" s="137">
        <v>3</v>
      </c>
    </row>
    <row r="47" spans="1:5" ht="15.75" x14ac:dyDescent="0.25">
      <c r="A47" s="8" t="s">
        <v>13</v>
      </c>
      <c r="B47" s="137"/>
      <c r="C47" s="137">
        <v>0</v>
      </c>
      <c r="D47" s="137">
        <v>0</v>
      </c>
      <c r="E47" s="137">
        <v>0</v>
      </c>
    </row>
    <row r="48" spans="1:5" ht="15.75" x14ac:dyDescent="0.2">
      <c r="A48" s="56"/>
      <c r="B48" s="57"/>
      <c r="C48" s="57">
        <f>SUM(C45:C47)</f>
        <v>3</v>
      </c>
      <c r="D48" s="57">
        <f>SUM(D45:D47)</f>
        <v>3</v>
      </c>
      <c r="E48" s="57">
        <f>SUM(E45:E47)</f>
        <v>3</v>
      </c>
    </row>
    <row r="49" spans="1:5" ht="15.75" x14ac:dyDescent="0.25">
      <c r="A49" s="8" t="s">
        <v>92</v>
      </c>
      <c r="B49" s="137"/>
      <c r="C49" s="137">
        <v>0</v>
      </c>
      <c r="D49" s="137">
        <v>0</v>
      </c>
      <c r="E49" s="137">
        <v>0</v>
      </c>
    </row>
    <row r="50" spans="1:5" ht="15.75" x14ac:dyDescent="0.25">
      <c r="A50" s="8" t="s">
        <v>18</v>
      </c>
      <c r="B50" s="137"/>
      <c r="C50" s="137">
        <v>1</v>
      </c>
      <c r="D50" s="137">
        <v>1</v>
      </c>
      <c r="E50" s="137">
        <v>0</v>
      </c>
    </row>
    <row r="51" spans="1:5" ht="15.75" x14ac:dyDescent="0.2">
      <c r="A51" s="56"/>
      <c r="B51" s="57"/>
      <c r="C51" s="57">
        <f>SUM(C49:C50)</f>
        <v>1</v>
      </c>
      <c r="D51" s="57">
        <f>SUM(D49:D50)</f>
        <v>1</v>
      </c>
      <c r="E51" s="57">
        <f>SUM(E49:E50)</f>
        <v>0</v>
      </c>
    </row>
    <row r="52" spans="1:5" ht="15.75" x14ac:dyDescent="0.25">
      <c r="A52" s="8"/>
      <c r="B52" s="137"/>
      <c r="C52" s="137"/>
      <c r="D52" s="137"/>
    </row>
    <row r="53" spans="1:5" ht="15.75" x14ac:dyDescent="0.2">
      <c r="A53" s="58" t="s">
        <v>56</v>
      </c>
      <c r="B53" s="57"/>
      <c r="C53" s="57">
        <f>SUM(C48-C51)</f>
        <v>2</v>
      </c>
      <c r="D53" s="57">
        <f>SUM(D48-D51)</f>
        <v>2</v>
      </c>
      <c r="E53" s="57">
        <f>SUM(E48-E51)</f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>
    <tabColor rgb="FF92D050"/>
  </sheetPr>
  <dimension ref="A2:G57"/>
  <sheetViews>
    <sheetView zoomScaleNormal="100" workbookViewId="0">
      <selection activeCell="A29" sqref="A29:E56"/>
    </sheetView>
  </sheetViews>
  <sheetFormatPr baseColWidth="10" defaultRowHeight="12.75" x14ac:dyDescent="0.2"/>
  <cols>
    <col min="1" max="1" width="36" style="1" customWidth="1"/>
    <col min="2" max="16384" width="11.42578125" style="1"/>
  </cols>
  <sheetData>
    <row r="2" spans="1:5" x14ac:dyDescent="0.2">
      <c r="A2" s="1" t="s">
        <v>1</v>
      </c>
      <c r="B2" s="1">
        <f>$E$29</f>
        <v>2015</v>
      </c>
      <c r="C2" s="1">
        <f>$D$29</f>
        <v>2016</v>
      </c>
      <c r="D2" s="1">
        <f>$C$29</f>
        <v>2017</v>
      </c>
      <c r="E2" s="1">
        <f>$B$29</f>
        <v>2018</v>
      </c>
    </row>
    <row r="3" spans="1:5" x14ac:dyDescent="0.2">
      <c r="A3" s="14"/>
      <c r="B3" s="2">
        <f>E56</f>
        <v>0</v>
      </c>
      <c r="C3" s="2">
        <f>D56</f>
        <v>0</v>
      </c>
      <c r="D3" s="2">
        <f>C56</f>
        <v>0</v>
      </c>
      <c r="E3" s="2">
        <f>B56</f>
        <v>0</v>
      </c>
    </row>
    <row r="5" spans="1:5" x14ac:dyDescent="0.2">
      <c r="A5" s="1" t="s">
        <v>0</v>
      </c>
      <c r="B5" s="1">
        <f>$E$29</f>
        <v>2015</v>
      </c>
      <c r="C5" s="1">
        <f>$D$29</f>
        <v>2016</v>
      </c>
      <c r="D5" s="1">
        <f>$C$29</f>
        <v>2017</v>
      </c>
      <c r="E5" s="1">
        <f>$B$29</f>
        <v>2018</v>
      </c>
    </row>
    <row r="6" spans="1:5" x14ac:dyDescent="0.2">
      <c r="B6" s="3">
        <f>E38/E42</f>
        <v>0.40140845070422537</v>
      </c>
      <c r="C6" s="3">
        <f>D38/D42</f>
        <v>0.29432013769363169</v>
      </c>
      <c r="D6" s="3">
        <f>C38/C42</f>
        <v>0.24981738495252009</v>
      </c>
      <c r="E6" s="3">
        <f>B38/B42</f>
        <v>0.2289156626506024</v>
      </c>
    </row>
    <row r="28" spans="1:6" ht="17.100000000000001" customHeight="1" x14ac:dyDescent="0.25">
      <c r="A28" s="29"/>
      <c r="B28" s="35"/>
      <c r="C28" s="29"/>
      <c r="D28" s="29"/>
      <c r="E28" s="29"/>
    </row>
    <row r="29" spans="1:6" ht="17.100000000000001" customHeight="1" x14ac:dyDescent="0.25">
      <c r="A29" s="54"/>
      <c r="B29" s="55">
        <v>2018</v>
      </c>
      <c r="C29" s="55">
        <v>2017</v>
      </c>
      <c r="D29" s="55">
        <v>2016</v>
      </c>
      <c r="E29" s="55">
        <v>2015</v>
      </c>
    </row>
    <row r="30" spans="1:6" ht="17.100000000000001" customHeight="1" x14ac:dyDescent="0.25">
      <c r="A30" s="35" t="s">
        <v>2</v>
      </c>
    </row>
    <row r="31" spans="1:6" ht="17.100000000000001" customHeight="1" x14ac:dyDescent="0.2">
      <c r="A31" s="36" t="s">
        <v>48</v>
      </c>
      <c r="F31" s="11"/>
    </row>
    <row r="32" spans="1:6" ht="17.100000000000001" customHeight="1" x14ac:dyDescent="0.2">
      <c r="A32" s="8" t="s">
        <v>4</v>
      </c>
      <c r="B32" s="24">
        <v>324</v>
      </c>
      <c r="C32" s="24">
        <v>335</v>
      </c>
      <c r="D32" s="24">
        <v>327</v>
      </c>
      <c r="E32" s="24">
        <v>317</v>
      </c>
      <c r="F32" s="15"/>
    </row>
    <row r="33" spans="1:7" ht="17.100000000000001" customHeight="1" x14ac:dyDescent="0.2">
      <c r="A33" s="8" t="s">
        <v>5</v>
      </c>
      <c r="B33" s="24">
        <v>1151</v>
      </c>
      <c r="C33" s="24">
        <f>118+4+899</f>
        <v>1021</v>
      </c>
      <c r="D33" s="24">
        <v>824</v>
      </c>
      <c r="E33" s="24">
        <f>64+4+445</f>
        <v>513</v>
      </c>
      <c r="F33" s="15"/>
      <c r="G33" s="2"/>
    </row>
    <row r="34" spans="1:7" ht="17.100000000000001" customHeight="1" x14ac:dyDescent="0.2">
      <c r="A34" s="8" t="s">
        <v>6</v>
      </c>
      <c r="B34" s="24">
        <v>19</v>
      </c>
      <c r="C34" s="24">
        <v>13</v>
      </c>
      <c r="D34" s="24">
        <v>11</v>
      </c>
      <c r="E34" s="24">
        <v>22</v>
      </c>
      <c r="F34" s="15"/>
    </row>
    <row r="35" spans="1:7" ht="17.100000000000001" customHeight="1" x14ac:dyDescent="0.2">
      <c r="A35" s="56"/>
      <c r="B35" s="57">
        <f>SUM(B32:B34)</f>
        <v>1494</v>
      </c>
      <c r="C35" s="57">
        <f>SUM(C32:C34)</f>
        <v>1369</v>
      </c>
      <c r="D35" s="57">
        <f>SUM(D32:D34)</f>
        <v>1162</v>
      </c>
      <c r="E35" s="57">
        <f>SUM(E32:E34)</f>
        <v>852</v>
      </c>
      <c r="F35" s="17"/>
    </row>
    <row r="36" spans="1:7" ht="17.100000000000001" customHeight="1" x14ac:dyDescent="0.2">
      <c r="A36" s="36" t="s">
        <v>7</v>
      </c>
      <c r="F36" s="18"/>
    </row>
    <row r="37" spans="1:7" ht="17.100000000000001" customHeight="1" x14ac:dyDescent="0.2">
      <c r="A37" s="36"/>
      <c r="F37" s="18"/>
    </row>
    <row r="38" spans="1:7" ht="17.100000000000001" customHeight="1" x14ac:dyDescent="0.2">
      <c r="A38" s="8" t="s">
        <v>8</v>
      </c>
      <c r="B38" s="24">
        <v>342</v>
      </c>
      <c r="C38" s="24">
        <v>342</v>
      </c>
      <c r="D38" s="24">
        <v>342</v>
      </c>
      <c r="E38" s="24">
        <v>342</v>
      </c>
      <c r="F38" s="15"/>
    </row>
    <row r="39" spans="1:7" ht="17.100000000000001" customHeight="1" x14ac:dyDescent="0.2">
      <c r="A39" s="8" t="s">
        <v>81</v>
      </c>
      <c r="B39" s="24">
        <f>401+332</f>
        <v>733</v>
      </c>
      <c r="C39" s="24">
        <f>401+328</f>
        <v>729</v>
      </c>
      <c r="D39" s="24">
        <v>332</v>
      </c>
      <c r="E39" s="24">
        <v>226</v>
      </c>
      <c r="F39" s="15"/>
    </row>
    <row r="40" spans="1:7" ht="17.100000000000001" customHeight="1" x14ac:dyDescent="0.2">
      <c r="A40" s="8" t="s">
        <v>10</v>
      </c>
      <c r="B40" s="24">
        <v>397</v>
      </c>
      <c r="C40" s="24">
        <v>288</v>
      </c>
      <c r="D40" s="24">
        <v>486</v>
      </c>
      <c r="E40" s="24">
        <v>273</v>
      </c>
      <c r="F40" s="15"/>
    </row>
    <row r="41" spans="1:7" ht="17.100000000000001" customHeight="1" x14ac:dyDescent="0.2">
      <c r="A41" s="8" t="s">
        <v>6</v>
      </c>
      <c r="B41" s="24">
        <v>22</v>
      </c>
      <c r="C41" s="24">
        <v>10</v>
      </c>
      <c r="D41" s="24">
        <v>2</v>
      </c>
      <c r="E41" s="24">
        <v>11</v>
      </c>
      <c r="F41" s="15"/>
    </row>
    <row r="42" spans="1:7" ht="17.100000000000001" customHeight="1" x14ac:dyDescent="0.2">
      <c r="A42" s="56"/>
      <c r="B42" s="57">
        <f>SUM(B38:B41)</f>
        <v>1494</v>
      </c>
      <c r="C42" s="57">
        <f>SUM(C38:C41)</f>
        <v>1369</v>
      </c>
      <c r="D42" s="57">
        <f>SUM(D38:D41)</f>
        <v>1162</v>
      </c>
      <c r="E42" s="57">
        <f>SUM(E38:E41)</f>
        <v>852</v>
      </c>
      <c r="F42" s="17"/>
    </row>
    <row r="43" spans="1:7" ht="17.100000000000001" customHeight="1" x14ac:dyDescent="0.25">
      <c r="A43" s="35" t="s">
        <v>66</v>
      </c>
    </row>
    <row r="44" spans="1:7" ht="17.100000000000001" customHeight="1" x14ac:dyDescent="0.2">
      <c r="A44" s="8" t="s">
        <v>12</v>
      </c>
      <c r="B44" s="24">
        <v>393</v>
      </c>
      <c r="C44" s="24">
        <v>311</v>
      </c>
      <c r="D44" s="24">
        <v>380</v>
      </c>
      <c r="E44" s="24">
        <v>91</v>
      </c>
      <c r="F44" s="20"/>
    </row>
    <row r="45" spans="1:7" ht="17.100000000000001" customHeight="1" x14ac:dyDescent="0.2">
      <c r="A45" s="8" t="s">
        <v>19</v>
      </c>
      <c r="B45" s="24">
        <v>1874</v>
      </c>
      <c r="C45" s="24">
        <v>1884</v>
      </c>
      <c r="D45" s="24">
        <v>1770</v>
      </c>
      <c r="E45" s="24">
        <v>2168</v>
      </c>
      <c r="F45" s="20"/>
    </row>
    <row r="46" spans="1:7" ht="17.100000000000001" customHeight="1" x14ac:dyDescent="0.2">
      <c r="A46" s="8" t="s">
        <v>13</v>
      </c>
      <c r="B46" s="24">
        <v>0</v>
      </c>
      <c r="C46" s="24">
        <v>0</v>
      </c>
      <c r="D46" s="24">
        <v>0</v>
      </c>
      <c r="E46" s="24">
        <v>0</v>
      </c>
      <c r="F46" s="20"/>
    </row>
    <row r="47" spans="1:7" ht="17.100000000000001" customHeight="1" x14ac:dyDescent="0.2">
      <c r="A47" s="56"/>
      <c r="B47" s="57">
        <f>SUM(B44:B46)</f>
        <v>2267</v>
      </c>
      <c r="C47" s="57">
        <f>SUM(C44:C46)</f>
        <v>2195</v>
      </c>
      <c r="D47" s="57">
        <f>SUM(D44:D46)</f>
        <v>2150</v>
      </c>
      <c r="E47" s="57">
        <f>SUM(E44:E46)</f>
        <v>2259</v>
      </c>
      <c r="F47" s="6"/>
    </row>
    <row r="48" spans="1:7" ht="17.100000000000001" customHeight="1" x14ac:dyDescent="0.2">
      <c r="A48" s="8" t="s">
        <v>20</v>
      </c>
      <c r="B48" s="24">
        <v>281</v>
      </c>
      <c r="C48" s="24">
        <v>322</v>
      </c>
      <c r="D48" s="24">
        <v>390</v>
      </c>
      <c r="E48" s="24">
        <v>82</v>
      </c>
      <c r="F48" s="20"/>
    </row>
    <row r="49" spans="1:6" ht="17.100000000000001" customHeight="1" x14ac:dyDescent="0.2">
      <c r="A49" s="8" t="s">
        <v>14</v>
      </c>
      <c r="B49" s="24">
        <v>1506</v>
      </c>
      <c r="C49" s="24">
        <v>1435</v>
      </c>
      <c r="D49" s="24">
        <v>1323</v>
      </c>
      <c r="E49" s="24">
        <v>1259</v>
      </c>
      <c r="F49" s="20"/>
    </row>
    <row r="50" spans="1:6" ht="17.100000000000001" customHeight="1" x14ac:dyDescent="0.2">
      <c r="A50" s="8" t="s">
        <v>15</v>
      </c>
      <c r="B50" s="24">
        <f>23+37</f>
        <v>60</v>
      </c>
      <c r="C50" s="24">
        <f>15+36</f>
        <v>51</v>
      </c>
      <c r="D50" s="24">
        <v>50</v>
      </c>
      <c r="E50" s="24">
        <f>13+44</f>
        <v>57</v>
      </c>
      <c r="F50" s="20"/>
    </row>
    <row r="51" spans="1:6" ht="17.100000000000001" customHeight="1" x14ac:dyDescent="0.2">
      <c r="A51" s="8" t="s">
        <v>16</v>
      </c>
      <c r="B51" s="24">
        <v>413</v>
      </c>
      <c r="C51" s="24">
        <v>387</v>
      </c>
      <c r="D51" s="24">
        <v>385</v>
      </c>
      <c r="E51" s="24">
        <v>861</v>
      </c>
      <c r="F51" s="20"/>
    </row>
    <row r="52" spans="1:6" ht="17.100000000000001" customHeight="1" x14ac:dyDescent="0.2">
      <c r="A52" s="8" t="s">
        <v>17</v>
      </c>
      <c r="B52" s="24">
        <v>0</v>
      </c>
      <c r="C52" s="24">
        <v>0</v>
      </c>
      <c r="D52" s="24">
        <v>0</v>
      </c>
      <c r="E52" s="24">
        <v>0</v>
      </c>
      <c r="F52" s="20"/>
    </row>
    <row r="53" spans="1:6" ht="17.100000000000001" customHeight="1" x14ac:dyDescent="0.2">
      <c r="A53" s="8" t="s">
        <v>18</v>
      </c>
      <c r="B53" s="24">
        <v>7</v>
      </c>
      <c r="C53" s="24">
        <v>0</v>
      </c>
      <c r="D53" s="24">
        <v>2</v>
      </c>
      <c r="E53" s="24">
        <v>0</v>
      </c>
      <c r="F53" s="20"/>
    </row>
    <row r="54" spans="1:6" ht="17.100000000000001" customHeight="1" x14ac:dyDescent="0.2">
      <c r="A54" s="56"/>
      <c r="B54" s="57">
        <f>SUM(B48:B53)</f>
        <v>2267</v>
      </c>
      <c r="C54" s="57">
        <f>SUM(C48:C53)</f>
        <v>2195</v>
      </c>
      <c r="D54" s="57">
        <f>SUM(D48:D53)</f>
        <v>2150</v>
      </c>
      <c r="E54" s="57">
        <f>SUM(E48:E53)</f>
        <v>2259</v>
      </c>
      <c r="F54" s="6"/>
    </row>
    <row r="55" spans="1:6" ht="17.100000000000001" customHeight="1" x14ac:dyDescent="0.2">
      <c r="A55" s="8"/>
      <c r="F55" s="7"/>
    </row>
    <row r="56" spans="1:6" ht="17.100000000000001" customHeight="1" x14ac:dyDescent="0.2">
      <c r="A56" s="58" t="s">
        <v>56</v>
      </c>
      <c r="B56" s="57">
        <f>SUM(B47-B54)</f>
        <v>0</v>
      </c>
      <c r="C56" s="57">
        <f>SUM(C47-C54)</f>
        <v>0</v>
      </c>
      <c r="D56" s="57">
        <f>SUM(D47-D54)</f>
        <v>0</v>
      </c>
      <c r="E56" s="57">
        <f>SUM(E47-E54)</f>
        <v>0</v>
      </c>
      <c r="F56" s="6"/>
    </row>
    <row r="57" spans="1:6" ht="15.75" x14ac:dyDescent="0.25">
      <c r="A57" s="29"/>
      <c r="B57" s="29"/>
      <c r="C57" s="29"/>
      <c r="D57" s="29"/>
      <c r="E57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5">
    <tabColor rgb="FF92D050"/>
  </sheetPr>
  <dimension ref="A2:G56"/>
  <sheetViews>
    <sheetView workbookViewId="0">
      <selection activeCell="G32" sqref="G32:G43"/>
    </sheetView>
  </sheetViews>
  <sheetFormatPr baseColWidth="10" defaultRowHeight="12.75" x14ac:dyDescent="0.2"/>
  <cols>
    <col min="1" max="1" width="45.140625" style="1" bestFit="1" customWidth="1"/>
    <col min="2" max="16384" width="11.42578125" style="1"/>
  </cols>
  <sheetData>
    <row r="2" spans="1:5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A3" s="14"/>
      <c r="B3" s="2">
        <f>E56</f>
        <v>249</v>
      </c>
      <c r="C3" s="2">
        <f>D56</f>
        <v>264</v>
      </c>
      <c r="D3" s="2">
        <f>C56</f>
        <v>309</v>
      </c>
      <c r="E3" s="1">
        <f>B56</f>
        <v>369</v>
      </c>
    </row>
    <row r="5" spans="1:5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E37/E41</f>
        <v>0.23979957050823192</v>
      </c>
      <c r="C6" s="3">
        <f>D37/D41</f>
        <v>0.25272282729495443</v>
      </c>
      <c r="D6" s="3">
        <f>C37/C41</f>
        <v>0.26958789775691183</v>
      </c>
      <c r="E6" s="3">
        <f>B37/B41</f>
        <v>0.30999370144866678</v>
      </c>
    </row>
    <row r="27" spans="1:7" ht="15.75" x14ac:dyDescent="0.25">
      <c r="A27" s="61"/>
      <c r="B27" s="55">
        <v>2018</v>
      </c>
      <c r="C27" s="55">
        <v>2017</v>
      </c>
      <c r="D27" s="55">
        <v>2016</v>
      </c>
      <c r="E27" s="55">
        <v>2015</v>
      </c>
    </row>
    <row r="28" spans="1:7" ht="17.100000000000001" customHeight="1" x14ac:dyDescent="0.25">
      <c r="A28" s="35" t="s">
        <v>2</v>
      </c>
    </row>
    <row r="29" spans="1:7" ht="17.100000000000001" customHeight="1" x14ac:dyDescent="0.2">
      <c r="A29" s="36" t="s">
        <v>48</v>
      </c>
      <c r="F29" s="11"/>
    </row>
    <row r="30" spans="1:7" ht="17.100000000000001" customHeight="1" x14ac:dyDescent="0.2">
      <c r="A30" s="36"/>
      <c r="F30" s="7"/>
    </row>
    <row r="31" spans="1:7" ht="17.100000000000001" customHeight="1" x14ac:dyDescent="0.2">
      <c r="A31" s="8" t="s">
        <v>4</v>
      </c>
      <c r="B31" s="24">
        <v>8210</v>
      </c>
      <c r="C31" s="24">
        <v>8540</v>
      </c>
      <c r="D31" s="24">
        <v>8476</v>
      </c>
      <c r="E31" s="24">
        <v>7677</v>
      </c>
      <c r="F31" s="15"/>
    </row>
    <row r="32" spans="1:7" ht="17.100000000000001" customHeight="1" x14ac:dyDescent="0.2">
      <c r="A32" s="8" t="s">
        <v>5</v>
      </c>
      <c r="B32" s="24">
        <f>1243+67</f>
        <v>1310</v>
      </c>
      <c r="C32" s="24">
        <v>1037</v>
      </c>
      <c r="D32" s="24">
        <v>516</v>
      </c>
      <c r="E32" s="24">
        <v>697</v>
      </c>
      <c r="F32" s="15"/>
      <c r="G32" s="2"/>
    </row>
    <row r="33" spans="1:7" ht="17.100000000000001" customHeight="1" x14ac:dyDescent="0.2">
      <c r="A33" s="8" t="s">
        <v>6</v>
      </c>
      <c r="B33" s="24">
        <v>6</v>
      </c>
      <c r="C33" s="24">
        <v>8</v>
      </c>
      <c r="D33" s="24">
        <v>6</v>
      </c>
      <c r="E33" s="24">
        <v>8</v>
      </c>
      <c r="F33" s="15"/>
    </row>
    <row r="34" spans="1:7" ht="17.100000000000001" customHeight="1" x14ac:dyDescent="0.2">
      <c r="A34" s="56"/>
      <c r="B34" s="57">
        <f>SUM(B31:B33)</f>
        <v>9526</v>
      </c>
      <c r="C34" s="57">
        <f>SUM(C31:C33)</f>
        <v>9585</v>
      </c>
      <c r="D34" s="57">
        <f>SUM(D31:D33)</f>
        <v>8998</v>
      </c>
      <c r="E34" s="57">
        <f>SUM(E31:E33)</f>
        <v>8382</v>
      </c>
      <c r="F34" s="17"/>
    </row>
    <row r="35" spans="1:7" ht="17.100000000000001" customHeight="1" x14ac:dyDescent="0.25">
      <c r="A35" s="36" t="s">
        <v>7</v>
      </c>
      <c r="B35" s="29"/>
      <c r="C35" s="29"/>
      <c r="D35" s="29"/>
      <c r="E35" s="29"/>
      <c r="F35" s="18"/>
    </row>
    <row r="36" spans="1:7" ht="17.100000000000001" customHeight="1" x14ac:dyDescent="0.25">
      <c r="A36" s="36"/>
      <c r="B36" s="29"/>
      <c r="C36" s="29"/>
      <c r="D36" s="29"/>
      <c r="E36" s="29"/>
      <c r="F36" s="18"/>
    </row>
    <row r="37" spans="1:7" ht="17.100000000000001" customHeight="1" x14ac:dyDescent="0.2">
      <c r="A37" s="8" t="s">
        <v>42</v>
      </c>
      <c r="B37" s="24">
        <f>584+2000+369</f>
        <v>2953</v>
      </c>
      <c r="C37" s="24">
        <v>2584</v>
      </c>
      <c r="D37" s="24">
        <v>2274</v>
      </c>
      <c r="E37" s="24">
        <v>2010</v>
      </c>
      <c r="F37" s="15"/>
      <c r="G37" s="2"/>
    </row>
    <row r="38" spans="1:7" ht="17.100000000000001" customHeight="1" x14ac:dyDescent="0.2">
      <c r="A38" s="8" t="s">
        <v>9</v>
      </c>
      <c r="B38" s="24">
        <v>107</v>
      </c>
      <c r="C38" s="24">
        <v>87</v>
      </c>
      <c r="D38" s="24">
        <v>60</v>
      </c>
      <c r="E38" s="24">
        <v>67</v>
      </c>
      <c r="F38" s="15"/>
    </row>
    <row r="39" spans="1:7" ht="17.100000000000001" customHeight="1" x14ac:dyDescent="0.2">
      <c r="A39" s="8" t="s">
        <v>10</v>
      </c>
      <c r="B39" s="24">
        <v>6465</v>
      </c>
      <c r="C39" s="24">
        <v>6913</v>
      </c>
      <c r="D39" s="24">
        <v>6663</v>
      </c>
      <c r="E39" s="24">
        <v>6303</v>
      </c>
      <c r="F39" s="15"/>
    </row>
    <row r="40" spans="1:7" ht="17.100000000000001" customHeight="1" x14ac:dyDescent="0.2">
      <c r="A40" s="8" t="s">
        <v>6</v>
      </c>
      <c r="B40" s="24">
        <v>1</v>
      </c>
      <c r="C40" s="24">
        <v>1</v>
      </c>
      <c r="D40" s="24">
        <v>1</v>
      </c>
      <c r="E40" s="24">
        <v>2</v>
      </c>
      <c r="F40" s="15"/>
    </row>
    <row r="41" spans="1:7" ht="17.100000000000001" customHeight="1" x14ac:dyDescent="0.2">
      <c r="A41" s="56"/>
      <c r="B41" s="57">
        <f>SUM(B37:B40)</f>
        <v>9526</v>
      </c>
      <c r="C41" s="57">
        <f>SUM(C37:C40)</f>
        <v>9585</v>
      </c>
      <c r="D41" s="57">
        <f>SUM(D37:D40)</f>
        <v>8998</v>
      </c>
      <c r="E41" s="57">
        <f>SUM(E37:E40)</f>
        <v>8382</v>
      </c>
      <c r="F41" s="17"/>
      <c r="G41" s="2"/>
    </row>
    <row r="42" spans="1:7" ht="17.100000000000001" customHeight="1" x14ac:dyDescent="0.25">
      <c r="A42" s="35" t="s">
        <v>66</v>
      </c>
      <c r="B42" s="29"/>
      <c r="C42" s="29"/>
      <c r="D42" s="29"/>
      <c r="E42" s="29"/>
      <c r="F42" s="2"/>
    </row>
    <row r="43" spans="1:7" ht="17.100000000000001" customHeight="1" x14ac:dyDescent="0.25">
      <c r="A43" s="35"/>
      <c r="B43" s="29"/>
      <c r="C43" s="29"/>
      <c r="D43" s="29"/>
      <c r="E43" s="29"/>
      <c r="F43" s="2"/>
    </row>
    <row r="44" spans="1:7" ht="17.100000000000001" customHeight="1" x14ac:dyDescent="0.2">
      <c r="A44" s="8" t="s">
        <v>12</v>
      </c>
      <c r="B44" s="24">
        <v>2126</v>
      </c>
      <c r="C44" s="24">
        <v>2060</v>
      </c>
      <c r="D44" s="24">
        <v>1934</v>
      </c>
      <c r="E44" s="24">
        <v>1812</v>
      </c>
      <c r="F44" s="15"/>
      <c r="G44" s="2"/>
    </row>
    <row r="45" spans="1:7" ht="17.100000000000001" customHeight="1" x14ac:dyDescent="0.2">
      <c r="A45" s="8" t="s">
        <v>19</v>
      </c>
      <c r="B45" s="24">
        <v>74</v>
      </c>
      <c r="C45" s="24">
        <v>42</v>
      </c>
      <c r="D45" s="24">
        <v>51</v>
      </c>
      <c r="E45" s="24">
        <v>70</v>
      </c>
      <c r="F45" s="15"/>
    </row>
    <row r="46" spans="1:7" ht="17.100000000000001" customHeight="1" x14ac:dyDescent="0.2">
      <c r="A46" s="8" t="s">
        <v>13</v>
      </c>
      <c r="B46" s="24">
        <v>0</v>
      </c>
      <c r="C46" s="24">
        <v>0</v>
      </c>
      <c r="D46" s="24">
        <v>0</v>
      </c>
      <c r="E46" s="24">
        <v>0</v>
      </c>
      <c r="F46" s="15"/>
    </row>
    <row r="47" spans="1:7" ht="17.100000000000001" customHeight="1" x14ac:dyDescent="0.2">
      <c r="A47" s="56"/>
      <c r="B47" s="57">
        <f>SUM(B44:B46)</f>
        <v>2200</v>
      </c>
      <c r="C47" s="57">
        <f>SUM(C44:C46)</f>
        <v>2102</v>
      </c>
      <c r="D47" s="57">
        <f>SUM(D44:D46)</f>
        <v>1985</v>
      </c>
      <c r="E47" s="57">
        <f>SUM(E44:E46)</f>
        <v>1882</v>
      </c>
      <c r="F47" s="17"/>
    </row>
    <row r="48" spans="1:7" ht="17.100000000000001" customHeight="1" x14ac:dyDescent="0.2">
      <c r="A48" s="8" t="s">
        <v>20</v>
      </c>
      <c r="B48" s="24">
        <v>413</v>
      </c>
      <c r="C48" s="24">
        <v>392</v>
      </c>
      <c r="D48" s="24">
        <v>377</v>
      </c>
      <c r="E48" s="24">
        <v>386</v>
      </c>
      <c r="F48" s="15"/>
    </row>
    <row r="49" spans="1:6" ht="17.100000000000001" customHeight="1" x14ac:dyDescent="0.2">
      <c r="A49" s="8" t="s">
        <v>14</v>
      </c>
      <c r="B49" s="24">
        <v>492</v>
      </c>
      <c r="C49" s="24">
        <v>475</v>
      </c>
      <c r="D49" s="24">
        <v>482</v>
      </c>
      <c r="E49" s="24">
        <v>412</v>
      </c>
      <c r="F49" s="15"/>
    </row>
    <row r="50" spans="1:6" ht="17.100000000000001" customHeight="1" x14ac:dyDescent="0.2">
      <c r="A50" s="8" t="s">
        <v>15</v>
      </c>
      <c r="B50" s="24">
        <v>353</v>
      </c>
      <c r="C50" s="24">
        <v>350</v>
      </c>
      <c r="D50" s="24">
        <v>312</v>
      </c>
      <c r="E50" s="24">
        <v>310</v>
      </c>
      <c r="F50" s="15"/>
    </row>
    <row r="51" spans="1:6" ht="17.100000000000001" customHeight="1" x14ac:dyDescent="0.2">
      <c r="A51" s="8" t="s">
        <v>16</v>
      </c>
      <c r="B51" s="24">
        <v>143</v>
      </c>
      <c r="C51" s="24">
        <v>165</v>
      </c>
      <c r="D51" s="24">
        <v>165</v>
      </c>
      <c r="E51" s="24">
        <v>142</v>
      </c>
      <c r="F51" s="15"/>
    </row>
    <row r="52" spans="1:6" ht="17.100000000000001" customHeight="1" x14ac:dyDescent="0.2">
      <c r="A52" s="8" t="s">
        <v>17</v>
      </c>
      <c r="B52" s="24">
        <v>190</v>
      </c>
      <c r="C52" s="24">
        <v>203</v>
      </c>
      <c r="D52" s="24">
        <v>200</v>
      </c>
      <c r="E52" s="24">
        <v>209</v>
      </c>
      <c r="F52" s="15"/>
    </row>
    <row r="53" spans="1:6" ht="17.100000000000001" customHeight="1" x14ac:dyDescent="0.2">
      <c r="A53" s="8" t="s">
        <v>18</v>
      </c>
      <c r="B53" s="24">
        <f>175+65</f>
        <v>240</v>
      </c>
      <c r="C53" s="24">
        <f>147+61</f>
        <v>208</v>
      </c>
      <c r="D53" s="24">
        <v>185</v>
      </c>
      <c r="E53" s="24">
        <f>118+56</f>
        <v>174</v>
      </c>
      <c r="F53" s="15"/>
    </row>
    <row r="54" spans="1:6" ht="17.100000000000001" customHeight="1" x14ac:dyDescent="0.2">
      <c r="A54" s="56"/>
      <c r="B54" s="57">
        <f>SUM(B48:B53)</f>
        <v>1831</v>
      </c>
      <c r="C54" s="57">
        <f>SUM(C48:C53)</f>
        <v>1793</v>
      </c>
      <c r="D54" s="57">
        <f>SUM(D48:D53)</f>
        <v>1721</v>
      </c>
      <c r="E54" s="57">
        <f>SUM(E48:E53)</f>
        <v>1633</v>
      </c>
      <c r="F54" s="17"/>
    </row>
    <row r="55" spans="1:6" ht="17.100000000000001" customHeight="1" x14ac:dyDescent="0.25">
      <c r="A55" s="8"/>
      <c r="B55" s="29"/>
      <c r="C55" s="29"/>
      <c r="D55" s="29"/>
      <c r="E55" s="29"/>
      <c r="F55" s="18"/>
    </row>
    <row r="56" spans="1:6" ht="17.100000000000001" customHeight="1" x14ac:dyDescent="0.2">
      <c r="A56" s="70" t="s">
        <v>56</v>
      </c>
      <c r="B56" s="69">
        <f>SUM(B47-B54)</f>
        <v>369</v>
      </c>
      <c r="C56" s="69">
        <f>SUM(C47-C54)</f>
        <v>309</v>
      </c>
      <c r="D56" s="69">
        <f>SUM(D47-D54)</f>
        <v>264</v>
      </c>
      <c r="E56" s="69">
        <f>SUM(E47-E54)</f>
        <v>249</v>
      </c>
      <c r="F56" s="91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tabColor rgb="FF92D050"/>
  </sheetPr>
  <dimension ref="A2:F53"/>
  <sheetViews>
    <sheetView topLeftCell="A19" workbookViewId="0">
      <selection activeCell="A24" sqref="A24:E52"/>
    </sheetView>
  </sheetViews>
  <sheetFormatPr baseColWidth="10" defaultRowHeight="12.75" x14ac:dyDescent="0.2"/>
  <cols>
    <col min="1" max="1" width="36.85546875" style="33" bestFit="1" customWidth="1"/>
    <col min="2" max="5" width="10.7109375" style="33" customWidth="1"/>
    <col min="6" max="16384" width="11.42578125" style="33"/>
  </cols>
  <sheetData>
    <row r="2" spans="1:5" x14ac:dyDescent="0.2">
      <c r="A2" s="33" t="s">
        <v>1</v>
      </c>
      <c r="B2" s="33">
        <f>$E$24</f>
        <v>2015</v>
      </c>
      <c r="C2" s="33">
        <f>$D$24</f>
        <v>2016</v>
      </c>
      <c r="D2" s="33">
        <f>$C$24</f>
        <v>2017</v>
      </c>
      <c r="E2" s="33">
        <f>$B$24</f>
        <v>2018</v>
      </c>
    </row>
    <row r="3" spans="1:5" x14ac:dyDescent="0.2">
      <c r="A3" s="14"/>
      <c r="B3" s="76">
        <f>E52</f>
        <v>18</v>
      </c>
      <c r="C3" s="76">
        <f>D52</f>
        <v>44</v>
      </c>
      <c r="D3" s="76">
        <f>C52</f>
        <v>-96</v>
      </c>
      <c r="E3" s="76">
        <f>B52</f>
        <v>22</v>
      </c>
    </row>
    <row r="5" spans="1:5" x14ac:dyDescent="0.2">
      <c r="A5" s="33" t="s">
        <v>0</v>
      </c>
      <c r="B5" s="33">
        <f>$E$24</f>
        <v>2015</v>
      </c>
      <c r="C5" s="33">
        <f>$D$24</f>
        <v>2016</v>
      </c>
      <c r="D5" s="33">
        <f>$C$24</f>
        <v>2017</v>
      </c>
      <c r="E5" s="33">
        <f>$B$24</f>
        <v>2018</v>
      </c>
    </row>
    <row r="6" spans="1:5" x14ac:dyDescent="0.2">
      <c r="B6" s="78">
        <f>E34/E38</f>
        <v>0.62287104622871048</v>
      </c>
      <c r="C6" s="78">
        <f>D34/D38</f>
        <v>0.60240963855421692</v>
      </c>
      <c r="D6" s="78">
        <f>C34/C38</f>
        <v>0.45533769063180829</v>
      </c>
      <c r="E6" s="78">
        <f>B34/B38</f>
        <v>0.46406570841889117</v>
      </c>
    </row>
    <row r="24" spans="1:6" ht="17.100000000000001" customHeight="1" x14ac:dyDescent="0.25">
      <c r="A24" s="66"/>
      <c r="B24" s="67">
        <v>2018</v>
      </c>
      <c r="C24" s="67">
        <v>2017</v>
      </c>
      <c r="D24" s="67">
        <v>2016</v>
      </c>
      <c r="E24" s="67">
        <v>2015</v>
      </c>
    </row>
    <row r="25" spans="1:6" ht="17.100000000000001" customHeight="1" x14ac:dyDescent="0.25">
      <c r="A25" s="71" t="s">
        <v>2</v>
      </c>
    </row>
    <row r="26" spans="1:6" ht="17.100000000000001" customHeight="1" x14ac:dyDescent="0.2">
      <c r="A26" s="73" t="s">
        <v>48</v>
      </c>
      <c r="F26" s="79"/>
    </row>
    <row r="27" spans="1:6" ht="17.100000000000001" customHeight="1" x14ac:dyDescent="0.2">
      <c r="A27" s="73"/>
      <c r="F27" s="80"/>
    </row>
    <row r="28" spans="1:6" ht="17.100000000000001" customHeight="1" x14ac:dyDescent="0.2">
      <c r="A28" s="74" t="s">
        <v>4</v>
      </c>
      <c r="B28" s="53">
        <v>7</v>
      </c>
      <c r="C28" s="53">
        <v>9</v>
      </c>
      <c r="D28" s="53">
        <v>16</v>
      </c>
      <c r="E28" s="53">
        <v>31</v>
      </c>
      <c r="F28" s="97"/>
    </row>
    <row r="29" spans="1:6" ht="17.100000000000001" customHeight="1" x14ac:dyDescent="0.2">
      <c r="A29" s="74" t="s">
        <v>5</v>
      </c>
      <c r="B29" s="53">
        <v>472</v>
      </c>
      <c r="C29" s="53">
        <v>448</v>
      </c>
      <c r="D29" s="53">
        <v>480</v>
      </c>
      <c r="E29" s="53">
        <v>373</v>
      </c>
      <c r="F29" s="97"/>
    </row>
    <row r="30" spans="1:6" ht="17.100000000000001" customHeight="1" x14ac:dyDescent="0.2">
      <c r="A30" s="74" t="s">
        <v>6</v>
      </c>
      <c r="B30" s="53">
        <v>8</v>
      </c>
      <c r="C30" s="53">
        <v>2</v>
      </c>
      <c r="D30" s="53">
        <v>2</v>
      </c>
      <c r="E30" s="53">
        <v>7</v>
      </c>
      <c r="F30" s="98"/>
    </row>
    <row r="31" spans="1:6" ht="17.100000000000001" customHeight="1" x14ac:dyDescent="0.2">
      <c r="A31" s="68"/>
      <c r="B31" s="69">
        <f>SUM(B28:B30)</f>
        <v>487</v>
      </c>
      <c r="C31" s="69">
        <f>SUM(C28:C30)</f>
        <v>459</v>
      </c>
      <c r="D31" s="69">
        <f>SUM(D28:D30)</f>
        <v>498</v>
      </c>
      <c r="E31" s="69">
        <f>SUM(E28:E30)</f>
        <v>411</v>
      </c>
      <c r="F31" s="91"/>
    </row>
    <row r="32" spans="1:6" ht="17.100000000000001" customHeight="1" x14ac:dyDescent="0.25">
      <c r="A32" s="73" t="s">
        <v>7</v>
      </c>
      <c r="B32" s="72"/>
      <c r="C32" s="72"/>
      <c r="D32" s="72"/>
      <c r="E32" s="72"/>
      <c r="F32" s="75"/>
    </row>
    <row r="33" spans="1:6" ht="17.100000000000001" customHeight="1" x14ac:dyDescent="0.25">
      <c r="A33" s="73"/>
      <c r="B33" s="72"/>
      <c r="C33" s="72"/>
      <c r="D33" s="72"/>
      <c r="E33" s="72"/>
      <c r="F33" s="75"/>
    </row>
    <row r="34" spans="1:6" ht="17.100000000000001" customHeight="1" x14ac:dyDescent="0.2">
      <c r="A34" s="74" t="s">
        <v>8</v>
      </c>
      <c r="B34" s="53">
        <v>226</v>
      </c>
      <c r="C34" s="53">
        <v>209</v>
      </c>
      <c r="D34" s="53">
        <v>300</v>
      </c>
      <c r="E34" s="53">
        <v>256</v>
      </c>
      <c r="F34" s="97"/>
    </row>
    <row r="35" spans="1:6" ht="17.100000000000001" customHeight="1" x14ac:dyDescent="0.2">
      <c r="A35" s="74" t="s">
        <v>9</v>
      </c>
      <c r="B35" s="53">
        <v>159</v>
      </c>
      <c r="C35" s="53">
        <v>166</v>
      </c>
      <c r="D35" s="53">
        <v>99</v>
      </c>
      <c r="E35" s="53">
        <v>72</v>
      </c>
      <c r="F35" s="97"/>
    </row>
    <row r="36" spans="1:6" ht="17.100000000000001" customHeight="1" x14ac:dyDescent="0.2">
      <c r="A36" s="74" t="s">
        <v>10</v>
      </c>
      <c r="B36" s="53">
        <v>102</v>
      </c>
      <c r="C36" s="53">
        <v>84</v>
      </c>
      <c r="D36" s="53">
        <v>99</v>
      </c>
      <c r="E36" s="53">
        <v>83</v>
      </c>
      <c r="F36" s="97"/>
    </row>
    <row r="37" spans="1:6" ht="17.100000000000001" customHeight="1" x14ac:dyDescent="0.2">
      <c r="A37" s="74" t="s">
        <v>6</v>
      </c>
      <c r="B37" s="53">
        <v>0</v>
      </c>
      <c r="C37" s="53">
        <v>0</v>
      </c>
      <c r="D37" s="53">
        <v>0</v>
      </c>
      <c r="E37" s="53">
        <v>0</v>
      </c>
      <c r="F37" s="98"/>
    </row>
    <row r="38" spans="1:6" ht="17.100000000000001" customHeight="1" x14ac:dyDescent="0.2">
      <c r="A38" s="68"/>
      <c r="B38" s="69">
        <f>SUM(B34:B37)</f>
        <v>487</v>
      </c>
      <c r="C38" s="69">
        <f>SUM(C34:C37)</f>
        <v>459</v>
      </c>
      <c r="D38" s="69">
        <f>SUM(D34:D37)</f>
        <v>498</v>
      </c>
      <c r="E38" s="69">
        <f>SUM(E34:E37)</f>
        <v>411</v>
      </c>
      <c r="F38" s="91"/>
    </row>
    <row r="39" spans="1:6" ht="17.100000000000001" customHeight="1" x14ac:dyDescent="0.25">
      <c r="A39" s="71" t="s">
        <v>66</v>
      </c>
      <c r="B39" s="72"/>
      <c r="C39" s="72"/>
      <c r="D39" s="72"/>
      <c r="E39" s="72"/>
      <c r="F39" s="76"/>
    </row>
    <row r="40" spans="1:6" ht="17.100000000000001" customHeight="1" x14ac:dyDescent="0.2">
      <c r="A40" s="74" t="s">
        <v>12</v>
      </c>
      <c r="B40" s="53">
        <v>762</v>
      </c>
      <c r="C40" s="53">
        <v>1007</v>
      </c>
      <c r="D40" s="53">
        <v>770</v>
      </c>
      <c r="E40" s="53">
        <v>750</v>
      </c>
      <c r="F40" s="89"/>
    </row>
    <row r="41" spans="1:6" ht="17.100000000000001" customHeight="1" x14ac:dyDescent="0.2">
      <c r="A41" s="74" t="s">
        <v>19</v>
      </c>
      <c r="B41" s="53">
        <v>774</v>
      </c>
      <c r="C41" s="53">
        <v>786</v>
      </c>
      <c r="D41" s="53">
        <v>779</v>
      </c>
      <c r="E41" s="53">
        <v>781</v>
      </c>
      <c r="F41" s="97"/>
    </row>
    <row r="42" spans="1:6" ht="17.100000000000001" customHeight="1" x14ac:dyDescent="0.2">
      <c r="A42" s="74" t="s">
        <v>13</v>
      </c>
      <c r="B42" s="53">
        <v>0</v>
      </c>
      <c r="C42" s="53">
        <v>0</v>
      </c>
      <c r="D42" s="53">
        <v>0</v>
      </c>
      <c r="E42" s="53">
        <v>0</v>
      </c>
      <c r="F42" s="98"/>
    </row>
    <row r="43" spans="1:6" ht="17.100000000000001" customHeight="1" x14ac:dyDescent="0.2">
      <c r="A43" s="68"/>
      <c r="B43" s="69">
        <f>SUM(B40:B42)</f>
        <v>1536</v>
      </c>
      <c r="C43" s="69">
        <f>SUM(C40:C42)</f>
        <v>1793</v>
      </c>
      <c r="D43" s="69">
        <f>SUM(D40:D42)</f>
        <v>1549</v>
      </c>
      <c r="E43" s="69">
        <f>SUM(E40:E42)</f>
        <v>1531</v>
      </c>
      <c r="F43" s="91"/>
    </row>
    <row r="44" spans="1:6" ht="17.100000000000001" customHeight="1" x14ac:dyDescent="0.2">
      <c r="A44" s="74" t="s">
        <v>20</v>
      </c>
      <c r="B44" s="53">
        <v>420</v>
      </c>
      <c r="C44" s="53">
        <v>713</v>
      </c>
      <c r="D44" s="53">
        <v>454</v>
      </c>
      <c r="E44" s="53">
        <v>476</v>
      </c>
      <c r="F44" s="97"/>
    </row>
    <row r="45" spans="1:6" ht="17.100000000000001" customHeight="1" x14ac:dyDescent="0.2">
      <c r="A45" s="74" t="s">
        <v>14</v>
      </c>
      <c r="B45" s="53">
        <v>808</v>
      </c>
      <c r="C45" s="53">
        <v>778</v>
      </c>
      <c r="D45" s="53">
        <v>760</v>
      </c>
      <c r="E45" s="53">
        <v>739</v>
      </c>
      <c r="F45" s="97"/>
    </row>
    <row r="46" spans="1:6" ht="17.100000000000001" customHeight="1" x14ac:dyDescent="0.2">
      <c r="A46" s="74" t="s">
        <v>15</v>
      </c>
      <c r="B46" s="53">
        <v>3</v>
      </c>
      <c r="C46" s="53">
        <v>14</v>
      </c>
      <c r="D46" s="53">
        <v>16</v>
      </c>
      <c r="E46" s="53">
        <v>26</v>
      </c>
      <c r="F46" s="97"/>
    </row>
    <row r="47" spans="1:6" ht="17.100000000000001" customHeight="1" x14ac:dyDescent="0.2">
      <c r="A47" s="74" t="s">
        <v>16</v>
      </c>
      <c r="B47" s="53">
        <v>280</v>
      </c>
      <c r="C47" s="53">
        <v>329</v>
      </c>
      <c r="D47" s="53">
        <v>275</v>
      </c>
      <c r="E47" s="53">
        <v>272</v>
      </c>
      <c r="F47" s="97"/>
    </row>
    <row r="48" spans="1:6" ht="17.100000000000001" customHeight="1" x14ac:dyDescent="0.2">
      <c r="A48" s="74" t="s">
        <v>17</v>
      </c>
      <c r="B48" s="53">
        <v>3</v>
      </c>
      <c r="C48" s="53">
        <v>2</v>
      </c>
      <c r="D48" s="53">
        <v>0</v>
      </c>
      <c r="E48" s="53">
        <v>0</v>
      </c>
      <c r="F48" s="97"/>
    </row>
    <row r="49" spans="1:6" ht="17.100000000000001" customHeight="1" x14ac:dyDescent="0.2">
      <c r="A49" s="74" t="s">
        <v>18</v>
      </c>
      <c r="B49" s="53">
        <v>0</v>
      </c>
      <c r="C49" s="53">
        <v>53</v>
      </c>
      <c r="D49" s="53">
        <v>0</v>
      </c>
      <c r="E49" s="53">
        <v>0</v>
      </c>
      <c r="F49" s="98"/>
    </row>
    <row r="50" spans="1:6" ht="17.100000000000001" customHeight="1" x14ac:dyDescent="0.2">
      <c r="A50" s="68"/>
      <c r="B50" s="69">
        <f>SUM(B44:B49)</f>
        <v>1514</v>
      </c>
      <c r="C50" s="69">
        <f>SUM(C44:C49)</f>
        <v>1889</v>
      </c>
      <c r="D50" s="69">
        <f>SUM(D44:D49)</f>
        <v>1505</v>
      </c>
      <c r="E50" s="69">
        <f>SUM(E44:E49)</f>
        <v>1513</v>
      </c>
      <c r="F50" s="91"/>
    </row>
    <row r="51" spans="1:6" ht="17.100000000000001" customHeight="1" x14ac:dyDescent="0.25">
      <c r="A51" s="74"/>
      <c r="B51" s="72"/>
      <c r="C51" s="72"/>
      <c r="D51" s="72"/>
      <c r="E51" s="72"/>
      <c r="F51" s="75"/>
    </row>
    <row r="52" spans="1:6" ht="17.100000000000001" customHeight="1" x14ac:dyDescent="0.2">
      <c r="A52" s="70" t="s">
        <v>56</v>
      </c>
      <c r="B52" s="69">
        <f>SUM(B43-B50)</f>
        <v>22</v>
      </c>
      <c r="C52" s="69">
        <f>SUM(C43-C50)</f>
        <v>-96</v>
      </c>
      <c r="D52" s="69">
        <f>SUM(D43-D50)</f>
        <v>44</v>
      </c>
      <c r="E52" s="69">
        <f>SUM(E43-E50)</f>
        <v>18</v>
      </c>
      <c r="F52" s="99"/>
    </row>
    <row r="53" spans="1:6" ht="15.75" x14ac:dyDescent="0.25">
      <c r="A53" s="72"/>
      <c r="B53" s="7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>
    <tabColor theme="6"/>
  </sheetPr>
  <dimension ref="A2:F57"/>
  <sheetViews>
    <sheetView topLeftCell="A25" workbookViewId="0">
      <selection activeCell="A27" sqref="A27:E57"/>
    </sheetView>
  </sheetViews>
  <sheetFormatPr baseColWidth="10" defaultRowHeight="12.75" x14ac:dyDescent="0.2"/>
  <cols>
    <col min="1" max="1" width="36.140625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A3" s="14"/>
      <c r="B3" s="2">
        <f>E57</f>
        <v>-103</v>
      </c>
      <c r="C3" s="2">
        <f>D57</f>
        <v>-76</v>
      </c>
      <c r="D3" s="2">
        <f>C57</f>
        <v>4</v>
      </c>
      <c r="E3" s="2">
        <f>B57</f>
        <v>-54</v>
      </c>
    </row>
    <row r="5" spans="1:5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E38/E42</f>
        <v>0</v>
      </c>
      <c r="C6" s="3">
        <f>D38/D42</f>
        <v>8.0808080808080815E-2</v>
      </c>
      <c r="D6" s="3">
        <f>C38/C42</f>
        <v>0.10714285714285714</v>
      </c>
      <c r="E6" s="3">
        <f>B38/B42</f>
        <v>0</v>
      </c>
    </row>
    <row r="27" spans="1:6" ht="15.75" x14ac:dyDescent="0.25">
      <c r="A27" s="145"/>
      <c r="B27" s="67">
        <v>2018</v>
      </c>
      <c r="C27" s="67">
        <v>2017</v>
      </c>
      <c r="D27" s="67">
        <v>2016</v>
      </c>
      <c r="E27" s="67">
        <v>2015</v>
      </c>
    </row>
    <row r="28" spans="1:6" ht="17.100000000000001" customHeight="1" x14ac:dyDescent="0.25">
      <c r="A28" s="71" t="s">
        <v>2</v>
      </c>
      <c r="B28" s="33"/>
      <c r="C28" s="33"/>
      <c r="D28" s="33"/>
      <c r="E28" s="33"/>
    </row>
    <row r="29" spans="1:6" ht="17.100000000000001" customHeight="1" x14ac:dyDescent="0.2">
      <c r="A29" s="73" t="s">
        <v>48</v>
      </c>
      <c r="B29" s="33"/>
      <c r="C29" s="33"/>
      <c r="D29" s="33"/>
      <c r="E29" s="33"/>
      <c r="F29" s="11"/>
    </row>
    <row r="30" spans="1:6" ht="17.100000000000001" customHeight="1" x14ac:dyDescent="0.2">
      <c r="A30" s="73"/>
      <c r="B30" s="33"/>
      <c r="C30" s="33"/>
      <c r="D30" s="33"/>
      <c r="E30" s="33"/>
      <c r="F30" s="7"/>
    </row>
    <row r="31" spans="1:6" ht="17.100000000000001" customHeight="1" x14ac:dyDescent="0.2">
      <c r="A31" s="74" t="s">
        <v>4</v>
      </c>
      <c r="B31" s="53">
        <v>0</v>
      </c>
      <c r="C31" s="53">
        <v>0</v>
      </c>
      <c r="D31" s="53">
        <v>0</v>
      </c>
      <c r="E31" s="53">
        <v>0</v>
      </c>
      <c r="F31" s="20"/>
    </row>
    <row r="32" spans="1:6" ht="17.100000000000001" customHeight="1" x14ac:dyDescent="0.2">
      <c r="A32" s="74" t="s">
        <v>5</v>
      </c>
      <c r="B32" s="53">
        <v>115</v>
      </c>
      <c r="C32" s="53">
        <v>111</v>
      </c>
      <c r="D32" s="53">
        <v>98</v>
      </c>
      <c r="E32" s="53">
        <v>67</v>
      </c>
      <c r="F32" s="20"/>
    </row>
    <row r="33" spans="1:6" ht="17.100000000000001" customHeight="1" x14ac:dyDescent="0.2">
      <c r="A33" s="74" t="s">
        <v>6</v>
      </c>
      <c r="B33" s="53">
        <v>2</v>
      </c>
      <c r="C33" s="53">
        <v>1</v>
      </c>
      <c r="D33" s="53">
        <v>1</v>
      </c>
      <c r="E33" s="53">
        <v>5</v>
      </c>
      <c r="F33" s="20"/>
    </row>
    <row r="34" spans="1:6" ht="31.5" x14ac:dyDescent="0.2">
      <c r="A34" s="74" t="s">
        <v>72</v>
      </c>
      <c r="B34" s="53">
        <v>42</v>
      </c>
      <c r="C34" s="53">
        <v>0</v>
      </c>
      <c r="D34" s="53">
        <v>0</v>
      </c>
      <c r="E34" s="53">
        <v>6</v>
      </c>
      <c r="F34" s="20"/>
    </row>
    <row r="35" spans="1:6" ht="17.100000000000001" customHeight="1" x14ac:dyDescent="0.2">
      <c r="A35" s="68"/>
      <c r="B35" s="69">
        <f>SUM(B31:B34)</f>
        <v>159</v>
      </c>
      <c r="C35" s="69">
        <f>SUM(C31:C34)</f>
        <v>112</v>
      </c>
      <c r="D35" s="69">
        <f>SUM(D31:D34)</f>
        <v>99</v>
      </c>
      <c r="E35" s="69">
        <f>SUM(E31:E34)</f>
        <v>78</v>
      </c>
      <c r="F35" s="6"/>
    </row>
    <row r="36" spans="1:6" ht="17.100000000000001" customHeight="1" x14ac:dyDescent="0.25">
      <c r="A36" s="73" t="s">
        <v>7</v>
      </c>
      <c r="B36" s="72"/>
      <c r="C36" s="72"/>
      <c r="D36" s="72"/>
      <c r="E36" s="72"/>
      <c r="F36" s="7"/>
    </row>
    <row r="37" spans="1:6" ht="17.100000000000001" customHeight="1" x14ac:dyDescent="0.25">
      <c r="A37" s="73"/>
      <c r="B37" s="72"/>
      <c r="C37" s="72"/>
      <c r="D37" s="72"/>
      <c r="E37" s="72"/>
      <c r="F37" s="7"/>
    </row>
    <row r="38" spans="1:6" ht="17.100000000000001" customHeight="1" x14ac:dyDescent="0.2">
      <c r="A38" s="74" t="s">
        <v>42</v>
      </c>
      <c r="B38" s="53">
        <v>0</v>
      </c>
      <c r="C38" s="53">
        <v>12</v>
      </c>
      <c r="D38" s="53">
        <v>8</v>
      </c>
      <c r="E38" s="53">
        <v>0</v>
      </c>
      <c r="F38" s="20"/>
    </row>
    <row r="39" spans="1:6" ht="17.100000000000001" customHeight="1" x14ac:dyDescent="0.2">
      <c r="A39" s="74" t="s">
        <v>9</v>
      </c>
      <c r="B39" s="53">
        <v>9</v>
      </c>
      <c r="C39" s="53">
        <v>10</v>
      </c>
      <c r="D39" s="53">
        <v>7</v>
      </c>
      <c r="E39" s="53">
        <v>6</v>
      </c>
      <c r="F39" s="20"/>
    </row>
    <row r="40" spans="1:6" ht="17.100000000000001" customHeight="1" x14ac:dyDescent="0.2">
      <c r="A40" s="74" t="s">
        <v>10</v>
      </c>
      <c r="B40" s="53">
        <v>150</v>
      </c>
      <c r="C40" s="53">
        <v>90</v>
      </c>
      <c r="D40" s="53">
        <v>84</v>
      </c>
      <c r="E40" s="53">
        <v>72</v>
      </c>
      <c r="F40" s="20"/>
    </row>
    <row r="41" spans="1:6" ht="17.100000000000001" customHeight="1" x14ac:dyDescent="0.2">
      <c r="A41" s="74" t="s">
        <v>6</v>
      </c>
      <c r="B41" s="53">
        <v>0</v>
      </c>
      <c r="C41" s="53">
        <v>0</v>
      </c>
      <c r="D41" s="53">
        <v>0</v>
      </c>
      <c r="E41" s="53">
        <v>0</v>
      </c>
      <c r="F41" s="20"/>
    </row>
    <row r="42" spans="1:6" ht="17.100000000000001" customHeight="1" x14ac:dyDescent="0.2">
      <c r="A42" s="68"/>
      <c r="B42" s="69">
        <f>SUM(B38:B41)</f>
        <v>159</v>
      </c>
      <c r="C42" s="69">
        <f>SUM(C38:C41)</f>
        <v>112</v>
      </c>
      <c r="D42" s="69">
        <f>SUM(D38:D41)</f>
        <v>99</v>
      </c>
      <c r="E42" s="69">
        <f>SUM(E38:E41)</f>
        <v>78</v>
      </c>
      <c r="F42" s="6"/>
    </row>
    <row r="43" spans="1:6" ht="17.100000000000001" customHeight="1" x14ac:dyDescent="0.25">
      <c r="A43" s="71" t="s">
        <v>66</v>
      </c>
      <c r="B43" s="72"/>
      <c r="C43" s="72"/>
      <c r="D43" s="72"/>
      <c r="E43" s="72"/>
    </row>
    <row r="44" spans="1:6" ht="17.100000000000001" customHeight="1" x14ac:dyDescent="0.2">
      <c r="A44" s="74" t="s">
        <v>12</v>
      </c>
      <c r="B44" s="53">
        <v>442</v>
      </c>
      <c r="C44" s="53">
        <v>365</v>
      </c>
      <c r="D44" s="53">
        <v>89</v>
      </c>
      <c r="E44" s="53">
        <f>374</f>
        <v>374</v>
      </c>
      <c r="F44" s="20"/>
    </row>
    <row r="45" spans="1:6" ht="17.100000000000001" customHeight="1" x14ac:dyDescent="0.2">
      <c r="A45" s="74" t="s">
        <v>74</v>
      </c>
      <c r="B45" s="53">
        <v>-46</v>
      </c>
      <c r="C45" s="53">
        <v>54</v>
      </c>
      <c r="D45" s="53">
        <v>16</v>
      </c>
      <c r="E45" s="53">
        <f>-105</f>
        <v>-105</v>
      </c>
      <c r="F45" s="20"/>
    </row>
    <row r="46" spans="1:6" ht="17.100000000000001" customHeight="1" x14ac:dyDescent="0.2">
      <c r="A46" s="74" t="s">
        <v>19</v>
      </c>
      <c r="B46" s="53">
        <v>9</v>
      </c>
      <c r="C46" s="53">
        <v>56</v>
      </c>
      <c r="D46" s="53">
        <v>167</v>
      </c>
      <c r="E46" s="53">
        <v>36</v>
      </c>
      <c r="F46" s="20"/>
    </row>
    <row r="47" spans="1:6" ht="17.100000000000001" customHeight="1" x14ac:dyDescent="0.2">
      <c r="A47" s="74" t="s">
        <v>13</v>
      </c>
      <c r="B47" s="53">
        <v>0</v>
      </c>
      <c r="C47" s="53">
        <v>0</v>
      </c>
      <c r="D47" s="53">
        <v>0</v>
      </c>
      <c r="E47" s="53">
        <v>0</v>
      </c>
      <c r="F47" s="20"/>
    </row>
    <row r="48" spans="1:6" ht="17.100000000000001" customHeight="1" x14ac:dyDescent="0.2">
      <c r="A48" s="68"/>
      <c r="B48" s="69">
        <f>SUM(B44:B47)</f>
        <v>405</v>
      </c>
      <c r="C48" s="69">
        <f>SUM(C44:C47)</f>
        <v>475</v>
      </c>
      <c r="D48" s="69">
        <f>SUM(D44:D47)</f>
        <v>272</v>
      </c>
      <c r="E48" s="69">
        <f>SUM(E44:E47)</f>
        <v>305</v>
      </c>
      <c r="F48" s="6"/>
    </row>
    <row r="49" spans="1:6" ht="17.100000000000001" customHeight="1" x14ac:dyDescent="0.2">
      <c r="A49" s="74" t="s">
        <v>20</v>
      </c>
      <c r="B49" s="53">
        <v>30</v>
      </c>
      <c r="C49" s="53">
        <v>42</v>
      </c>
      <c r="D49" s="53">
        <v>13</v>
      </c>
      <c r="E49" s="53">
        <v>39</v>
      </c>
      <c r="F49" s="20"/>
    </row>
    <row r="50" spans="1:6" ht="17.100000000000001" customHeight="1" x14ac:dyDescent="0.2">
      <c r="A50" s="74" t="s">
        <v>14</v>
      </c>
      <c r="B50" s="53">
        <v>350</v>
      </c>
      <c r="C50" s="53">
        <v>375</v>
      </c>
      <c r="D50" s="53">
        <v>283</v>
      </c>
      <c r="E50" s="53">
        <v>237</v>
      </c>
      <c r="F50" s="20"/>
    </row>
    <row r="51" spans="1:6" ht="17.100000000000001" customHeight="1" x14ac:dyDescent="0.2">
      <c r="A51" s="74" t="s">
        <v>15</v>
      </c>
      <c r="B51" s="53">
        <v>0</v>
      </c>
      <c r="C51" s="53">
        <v>0</v>
      </c>
      <c r="D51" s="53">
        <v>0</v>
      </c>
      <c r="E51" s="53">
        <v>1</v>
      </c>
      <c r="F51" s="20"/>
    </row>
    <row r="52" spans="1:6" ht="17.100000000000001" customHeight="1" x14ac:dyDescent="0.2">
      <c r="A52" s="74" t="s">
        <v>16</v>
      </c>
      <c r="B52" s="53">
        <v>76</v>
      </c>
      <c r="C52" s="53">
        <v>52</v>
      </c>
      <c r="D52" s="53">
        <v>52</v>
      </c>
      <c r="E52" s="53">
        <v>130</v>
      </c>
      <c r="F52" s="20"/>
    </row>
    <row r="53" spans="1:6" ht="17.100000000000001" customHeight="1" x14ac:dyDescent="0.2">
      <c r="A53" s="74" t="s">
        <v>17</v>
      </c>
      <c r="B53" s="53">
        <v>3</v>
      </c>
      <c r="C53" s="53">
        <v>2</v>
      </c>
      <c r="D53" s="53">
        <v>0</v>
      </c>
      <c r="E53" s="53">
        <v>1</v>
      </c>
      <c r="F53" s="20"/>
    </row>
    <row r="54" spans="1:6" ht="17.100000000000001" customHeight="1" x14ac:dyDescent="0.2">
      <c r="A54" s="74" t="s">
        <v>18</v>
      </c>
      <c r="B54" s="53">
        <v>0</v>
      </c>
      <c r="C54" s="53">
        <v>0</v>
      </c>
      <c r="D54" s="53">
        <v>0</v>
      </c>
      <c r="E54" s="53">
        <v>0</v>
      </c>
      <c r="F54" s="20"/>
    </row>
    <row r="55" spans="1:6" ht="17.100000000000001" customHeight="1" x14ac:dyDescent="0.2">
      <c r="A55" s="68"/>
      <c r="B55" s="69">
        <f>SUM(B49:B54)</f>
        <v>459</v>
      </c>
      <c r="C55" s="69">
        <f>SUM(C49:C54)</f>
        <v>471</v>
      </c>
      <c r="D55" s="69">
        <f>SUM(D49:D54)</f>
        <v>348</v>
      </c>
      <c r="E55" s="69">
        <f>SUM(E49:E54)</f>
        <v>408</v>
      </c>
      <c r="F55" s="6"/>
    </row>
    <row r="56" spans="1:6" ht="17.100000000000001" customHeight="1" x14ac:dyDescent="0.25">
      <c r="A56" s="74"/>
      <c r="B56" s="72"/>
      <c r="C56" s="72"/>
      <c r="D56" s="72"/>
      <c r="E56" s="72"/>
      <c r="F56" s="7"/>
    </row>
    <row r="57" spans="1:6" ht="17.100000000000001" customHeight="1" x14ac:dyDescent="0.2">
      <c r="A57" s="70" t="s">
        <v>56</v>
      </c>
      <c r="B57" s="69">
        <f>SUM(B48-B55)</f>
        <v>-54</v>
      </c>
      <c r="C57" s="69">
        <f>SUM(C48-C55)</f>
        <v>4</v>
      </c>
      <c r="D57" s="69">
        <f>SUM(D48-D55)</f>
        <v>-76</v>
      </c>
      <c r="E57" s="69">
        <f>SUM(E48-E55)</f>
        <v>-103</v>
      </c>
      <c r="F57" s="6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56"/>
  <sheetViews>
    <sheetView topLeftCell="A9" workbookViewId="0">
      <selection activeCell="G32" sqref="G32:G42"/>
    </sheetView>
  </sheetViews>
  <sheetFormatPr baseColWidth="10" defaultRowHeight="12.75" x14ac:dyDescent="0.2"/>
  <cols>
    <col min="1" max="1" width="45.140625" style="1" bestFit="1" customWidth="1"/>
    <col min="2" max="16384" width="11.42578125" style="1"/>
  </cols>
  <sheetData>
    <row r="2" spans="1:5" x14ac:dyDescent="0.2">
      <c r="A2" s="1" t="s">
        <v>1</v>
      </c>
      <c r="B2" s="1">
        <f>$E$27</f>
        <v>2017</v>
      </c>
      <c r="C2" s="1">
        <f>$D$27</f>
        <v>2018</v>
      </c>
    </row>
    <row r="3" spans="1:5" x14ac:dyDescent="0.2">
      <c r="A3" s="14"/>
      <c r="B3" s="2">
        <f>E56</f>
        <v>-5</v>
      </c>
      <c r="C3" s="2">
        <f>D56</f>
        <v>-3</v>
      </c>
      <c r="D3" s="2"/>
    </row>
    <row r="5" spans="1:5" x14ac:dyDescent="0.2">
      <c r="A5" s="1" t="s">
        <v>0</v>
      </c>
      <c r="B5" s="1">
        <f>$E$27</f>
        <v>2017</v>
      </c>
      <c r="C5" s="1">
        <f>$D$27</f>
        <v>2018</v>
      </c>
    </row>
    <row r="6" spans="1:5" x14ac:dyDescent="0.2">
      <c r="B6" s="3">
        <f>E37/E41</f>
        <v>0.88659793814432986</v>
      </c>
      <c r="C6" s="3">
        <f>D37/D41</f>
        <v>0.25617283950617287</v>
      </c>
      <c r="D6" s="3"/>
      <c r="E6" s="3"/>
    </row>
    <row r="27" spans="1:7" ht="15.75" x14ac:dyDescent="0.25">
      <c r="A27" s="61"/>
      <c r="B27" s="55"/>
      <c r="C27" s="55"/>
      <c r="D27" s="55">
        <v>2018</v>
      </c>
      <c r="E27" s="55">
        <v>2017</v>
      </c>
    </row>
    <row r="28" spans="1:7" ht="17.100000000000001" customHeight="1" x14ac:dyDescent="0.25">
      <c r="A28" s="35" t="s">
        <v>2</v>
      </c>
    </row>
    <row r="29" spans="1:7" ht="17.100000000000001" customHeight="1" x14ac:dyDescent="0.2">
      <c r="A29" s="36" t="s">
        <v>48</v>
      </c>
      <c r="F29" s="11"/>
    </row>
    <row r="30" spans="1:7" ht="17.100000000000001" customHeight="1" x14ac:dyDescent="0.2">
      <c r="A30" s="36"/>
      <c r="F30" s="7"/>
    </row>
    <row r="31" spans="1:7" ht="17.100000000000001" customHeight="1" x14ac:dyDescent="0.2">
      <c r="A31" s="8" t="s">
        <v>4</v>
      </c>
      <c r="B31" s="24"/>
      <c r="C31" s="24"/>
      <c r="D31" s="24">
        <v>1</v>
      </c>
      <c r="E31" s="24">
        <v>1</v>
      </c>
      <c r="F31" s="15"/>
    </row>
    <row r="32" spans="1:7" ht="17.100000000000001" customHeight="1" x14ac:dyDescent="0.2">
      <c r="A32" s="8" t="s">
        <v>5</v>
      </c>
      <c r="B32" s="24"/>
      <c r="C32" s="24"/>
      <c r="D32" s="24">
        <v>323</v>
      </c>
      <c r="E32" s="24">
        <v>96</v>
      </c>
      <c r="F32" s="15"/>
      <c r="G32" s="2"/>
    </row>
    <row r="33" spans="1:7" ht="17.100000000000001" customHeight="1" x14ac:dyDescent="0.2">
      <c r="A33" s="8" t="s">
        <v>6</v>
      </c>
      <c r="B33" s="24"/>
      <c r="C33" s="24"/>
      <c r="D33" s="24">
        <v>0</v>
      </c>
      <c r="E33" s="24">
        <v>0</v>
      </c>
      <c r="F33" s="15"/>
    </row>
    <row r="34" spans="1:7" ht="17.100000000000001" customHeight="1" x14ac:dyDescent="0.2">
      <c r="A34" s="56"/>
      <c r="B34" s="57"/>
      <c r="C34" s="57"/>
      <c r="D34" s="57">
        <f>SUM(D31:D33)</f>
        <v>324</v>
      </c>
      <c r="E34" s="57">
        <f>SUM(E31:E33)</f>
        <v>97</v>
      </c>
      <c r="F34" s="17"/>
    </row>
    <row r="35" spans="1:7" ht="17.100000000000001" customHeight="1" x14ac:dyDescent="0.25">
      <c r="A35" s="36" t="s">
        <v>7</v>
      </c>
      <c r="B35" s="29"/>
      <c r="C35" s="29"/>
      <c r="D35" s="29"/>
      <c r="E35" s="29"/>
      <c r="F35" s="18"/>
    </row>
    <row r="36" spans="1:7" ht="17.100000000000001" customHeight="1" x14ac:dyDescent="0.25">
      <c r="A36" s="36"/>
      <c r="B36" s="29"/>
      <c r="C36" s="29"/>
      <c r="D36" s="29"/>
      <c r="E36" s="29"/>
      <c r="F36" s="18"/>
    </row>
    <row r="37" spans="1:7" ht="17.100000000000001" customHeight="1" x14ac:dyDescent="0.2">
      <c r="A37" s="8" t="s">
        <v>42</v>
      </c>
      <c r="B37" s="24"/>
      <c r="C37" s="24"/>
      <c r="D37" s="24">
        <v>83</v>
      </c>
      <c r="E37" s="24">
        <v>86</v>
      </c>
      <c r="F37" s="15"/>
      <c r="G37" s="2"/>
    </row>
    <row r="38" spans="1:7" ht="17.100000000000001" customHeight="1" x14ac:dyDescent="0.2">
      <c r="A38" s="8" t="s">
        <v>9</v>
      </c>
      <c r="B38" s="24"/>
      <c r="C38" s="24"/>
      <c r="D38" s="24">
        <v>3</v>
      </c>
      <c r="E38" s="24">
        <v>8</v>
      </c>
      <c r="F38" s="15"/>
    </row>
    <row r="39" spans="1:7" ht="17.100000000000001" customHeight="1" x14ac:dyDescent="0.2">
      <c r="A39" s="8" t="s">
        <v>10</v>
      </c>
      <c r="B39" s="24"/>
      <c r="C39" s="24"/>
      <c r="D39" s="24">
        <v>238</v>
      </c>
      <c r="E39" s="24">
        <v>3</v>
      </c>
      <c r="F39" s="15"/>
    </row>
    <row r="40" spans="1:7" ht="17.100000000000001" customHeight="1" x14ac:dyDescent="0.2">
      <c r="A40" s="8" t="s">
        <v>6</v>
      </c>
      <c r="B40" s="24"/>
      <c r="C40" s="24"/>
      <c r="D40" s="24">
        <v>0</v>
      </c>
      <c r="E40" s="24">
        <v>0</v>
      </c>
      <c r="F40" s="15"/>
    </row>
    <row r="41" spans="1:7" ht="17.100000000000001" customHeight="1" x14ac:dyDescent="0.2">
      <c r="A41" s="56"/>
      <c r="B41" s="57"/>
      <c r="C41" s="57"/>
      <c r="D41" s="57">
        <f>SUM(D37:D40)</f>
        <v>324</v>
      </c>
      <c r="E41" s="57">
        <f>SUM(E37:E40)</f>
        <v>97</v>
      </c>
      <c r="F41" s="17"/>
      <c r="G41" s="2"/>
    </row>
    <row r="42" spans="1:7" ht="17.100000000000001" customHeight="1" x14ac:dyDescent="0.25">
      <c r="A42" s="35" t="s">
        <v>66</v>
      </c>
      <c r="B42" s="29"/>
      <c r="C42" s="29"/>
      <c r="D42" s="29"/>
      <c r="E42" s="29"/>
      <c r="F42" s="2"/>
    </row>
    <row r="43" spans="1:7" ht="17.100000000000001" customHeight="1" x14ac:dyDescent="0.25">
      <c r="A43" s="35"/>
      <c r="B43" s="29"/>
      <c r="C43" s="29"/>
      <c r="D43" s="29"/>
      <c r="E43" s="29"/>
      <c r="F43" s="2"/>
    </row>
    <row r="44" spans="1:7" ht="17.100000000000001" customHeight="1" x14ac:dyDescent="0.2">
      <c r="A44" s="8" t="s">
        <v>12</v>
      </c>
      <c r="B44" s="24"/>
      <c r="C44" s="24"/>
      <c r="D44" s="24">
        <v>186</v>
      </c>
      <c r="E44" s="24">
        <v>0</v>
      </c>
      <c r="F44" s="15"/>
      <c r="G44" s="2"/>
    </row>
    <row r="45" spans="1:7" ht="17.100000000000001" customHeight="1" x14ac:dyDescent="0.2">
      <c r="A45" s="8" t="s">
        <v>19</v>
      </c>
      <c r="B45" s="24"/>
      <c r="C45" s="24"/>
      <c r="D45" s="24">
        <v>19</v>
      </c>
      <c r="E45" s="24">
        <v>3</v>
      </c>
      <c r="F45" s="15"/>
    </row>
    <row r="46" spans="1:7" ht="17.100000000000001" customHeight="1" x14ac:dyDescent="0.2">
      <c r="A46" s="8" t="s">
        <v>13</v>
      </c>
      <c r="B46" s="24"/>
      <c r="C46" s="24"/>
      <c r="D46" s="24">
        <v>0</v>
      </c>
      <c r="E46" s="24">
        <v>0</v>
      </c>
      <c r="F46" s="15"/>
    </row>
    <row r="47" spans="1:7" ht="17.100000000000001" customHeight="1" x14ac:dyDescent="0.2">
      <c r="A47" s="56"/>
      <c r="B47" s="57"/>
      <c r="C47" s="57"/>
      <c r="D47" s="57">
        <f>SUM(D44:D46)</f>
        <v>205</v>
      </c>
      <c r="E47" s="57">
        <f>SUM(E44:E46)</f>
        <v>3</v>
      </c>
      <c r="F47" s="17"/>
    </row>
    <row r="48" spans="1:7" ht="17.100000000000001" customHeight="1" x14ac:dyDescent="0.2">
      <c r="A48" s="8" t="s">
        <v>20</v>
      </c>
      <c r="B48" s="24"/>
      <c r="C48" s="24"/>
      <c r="D48" s="24">
        <v>202</v>
      </c>
      <c r="E48" s="24">
        <v>0</v>
      </c>
      <c r="F48" s="15"/>
    </row>
    <row r="49" spans="1:6" ht="17.100000000000001" customHeight="1" x14ac:dyDescent="0.2">
      <c r="A49" s="8" t="s">
        <v>14</v>
      </c>
      <c r="B49" s="24"/>
      <c r="C49" s="24"/>
      <c r="D49" s="24">
        <v>0</v>
      </c>
      <c r="E49" s="24">
        <v>0</v>
      </c>
      <c r="F49" s="15"/>
    </row>
    <row r="50" spans="1:6" ht="17.100000000000001" customHeight="1" x14ac:dyDescent="0.2">
      <c r="A50" s="8" t="s">
        <v>15</v>
      </c>
      <c r="B50" s="24"/>
      <c r="C50" s="24"/>
      <c r="D50" s="24">
        <v>0</v>
      </c>
      <c r="E50" s="24">
        <v>0</v>
      </c>
      <c r="F50" s="15"/>
    </row>
    <row r="51" spans="1:6" ht="17.100000000000001" customHeight="1" x14ac:dyDescent="0.2">
      <c r="A51" s="8" t="s">
        <v>16</v>
      </c>
      <c r="B51" s="24"/>
      <c r="C51" s="24"/>
      <c r="D51" s="24">
        <v>6</v>
      </c>
      <c r="E51" s="24">
        <v>8</v>
      </c>
      <c r="F51" s="15"/>
    </row>
    <row r="52" spans="1:6" ht="17.100000000000001" customHeight="1" x14ac:dyDescent="0.2">
      <c r="A52" s="8" t="s">
        <v>17</v>
      </c>
      <c r="B52" s="24"/>
      <c r="C52" s="24"/>
      <c r="D52" s="24">
        <v>0</v>
      </c>
      <c r="E52" s="24">
        <v>0</v>
      </c>
      <c r="F52" s="15"/>
    </row>
    <row r="53" spans="1:6" ht="17.100000000000001" customHeight="1" x14ac:dyDescent="0.2">
      <c r="A53" s="8" t="s">
        <v>18</v>
      </c>
      <c r="B53" s="24"/>
      <c r="C53" s="24"/>
      <c r="D53" s="24">
        <v>0</v>
      </c>
      <c r="E53" s="24">
        <v>0</v>
      </c>
      <c r="F53" s="15"/>
    </row>
    <row r="54" spans="1:6" ht="17.100000000000001" customHeight="1" x14ac:dyDescent="0.2">
      <c r="A54" s="56"/>
      <c r="B54" s="57"/>
      <c r="C54" s="57"/>
      <c r="D54" s="57">
        <f>SUM(D48:D53)</f>
        <v>208</v>
      </c>
      <c r="E54" s="57">
        <f>SUM(E48:E53)</f>
        <v>8</v>
      </c>
      <c r="F54" s="17"/>
    </row>
    <row r="55" spans="1:6" ht="17.100000000000001" customHeight="1" x14ac:dyDescent="0.25">
      <c r="A55" s="8"/>
      <c r="B55" s="29"/>
      <c r="C55" s="29"/>
      <c r="D55" s="29"/>
      <c r="E55" s="29"/>
      <c r="F55" s="18"/>
    </row>
    <row r="56" spans="1:6" ht="17.100000000000001" customHeight="1" x14ac:dyDescent="0.2">
      <c r="A56" s="70" t="s">
        <v>56</v>
      </c>
      <c r="B56" s="69"/>
      <c r="C56" s="69"/>
      <c r="D56" s="69">
        <f>SUM(D47-D54)</f>
        <v>-3</v>
      </c>
      <c r="E56" s="69">
        <f>SUM(E47-E54)</f>
        <v>-5</v>
      </c>
      <c r="F56" s="91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56"/>
  <sheetViews>
    <sheetView topLeftCell="A24" workbookViewId="0">
      <selection activeCell="G31" sqref="G31:G43"/>
    </sheetView>
  </sheetViews>
  <sheetFormatPr baseColWidth="10" defaultRowHeight="12.75" x14ac:dyDescent="0.2"/>
  <cols>
    <col min="1" max="1" width="45.140625" style="1" bestFit="1" customWidth="1"/>
    <col min="2" max="16384" width="11.42578125" style="1"/>
  </cols>
  <sheetData>
    <row r="2" spans="1:5" x14ac:dyDescent="0.2">
      <c r="A2" s="1" t="s">
        <v>1</v>
      </c>
      <c r="B2" s="1">
        <f>$E$27</f>
        <v>2017</v>
      </c>
      <c r="C2" s="1">
        <f>$D$27</f>
        <v>2018</v>
      </c>
    </row>
    <row r="3" spans="1:5" x14ac:dyDescent="0.2">
      <c r="A3" s="14"/>
      <c r="B3" s="2">
        <f>E56</f>
        <v>2839</v>
      </c>
      <c r="C3" s="2">
        <f>D56</f>
        <v>3858</v>
      </c>
      <c r="D3" s="2"/>
    </row>
    <row r="5" spans="1:5" x14ac:dyDescent="0.2">
      <c r="A5" s="1" t="s">
        <v>0</v>
      </c>
      <c r="B5" s="1">
        <f>$E$27</f>
        <v>2017</v>
      </c>
      <c r="C5" s="1">
        <f>$D$27</f>
        <v>2018</v>
      </c>
    </row>
    <row r="6" spans="1:5" x14ac:dyDescent="0.2">
      <c r="B6" s="3">
        <f>E37/E41</f>
        <v>0.50808595480726626</v>
      </c>
      <c r="C6" s="3">
        <f>D37/D41</f>
        <v>0.4541389546462255</v>
      </c>
      <c r="D6" s="3"/>
      <c r="E6" s="3"/>
    </row>
    <row r="27" spans="1:7" ht="15.75" x14ac:dyDescent="0.25">
      <c r="A27" s="61"/>
      <c r="B27" s="55"/>
      <c r="C27" s="55"/>
      <c r="D27" s="55">
        <v>2018</v>
      </c>
      <c r="E27" s="55">
        <v>2017</v>
      </c>
    </row>
    <row r="28" spans="1:7" ht="17.100000000000001" customHeight="1" x14ac:dyDescent="0.25">
      <c r="A28" s="35" t="s">
        <v>2</v>
      </c>
    </row>
    <row r="29" spans="1:7" ht="17.100000000000001" customHeight="1" x14ac:dyDescent="0.2">
      <c r="A29" s="36" t="s">
        <v>48</v>
      </c>
      <c r="F29" s="11"/>
    </row>
    <row r="30" spans="1:7" ht="17.100000000000001" customHeight="1" x14ac:dyDescent="0.2">
      <c r="A30" s="36"/>
      <c r="F30" s="7"/>
    </row>
    <row r="31" spans="1:7" ht="17.100000000000001" customHeight="1" x14ac:dyDescent="0.2">
      <c r="A31" s="8" t="s">
        <v>4</v>
      </c>
      <c r="B31" s="24"/>
      <c r="C31" s="24"/>
      <c r="D31" s="24">
        <v>1133</v>
      </c>
      <c r="E31" s="24">
        <v>2722</v>
      </c>
      <c r="F31" s="15"/>
    </row>
    <row r="32" spans="1:7" ht="17.100000000000001" customHeight="1" x14ac:dyDescent="0.2">
      <c r="A32" s="8" t="s">
        <v>5</v>
      </c>
      <c r="B32" s="24"/>
      <c r="C32" s="24"/>
      <c r="D32" s="24">
        <v>25192</v>
      </c>
      <c r="E32" s="24">
        <v>15119</v>
      </c>
      <c r="F32" s="15"/>
      <c r="G32" s="2"/>
    </row>
    <row r="33" spans="1:7" ht="17.100000000000001" customHeight="1" x14ac:dyDescent="0.2">
      <c r="A33" s="8" t="s">
        <v>6</v>
      </c>
      <c r="B33" s="24"/>
      <c r="C33" s="24"/>
      <c r="D33" s="24">
        <v>288</v>
      </c>
      <c r="E33" s="24">
        <v>215</v>
      </c>
      <c r="F33" s="15"/>
    </row>
    <row r="34" spans="1:7" ht="17.100000000000001" customHeight="1" x14ac:dyDescent="0.2">
      <c r="A34" s="56"/>
      <c r="B34" s="57"/>
      <c r="C34" s="57"/>
      <c r="D34" s="57">
        <f>SUM(D31:D33)</f>
        <v>26613</v>
      </c>
      <c r="E34" s="57">
        <f>SUM(E31:E33)</f>
        <v>18056</v>
      </c>
      <c r="F34" s="17"/>
    </row>
    <row r="35" spans="1:7" ht="17.100000000000001" customHeight="1" x14ac:dyDescent="0.25">
      <c r="A35" s="36" t="s">
        <v>7</v>
      </c>
      <c r="B35" s="29"/>
      <c r="C35" s="29"/>
      <c r="D35" s="29"/>
      <c r="E35" s="29"/>
      <c r="F35" s="18"/>
    </row>
    <row r="36" spans="1:7" ht="17.100000000000001" customHeight="1" x14ac:dyDescent="0.25">
      <c r="A36" s="36"/>
      <c r="B36" s="29"/>
      <c r="C36" s="29"/>
      <c r="D36" s="29"/>
      <c r="E36" s="29"/>
      <c r="F36" s="18"/>
    </row>
    <row r="37" spans="1:7" ht="17.100000000000001" customHeight="1" x14ac:dyDescent="0.2">
      <c r="A37" s="8" t="s">
        <v>42</v>
      </c>
      <c r="B37" s="24"/>
      <c r="C37" s="24"/>
      <c r="D37" s="24">
        <v>12086</v>
      </c>
      <c r="E37" s="24">
        <v>9174</v>
      </c>
      <c r="F37" s="15"/>
      <c r="G37" s="2"/>
    </row>
    <row r="38" spans="1:7" ht="17.100000000000001" customHeight="1" x14ac:dyDescent="0.2">
      <c r="A38" s="8" t="s">
        <v>9</v>
      </c>
      <c r="B38" s="24"/>
      <c r="C38" s="24"/>
      <c r="D38" s="24">
        <v>8677</v>
      </c>
      <c r="E38" s="24">
        <v>3855</v>
      </c>
      <c r="F38" s="15"/>
    </row>
    <row r="39" spans="1:7" ht="17.100000000000001" customHeight="1" x14ac:dyDescent="0.2">
      <c r="A39" s="8" t="s">
        <v>10</v>
      </c>
      <c r="B39" s="24"/>
      <c r="C39" s="24"/>
      <c r="D39" s="24">
        <v>5850</v>
      </c>
      <c r="E39" s="24">
        <v>5027</v>
      </c>
      <c r="F39" s="15"/>
    </row>
    <row r="40" spans="1:7" ht="17.100000000000001" customHeight="1" x14ac:dyDescent="0.2">
      <c r="A40" s="8" t="s">
        <v>6</v>
      </c>
      <c r="B40" s="24"/>
      <c r="C40" s="24"/>
      <c r="D40" s="24">
        <v>0</v>
      </c>
      <c r="E40" s="24">
        <v>0</v>
      </c>
      <c r="F40" s="15"/>
    </row>
    <row r="41" spans="1:7" ht="17.100000000000001" customHeight="1" x14ac:dyDescent="0.2">
      <c r="A41" s="56"/>
      <c r="B41" s="57"/>
      <c r="C41" s="57"/>
      <c r="D41" s="57">
        <f>SUM(D37:D40)</f>
        <v>26613</v>
      </c>
      <c r="E41" s="57">
        <f>SUM(E37:E40)</f>
        <v>18056</v>
      </c>
      <c r="F41" s="17"/>
      <c r="G41" s="2"/>
    </row>
    <row r="42" spans="1:7" ht="17.100000000000001" customHeight="1" x14ac:dyDescent="0.25">
      <c r="A42" s="35" t="s">
        <v>66</v>
      </c>
      <c r="B42" s="29"/>
      <c r="C42" s="29"/>
      <c r="D42" s="29"/>
      <c r="E42" s="29"/>
      <c r="F42" s="2"/>
    </row>
    <row r="43" spans="1:7" ht="17.100000000000001" customHeight="1" x14ac:dyDescent="0.25">
      <c r="A43" s="35"/>
      <c r="B43" s="29"/>
      <c r="C43" s="29"/>
      <c r="D43" s="29"/>
      <c r="E43" s="29"/>
      <c r="F43" s="2"/>
    </row>
    <row r="44" spans="1:7" ht="17.100000000000001" customHeight="1" x14ac:dyDescent="0.2">
      <c r="A44" s="8" t="s">
        <v>12</v>
      </c>
      <c r="B44" s="24"/>
      <c r="C44" s="24"/>
      <c r="D44" s="24">
        <v>43468</v>
      </c>
      <c r="E44" s="24">
        <v>25961</v>
      </c>
      <c r="F44" s="15"/>
      <c r="G44" s="2"/>
    </row>
    <row r="45" spans="1:7" ht="17.100000000000001" customHeight="1" x14ac:dyDescent="0.2">
      <c r="A45" s="8" t="s">
        <v>19</v>
      </c>
      <c r="B45" s="24"/>
      <c r="C45" s="24"/>
      <c r="D45" s="24">
        <v>91</v>
      </c>
      <c r="E45" s="24">
        <v>102</v>
      </c>
      <c r="F45" s="15"/>
    </row>
    <row r="46" spans="1:7" ht="17.100000000000001" customHeight="1" x14ac:dyDescent="0.2">
      <c r="A46" s="8" t="s">
        <v>13</v>
      </c>
      <c r="B46" s="24"/>
      <c r="C46" s="24"/>
      <c r="D46" s="24">
        <v>4</v>
      </c>
      <c r="E46" s="24">
        <v>36</v>
      </c>
      <c r="F46" s="15"/>
    </row>
    <row r="47" spans="1:7" ht="17.100000000000001" customHeight="1" x14ac:dyDescent="0.2">
      <c r="A47" s="56"/>
      <c r="B47" s="57"/>
      <c r="C47" s="57"/>
      <c r="D47" s="57">
        <f>SUM(D44:D46)</f>
        <v>43563</v>
      </c>
      <c r="E47" s="57">
        <f>SUM(E44:E46)</f>
        <v>26099</v>
      </c>
      <c r="F47" s="17"/>
    </row>
    <row r="48" spans="1:7" ht="17.100000000000001" customHeight="1" x14ac:dyDescent="0.2">
      <c r="A48" s="8" t="s">
        <v>20</v>
      </c>
      <c r="B48" s="24"/>
      <c r="C48" s="24"/>
      <c r="D48" s="24">
        <v>19973</v>
      </c>
      <c r="E48" s="24">
        <v>9774</v>
      </c>
      <c r="F48" s="15"/>
    </row>
    <row r="49" spans="1:6" ht="17.100000000000001" customHeight="1" x14ac:dyDescent="0.2">
      <c r="A49" s="8" t="s">
        <v>14</v>
      </c>
      <c r="B49" s="24"/>
      <c r="C49" s="24"/>
      <c r="D49" s="24">
        <v>13574</v>
      </c>
      <c r="E49" s="24">
        <v>9422</v>
      </c>
      <c r="F49" s="15"/>
    </row>
    <row r="50" spans="1:6" ht="17.100000000000001" customHeight="1" x14ac:dyDescent="0.2">
      <c r="A50" s="8" t="s">
        <v>15</v>
      </c>
      <c r="B50" s="24"/>
      <c r="C50" s="24"/>
      <c r="D50" s="24">
        <v>358</v>
      </c>
      <c r="E50" s="24">
        <v>206</v>
      </c>
      <c r="F50" s="15"/>
    </row>
    <row r="51" spans="1:6" ht="17.100000000000001" customHeight="1" x14ac:dyDescent="0.2">
      <c r="A51" s="8" t="s">
        <v>16</v>
      </c>
      <c r="B51" s="24"/>
      <c r="C51" s="24"/>
      <c r="D51" s="24">
        <f>4060+39</f>
        <v>4099</v>
      </c>
      <c r="E51" s="24">
        <f>2537+34</f>
        <v>2571</v>
      </c>
      <c r="F51" s="15"/>
    </row>
    <row r="52" spans="1:6" ht="17.100000000000001" customHeight="1" x14ac:dyDescent="0.2">
      <c r="A52" s="8" t="s">
        <v>17</v>
      </c>
      <c r="B52" s="24"/>
      <c r="C52" s="24"/>
      <c r="D52" s="24">
        <v>0</v>
      </c>
      <c r="E52" s="24">
        <v>0</v>
      </c>
      <c r="F52" s="15"/>
    </row>
    <row r="53" spans="1:6" ht="17.100000000000001" customHeight="1" x14ac:dyDescent="0.2">
      <c r="A53" s="8" t="s">
        <v>18</v>
      </c>
      <c r="B53" s="24"/>
      <c r="C53" s="24"/>
      <c r="D53" s="24">
        <v>1701</v>
      </c>
      <c r="E53" s="24">
        <v>1287</v>
      </c>
      <c r="F53" s="15"/>
    </row>
    <row r="54" spans="1:6" ht="17.100000000000001" customHeight="1" x14ac:dyDescent="0.2">
      <c r="A54" s="56"/>
      <c r="B54" s="57"/>
      <c r="C54" s="57"/>
      <c r="D54" s="57">
        <f>SUM(D48:D53)</f>
        <v>39705</v>
      </c>
      <c r="E54" s="57">
        <f>SUM(E48:E53)</f>
        <v>23260</v>
      </c>
      <c r="F54" s="17"/>
    </row>
    <row r="55" spans="1:6" ht="17.100000000000001" customHeight="1" x14ac:dyDescent="0.25">
      <c r="A55" s="8"/>
      <c r="B55" s="29"/>
      <c r="C55" s="29"/>
      <c r="D55" s="29"/>
      <c r="E55" s="29"/>
      <c r="F55" s="18"/>
    </row>
    <row r="56" spans="1:6" ht="17.100000000000001" customHeight="1" x14ac:dyDescent="0.2">
      <c r="A56" s="70" t="s">
        <v>56</v>
      </c>
      <c r="B56" s="69"/>
      <c r="C56" s="69"/>
      <c r="D56" s="69">
        <f>SUM(D47-D54)</f>
        <v>3858</v>
      </c>
      <c r="E56" s="69">
        <f>SUM(E47-E54)</f>
        <v>2839</v>
      </c>
      <c r="F56" s="91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G55"/>
  <sheetViews>
    <sheetView topLeftCell="A21" workbookViewId="0">
      <selection activeCell="G35" sqref="G35"/>
    </sheetView>
  </sheetViews>
  <sheetFormatPr baseColWidth="10" defaultRowHeight="12.75" x14ac:dyDescent="0.2"/>
  <cols>
    <col min="1" max="1" width="36.140625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$E$27</f>
        <v>2017</v>
      </c>
      <c r="C2" s="1">
        <f>$D$27</f>
        <v>2018</v>
      </c>
    </row>
    <row r="3" spans="1:5" x14ac:dyDescent="0.2">
      <c r="A3" s="14"/>
      <c r="B3" s="2">
        <f>E55</f>
        <v>0</v>
      </c>
      <c r="C3" s="2">
        <f>D55</f>
        <v>0</v>
      </c>
      <c r="D3" s="2"/>
      <c r="E3" s="2"/>
    </row>
    <row r="5" spans="1:5" x14ac:dyDescent="0.2">
      <c r="A5" s="1" t="s">
        <v>0</v>
      </c>
      <c r="B5" s="1">
        <f>$E$27</f>
        <v>2017</v>
      </c>
      <c r="C5" s="1">
        <f>$D$27</f>
        <v>2018</v>
      </c>
    </row>
    <row r="6" spans="1:5" x14ac:dyDescent="0.2">
      <c r="B6" s="3">
        <f>E37/E41</f>
        <v>0.49666606595783025</v>
      </c>
      <c r="C6" s="3">
        <f>D37/D41</f>
        <v>0.40183646698731962</v>
      </c>
      <c r="D6" s="3"/>
      <c r="E6" s="3"/>
    </row>
    <row r="27" spans="1:6" ht="15.75" x14ac:dyDescent="0.25">
      <c r="A27" s="145"/>
      <c r="B27" s="67"/>
      <c r="C27" s="67"/>
      <c r="D27" s="67">
        <v>2018</v>
      </c>
      <c r="E27" s="67">
        <v>2017</v>
      </c>
    </row>
    <row r="28" spans="1:6" ht="17.100000000000001" customHeight="1" x14ac:dyDescent="0.25">
      <c r="A28" s="71" t="s">
        <v>2</v>
      </c>
      <c r="B28" s="33"/>
      <c r="C28" s="33"/>
      <c r="D28" s="33"/>
      <c r="E28" s="33"/>
    </row>
    <row r="29" spans="1:6" ht="17.100000000000001" customHeight="1" x14ac:dyDescent="0.2">
      <c r="A29" s="73" t="s">
        <v>48</v>
      </c>
      <c r="B29" s="33"/>
      <c r="C29" s="33"/>
      <c r="D29" s="33"/>
      <c r="E29" s="33"/>
      <c r="F29" s="11"/>
    </row>
    <row r="30" spans="1:6" ht="17.100000000000001" customHeight="1" x14ac:dyDescent="0.2">
      <c r="A30" s="73"/>
      <c r="B30" s="33"/>
      <c r="C30" s="33"/>
      <c r="D30" s="33"/>
      <c r="E30" s="33"/>
      <c r="F30" s="7"/>
    </row>
    <row r="31" spans="1:6" ht="17.100000000000001" customHeight="1" x14ac:dyDescent="0.2">
      <c r="A31" s="74" t="s">
        <v>4</v>
      </c>
      <c r="B31" s="53"/>
      <c r="C31" s="53"/>
      <c r="D31" s="53">
        <v>45</v>
      </c>
      <c r="E31" s="53">
        <v>52</v>
      </c>
      <c r="F31" s="20"/>
    </row>
    <row r="32" spans="1:6" ht="17.100000000000001" customHeight="1" x14ac:dyDescent="0.2">
      <c r="A32" s="74" t="s">
        <v>5</v>
      </c>
      <c r="B32" s="53"/>
      <c r="C32" s="53"/>
      <c r="D32" s="53">
        <v>6816</v>
      </c>
      <c r="E32" s="53">
        <v>5497</v>
      </c>
      <c r="F32" s="20"/>
    </row>
    <row r="33" spans="1:7" ht="17.100000000000001" customHeight="1" x14ac:dyDescent="0.2">
      <c r="A33" s="74" t="s">
        <v>6</v>
      </c>
      <c r="B33" s="53"/>
      <c r="C33" s="53"/>
      <c r="D33" s="53">
        <v>0</v>
      </c>
      <c r="E33" s="53">
        <v>0</v>
      </c>
      <c r="F33" s="20"/>
    </row>
    <row r="34" spans="1:7" ht="17.100000000000001" customHeight="1" x14ac:dyDescent="0.2">
      <c r="A34" s="68"/>
      <c r="B34" s="69"/>
      <c r="C34" s="69"/>
      <c r="D34" s="69">
        <f>SUM(D31:D33)</f>
        <v>6861</v>
      </c>
      <c r="E34" s="69">
        <f>SUM(E31:E33)</f>
        <v>5549</v>
      </c>
      <c r="F34" s="6"/>
    </row>
    <row r="35" spans="1:7" ht="17.100000000000001" customHeight="1" x14ac:dyDescent="0.25">
      <c r="A35" s="73" t="s">
        <v>7</v>
      </c>
      <c r="B35" s="72"/>
      <c r="C35" s="72"/>
      <c r="D35" s="72"/>
      <c r="E35" s="72"/>
      <c r="F35" s="7"/>
      <c r="G35" s="1" t="s">
        <v>52</v>
      </c>
    </row>
    <row r="36" spans="1:7" ht="17.100000000000001" customHeight="1" x14ac:dyDescent="0.25">
      <c r="A36" s="73"/>
      <c r="B36" s="72"/>
      <c r="C36" s="72"/>
      <c r="D36" s="72"/>
      <c r="E36" s="72"/>
      <c r="F36" s="7"/>
    </row>
    <row r="37" spans="1:7" ht="17.100000000000001" customHeight="1" x14ac:dyDescent="0.2">
      <c r="A37" s="74" t="s">
        <v>42</v>
      </c>
      <c r="B37" s="53"/>
      <c r="C37" s="53"/>
      <c r="D37" s="53">
        <v>2757</v>
      </c>
      <c r="E37" s="53">
        <v>2756</v>
      </c>
      <c r="F37" s="20"/>
    </row>
    <row r="38" spans="1:7" ht="17.100000000000001" customHeight="1" x14ac:dyDescent="0.2">
      <c r="A38" s="74" t="s">
        <v>9</v>
      </c>
      <c r="B38" s="53"/>
      <c r="C38" s="53"/>
      <c r="D38" s="53">
        <v>1904</v>
      </c>
      <c r="E38" s="53">
        <v>1277</v>
      </c>
      <c r="F38" s="20"/>
    </row>
    <row r="39" spans="1:7" ht="17.100000000000001" customHeight="1" x14ac:dyDescent="0.2">
      <c r="A39" s="74" t="s">
        <v>10</v>
      </c>
      <c r="B39" s="53"/>
      <c r="C39" s="53"/>
      <c r="D39" s="53">
        <v>2200</v>
      </c>
      <c r="E39" s="53">
        <v>1516</v>
      </c>
      <c r="F39" s="20"/>
    </row>
    <row r="40" spans="1:7" ht="17.100000000000001" customHeight="1" x14ac:dyDescent="0.2">
      <c r="A40" s="74" t="s">
        <v>6</v>
      </c>
      <c r="B40" s="53"/>
      <c r="C40" s="53"/>
      <c r="D40" s="53">
        <v>0</v>
      </c>
      <c r="E40" s="53">
        <v>0</v>
      </c>
      <c r="F40" s="20"/>
    </row>
    <row r="41" spans="1:7" ht="17.100000000000001" customHeight="1" x14ac:dyDescent="0.2">
      <c r="A41" s="68"/>
      <c r="B41" s="69"/>
      <c r="C41" s="69"/>
      <c r="D41" s="69">
        <f>SUM(D37:D40)</f>
        <v>6861</v>
      </c>
      <c r="E41" s="69">
        <f>SUM(E37:E40)</f>
        <v>5549</v>
      </c>
      <c r="F41" s="6"/>
    </row>
    <row r="42" spans="1:7" ht="17.100000000000001" customHeight="1" x14ac:dyDescent="0.25">
      <c r="A42" s="71" t="s">
        <v>66</v>
      </c>
      <c r="B42" s="72"/>
      <c r="C42" s="72"/>
      <c r="D42" s="72"/>
      <c r="E42" s="72"/>
    </row>
    <row r="43" spans="1:7" ht="17.100000000000001" customHeight="1" x14ac:dyDescent="0.2">
      <c r="A43" s="74" t="s">
        <v>12</v>
      </c>
      <c r="B43" s="53"/>
      <c r="C43" s="53"/>
      <c r="D43" s="53">
        <v>12797</v>
      </c>
      <c r="E43" s="53">
        <v>10652</v>
      </c>
      <c r="F43" s="20"/>
    </row>
    <row r="44" spans="1:7" ht="17.100000000000001" customHeight="1" x14ac:dyDescent="0.2">
      <c r="A44" s="74" t="s">
        <v>19</v>
      </c>
      <c r="B44" s="53"/>
      <c r="C44" s="53"/>
      <c r="D44" s="53">
        <f>15+7</f>
        <v>22</v>
      </c>
      <c r="E44" s="53">
        <f>-109+8</f>
        <v>-101</v>
      </c>
      <c r="F44" s="20"/>
    </row>
    <row r="45" spans="1:7" ht="17.100000000000001" customHeight="1" x14ac:dyDescent="0.2">
      <c r="A45" s="74" t="s">
        <v>13</v>
      </c>
      <c r="B45" s="53"/>
      <c r="C45" s="53"/>
      <c r="D45" s="53">
        <v>0</v>
      </c>
      <c r="E45" s="53">
        <v>0</v>
      </c>
      <c r="F45" s="20"/>
    </row>
    <row r="46" spans="1:7" ht="17.100000000000001" customHeight="1" x14ac:dyDescent="0.2">
      <c r="A46" s="68"/>
      <c r="B46" s="69"/>
      <c r="C46" s="69"/>
      <c r="D46" s="69">
        <f>SUM(D43:D45)</f>
        <v>12819</v>
      </c>
      <c r="E46" s="69">
        <f>SUM(E43:E45)</f>
        <v>10551</v>
      </c>
      <c r="F46" s="6"/>
    </row>
    <row r="47" spans="1:7" ht="17.100000000000001" customHeight="1" x14ac:dyDescent="0.2">
      <c r="A47" s="74" t="s">
        <v>20</v>
      </c>
      <c r="B47" s="53"/>
      <c r="C47" s="53"/>
      <c r="D47" s="53">
        <v>11027</v>
      </c>
      <c r="E47" s="53">
        <v>8473</v>
      </c>
      <c r="F47" s="20"/>
    </row>
    <row r="48" spans="1:7" ht="17.100000000000001" customHeight="1" x14ac:dyDescent="0.2">
      <c r="A48" s="74" t="s">
        <v>14</v>
      </c>
      <c r="B48" s="53"/>
      <c r="C48" s="53"/>
      <c r="D48" s="53">
        <v>1358</v>
      </c>
      <c r="E48" s="53">
        <v>1104</v>
      </c>
      <c r="F48" s="20"/>
    </row>
    <row r="49" spans="1:6" ht="17.100000000000001" customHeight="1" x14ac:dyDescent="0.2">
      <c r="A49" s="74" t="s">
        <v>15</v>
      </c>
      <c r="B49" s="53"/>
      <c r="C49" s="53"/>
      <c r="D49" s="53">
        <v>28</v>
      </c>
      <c r="E49" s="53">
        <v>22</v>
      </c>
      <c r="F49" s="20"/>
    </row>
    <row r="50" spans="1:6" ht="17.100000000000001" customHeight="1" x14ac:dyDescent="0.2">
      <c r="A50" s="74" t="s">
        <v>16</v>
      </c>
      <c r="B50" s="53"/>
      <c r="C50" s="53"/>
      <c r="D50" s="53">
        <v>390</v>
      </c>
      <c r="E50" s="53">
        <v>940</v>
      </c>
      <c r="F50" s="20"/>
    </row>
    <row r="51" spans="1:6" ht="17.100000000000001" customHeight="1" x14ac:dyDescent="0.2">
      <c r="A51" s="74" t="s">
        <v>17</v>
      </c>
      <c r="B51" s="53"/>
      <c r="C51" s="53"/>
      <c r="D51" s="53">
        <v>16</v>
      </c>
      <c r="E51" s="53">
        <v>12</v>
      </c>
      <c r="F51" s="20"/>
    </row>
    <row r="52" spans="1:6" ht="17.100000000000001" customHeight="1" x14ac:dyDescent="0.2">
      <c r="A52" s="74" t="s">
        <v>18</v>
      </c>
      <c r="B52" s="53"/>
      <c r="C52" s="53"/>
      <c r="D52" s="53">
        <v>0</v>
      </c>
      <c r="E52" s="53">
        <v>0</v>
      </c>
      <c r="F52" s="20"/>
    </row>
    <row r="53" spans="1:6" ht="17.100000000000001" customHeight="1" x14ac:dyDescent="0.2">
      <c r="A53" s="68"/>
      <c r="B53" s="69"/>
      <c r="C53" s="69"/>
      <c r="D53" s="69">
        <f>SUM(D47:D52)</f>
        <v>12819</v>
      </c>
      <c r="E53" s="69">
        <f>SUM(E47:E52)</f>
        <v>10551</v>
      </c>
      <c r="F53" s="6"/>
    </row>
    <row r="54" spans="1:6" ht="17.100000000000001" customHeight="1" x14ac:dyDescent="0.25">
      <c r="A54" s="74"/>
      <c r="B54" s="72"/>
      <c r="C54" s="72"/>
      <c r="D54" s="72"/>
      <c r="E54" s="72"/>
      <c r="F54" s="7"/>
    </row>
    <row r="55" spans="1:6" ht="17.100000000000001" customHeight="1" x14ac:dyDescent="0.2">
      <c r="A55" s="70" t="s">
        <v>56</v>
      </c>
      <c r="B55" s="69"/>
      <c r="C55" s="69"/>
      <c r="D55" s="69">
        <f>SUM(D46-D53)</f>
        <v>0</v>
      </c>
      <c r="E55" s="69">
        <f>SUM(E46-E53)</f>
        <v>0</v>
      </c>
      <c r="F55" s="6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/>
  <dimension ref="A2:F56"/>
  <sheetViews>
    <sheetView topLeftCell="A23" workbookViewId="0">
      <selection activeCell="A27" sqref="A27:E56"/>
    </sheetView>
  </sheetViews>
  <sheetFormatPr baseColWidth="10" defaultRowHeight="12.75" x14ac:dyDescent="0.2"/>
  <cols>
    <col min="1" max="1" width="36.85546875" style="1" bestFit="1" customWidth="1"/>
    <col min="2" max="16384" width="11.42578125" style="1"/>
  </cols>
  <sheetData>
    <row r="2" spans="1:5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A3" s="14"/>
      <c r="B3" s="2">
        <f>E56</f>
        <v>-3729</v>
      </c>
      <c r="C3" s="2">
        <f>D56</f>
        <v>1101</v>
      </c>
      <c r="D3" s="2">
        <f>C56</f>
        <v>311</v>
      </c>
      <c r="E3" s="2">
        <f>B56</f>
        <v>59</v>
      </c>
    </row>
    <row r="5" spans="1:5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E37/E42</f>
        <v>0.14527807733785242</v>
      </c>
      <c r="C6" s="3">
        <f>D37/D42</f>
        <v>0.18094755743818777</v>
      </c>
      <c r="D6" s="3">
        <f>C37/C42</f>
        <v>0.18762996062469584</v>
      </c>
      <c r="E6" s="3">
        <f>B37/B42</f>
        <v>0.10880016193512473</v>
      </c>
    </row>
    <row r="26" spans="1:6" ht="17.100000000000001" customHeight="1" x14ac:dyDescent="0.25">
      <c r="B26" s="4"/>
    </row>
    <row r="27" spans="1:6" ht="17.100000000000001" customHeight="1" x14ac:dyDescent="0.25">
      <c r="A27" s="54"/>
      <c r="B27" s="55">
        <v>2018</v>
      </c>
      <c r="C27" s="55">
        <v>2017</v>
      </c>
      <c r="D27" s="55">
        <v>2016</v>
      </c>
      <c r="E27" s="55">
        <v>2015</v>
      </c>
    </row>
    <row r="28" spans="1:6" ht="17.100000000000001" customHeight="1" x14ac:dyDescent="0.25">
      <c r="A28" s="35" t="s">
        <v>2</v>
      </c>
      <c r="B28" s="35"/>
      <c r="C28" s="35"/>
      <c r="D28" s="35"/>
      <c r="E28" s="35"/>
    </row>
    <row r="29" spans="1:6" ht="17.100000000000001" customHeight="1" x14ac:dyDescent="0.25">
      <c r="A29" s="36" t="s">
        <v>48</v>
      </c>
      <c r="B29" s="29"/>
      <c r="C29" s="29"/>
      <c r="D29" s="29"/>
      <c r="E29" s="29"/>
      <c r="F29" s="11"/>
    </row>
    <row r="30" spans="1:6" ht="17.100000000000001" customHeight="1" x14ac:dyDescent="0.2">
      <c r="A30" s="36"/>
      <c r="B30" s="36"/>
      <c r="C30" s="36"/>
      <c r="D30" s="36"/>
      <c r="E30" s="36"/>
      <c r="F30" s="7"/>
    </row>
    <row r="31" spans="1:6" ht="17.100000000000001" customHeight="1" x14ac:dyDescent="0.2">
      <c r="A31" s="8" t="s">
        <v>4</v>
      </c>
      <c r="B31" s="24">
        <v>14782</v>
      </c>
      <c r="C31" s="24">
        <v>14598</v>
      </c>
      <c r="D31" s="24">
        <v>14784</v>
      </c>
      <c r="E31" s="24">
        <v>15858</v>
      </c>
      <c r="F31" s="15"/>
    </row>
    <row r="32" spans="1:6" ht="17.100000000000001" customHeight="1" x14ac:dyDescent="0.2">
      <c r="A32" s="8" t="s">
        <v>5</v>
      </c>
      <c r="B32" s="24">
        <v>24683</v>
      </c>
      <c r="C32" s="24">
        <v>7957</v>
      </c>
      <c r="D32" s="24">
        <v>6871</v>
      </c>
      <c r="E32" s="24">
        <v>3576</v>
      </c>
      <c r="F32" s="15"/>
    </row>
    <row r="33" spans="1:6" ht="17.100000000000001" customHeight="1" x14ac:dyDescent="0.2">
      <c r="A33" s="8" t="s">
        <v>6</v>
      </c>
      <c r="B33" s="24">
        <v>57</v>
      </c>
      <c r="C33" s="24">
        <v>48</v>
      </c>
      <c r="D33" s="24">
        <v>64</v>
      </c>
      <c r="E33" s="24">
        <v>39</v>
      </c>
      <c r="F33" s="16"/>
    </row>
    <row r="34" spans="1:6" ht="17.100000000000001" customHeight="1" x14ac:dyDescent="0.2">
      <c r="A34" s="56"/>
      <c r="B34" s="57">
        <f>SUM(B31:B33)</f>
        <v>39522</v>
      </c>
      <c r="C34" s="57">
        <f>SUM(C31:C33)</f>
        <v>22603</v>
      </c>
      <c r="D34" s="57">
        <f>SUM(D31:D33)</f>
        <v>21719</v>
      </c>
      <c r="E34" s="57">
        <f>SUM(E31:E33)</f>
        <v>19473</v>
      </c>
      <c r="F34" s="17"/>
    </row>
    <row r="35" spans="1:6" ht="17.100000000000001" customHeight="1" x14ac:dyDescent="0.2">
      <c r="A35" s="36" t="s">
        <v>7</v>
      </c>
      <c r="B35" s="42"/>
      <c r="C35" s="42"/>
      <c r="D35" s="42"/>
      <c r="E35" s="42"/>
      <c r="F35" s="7"/>
    </row>
    <row r="36" spans="1:6" ht="17.100000000000001" customHeight="1" x14ac:dyDescent="0.2">
      <c r="A36" s="36"/>
      <c r="B36" s="42"/>
      <c r="C36" s="42"/>
      <c r="D36" s="42"/>
      <c r="E36" s="42"/>
      <c r="F36" s="7"/>
    </row>
    <row r="37" spans="1:6" ht="17.100000000000001" customHeight="1" x14ac:dyDescent="0.2">
      <c r="A37" s="8" t="s">
        <v>8</v>
      </c>
      <c r="B37" s="24">
        <v>4300</v>
      </c>
      <c r="C37" s="24">
        <v>4241</v>
      </c>
      <c r="D37" s="24">
        <v>3930</v>
      </c>
      <c r="E37" s="24">
        <v>2829</v>
      </c>
      <c r="F37" s="15"/>
    </row>
    <row r="38" spans="1:6" ht="17.100000000000001" customHeight="1" x14ac:dyDescent="0.2">
      <c r="A38" s="8" t="s">
        <v>43</v>
      </c>
      <c r="B38" s="24">
        <v>387</v>
      </c>
      <c r="C38" s="24">
        <v>394</v>
      </c>
      <c r="D38" s="24">
        <v>364</v>
      </c>
      <c r="E38" s="24">
        <v>390</v>
      </c>
      <c r="F38" s="15"/>
    </row>
    <row r="39" spans="1:6" ht="17.100000000000001" customHeight="1" x14ac:dyDescent="0.2">
      <c r="A39" s="8" t="s">
        <v>9</v>
      </c>
      <c r="B39" s="24">
        <v>1631</v>
      </c>
      <c r="C39" s="24">
        <v>2619</v>
      </c>
      <c r="D39" s="24">
        <v>1883</v>
      </c>
      <c r="E39" s="24">
        <v>1824</v>
      </c>
      <c r="F39" s="15"/>
    </row>
    <row r="40" spans="1:6" ht="17.100000000000001" customHeight="1" x14ac:dyDescent="0.2">
      <c r="A40" s="8" t="s">
        <v>10</v>
      </c>
      <c r="B40" s="24">
        <v>32166</v>
      </c>
      <c r="C40" s="24">
        <v>14302</v>
      </c>
      <c r="D40" s="24">
        <v>14353</v>
      </c>
      <c r="E40" s="24">
        <v>13144</v>
      </c>
      <c r="F40" s="15"/>
    </row>
    <row r="41" spans="1:6" ht="17.100000000000001" customHeight="1" x14ac:dyDescent="0.2">
      <c r="A41" s="8" t="s">
        <v>6</v>
      </c>
      <c r="B41" s="24">
        <v>1038</v>
      </c>
      <c r="C41" s="24">
        <v>1047</v>
      </c>
      <c r="D41" s="24">
        <v>1189</v>
      </c>
      <c r="E41" s="24">
        <v>1286</v>
      </c>
      <c r="F41" s="16"/>
    </row>
    <row r="42" spans="1:6" ht="17.100000000000001" customHeight="1" x14ac:dyDescent="0.2">
      <c r="A42" s="56"/>
      <c r="B42" s="57">
        <f t="shared" ref="B42" si="0">SUM(B37:B41)</f>
        <v>39522</v>
      </c>
      <c r="C42" s="57">
        <f t="shared" ref="C42:E42" si="1">SUM(C37:C41)</f>
        <v>22603</v>
      </c>
      <c r="D42" s="57">
        <f t="shared" si="1"/>
        <v>21719</v>
      </c>
      <c r="E42" s="57">
        <f t="shared" si="1"/>
        <v>19473</v>
      </c>
      <c r="F42" s="17"/>
    </row>
    <row r="43" spans="1:6" ht="17.100000000000001" customHeight="1" x14ac:dyDescent="0.25">
      <c r="A43" s="35" t="s">
        <v>66</v>
      </c>
      <c r="B43" s="140"/>
      <c r="C43" s="140"/>
      <c r="D43" s="140"/>
      <c r="E43" s="140"/>
    </row>
    <row r="44" spans="1:6" ht="17.100000000000001" customHeight="1" x14ac:dyDescent="0.2">
      <c r="A44" s="8" t="s">
        <v>21</v>
      </c>
      <c r="B44" s="24">
        <f>20899+8327+1302+3150</f>
        <v>33678</v>
      </c>
      <c r="C44" s="24">
        <f>21559+8484+1284+3085</f>
        <v>34412</v>
      </c>
      <c r="D44" s="24">
        <f>20274+8444+1305+3209</f>
        <v>33232</v>
      </c>
      <c r="E44" s="24">
        <f>19837+8165+1200+3221</f>
        <v>32423</v>
      </c>
      <c r="F44" s="15"/>
    </row>
    <row r="45" spans="1:6" ht="17.100000000000001" customHeight="1" x14ac:dyDescent="0.2">
      <c r="A45" s="8" t="s">
        <v>19</v>
      </c>
      <c r="B45" s="24">
        <f>433+98+2216+73+94+240</f>
        <v>3154</v>
      </c>
      <c r="C45" s="24">
        <f>505+1023+103+95+340</f>
        <v>2066</v>
      </c>
      <c r="D45" s="24">
        <f>556+1520+126+87+194</f>
        <v>2483</v>
      </c>
      <c r="E45" s="24">
        <f>1515+88+24+85+112+234</f>
        <v>2058</v>
      </c>
      <c r="F45" s="15"/>
    </row>
    <row r="46" spans="1:6" ht="17.100000000000001" customHeight="1" x14ac:dyDescent="0.2">
      <c r="A46" s="8" t="s">
        <v>13</v>
      </c>
      <c r="B46" s="24">
        <v>1</v>
      </c>
      <c r="C46" s="24">
        <v>1</v>
      </c>
      <c r="D46" s="24">
        <v>3</v>
      </c>
      <c r="E46" s="24">
        <v>0</v>
      </c>
      <c r="F46" s="16"/>
    </row>
    <row r="47" spans="1:6" ht="17.100000000000001" customHeight="1" x14ac:dyDescent="0.2">
      <c r="A47" s="56"/>
      <c r="B47" s="57">
        <f t="shared" ref="B47" si="2">SUM(B44:B46)</f>
        <v>36833</v>
      </c>
      <c r="C47" s="57">
        <f t="shared" ref="C47:D47" si="3">SUM(C44:C46)</f>
        <v>36479</v>
      </c>
      <c r="D47" s="57">
        <f t="shared" si="3"/>
        <v>35718</v>
      </c>
      <c r="E47" s="57">
        <f>SUM(E44:E46)</f>
        <v>34481</v>
      </c>
      <c r="F47" s="17"/>
    </row>
    <row r="48" spans="1:6" ht="17.100000000000001" customHeight="1" x14ac:dyDescent="0.2">
      <c r="A48" s="8" t="s">
        <v>14</v>
      </c>
      <c r="B48" s="24">
        <v>22658</v>
      </c>
      <c r="C48" s="24">
        <v>21700</v>
      </c>
      <c r="D48" s="24">
        <v>21195</v>
      </c>
      <c r="E48" s="24">
        <v>20803</v>
      </c>
      <c r="F48" s="15"/>
    </row>
    <row r="49" spans="1:6" ht="17.100000000000001" customHeight="1" x14ac:dyDescent="0.2">
      <c r="A49" s="8" t="s">
        <v>20</v>
      </c>
      <c r="B49" s="24">
        <v>9475</v>
      </c>
      <c r="C49" s="24">
        <v>9257</v>
      </c>
      <c r="D49" s="24">
        <v>9105</v>
      </c>
      <c r="E49" s="24">
        <v>8850</v>
      </c>
      <c r="F49" s="15"/>
    </row>
    <row r="50" spans="1:6" ht="17.100000000000001" customHeight="1" x14ac:dyDescent="0.2">
      <c r="A50" s="8" t="s">
        <v>15</v>
      </c>
      <c r="B50" s="24">
        <v>952</v>
      </c>
      <c r="C50" s="24">
        <v>935</v>
      </c>
      <c r="D50" s="24">
        <v>967</v>
      </c>
      <c r="E50" s="24">
        <v>5371</v>
      </c>
      <c r="F50" s="15"/>
    </row>
    <row r="51" spans="1:6" ht="17.100000000000001" customHeight="1" x14ac:dyDescent="0.2">
      <c r="A51" s="8" t="s">
        <v>16</v>
      </c>
      <c r="B51" s="24">
        <f>322+733+73+957+1194</f>
        <v>3279</v>
      </c>
      <c r="C51" s="24">
        <f>338+626+103+1093+1946</f>
        <v>4106</v>
      </c>
      <c r="D51" s="24">
        <f>826+1364+351+487+126</f>
        <v>3154</v>
      </c>
      <c r="E51" s="24">
        <f>357+447+112+844+1200+15</f>
        <v>2975</v>
      </c>
      <c r="F51" s="15"/>
    </row>
    <row r="52" spans="1:6" ht="17.100000000000001" customHeight="1" x14ac:dyDescent="0.2">
      <c r="A52" s="8" t="s">
        <v>17</v>
      </c>
      <c r="B52" s="24">
        <v>410</v>
      </c>
      <c r="C52" s="24">
        <v>170</v>
      </c>
      <c r="D52" s="24">
        <v>196</v>
      </c>
      <c r="E52" s="24">
        <v>211</v>
      </c>
      <c r="F52" s="15"/>
    </row>
    <row r="53" spans="1:6" ht="17.100000000000001" customHeight="1" x14ac:dyDescent="0.2">
      <c r="A53" s="8" t="s">
        <v>18</v>
      </c>
      <c r="B53" s="24">
        <v>0</v>
      </c>
      <c r="C53" s="24">
        <v>0</v>
      </c>
      <c r="D53" s="24">
        <v>0</v>
      </c>
      <c r="E53" s="24">
        <v>0</v>
      </c>
      <c r="F53" s="16"/>
    </row>
    <row r="54" spans="1:6" ht="17.100000000000001" customHeight="1" x14ac:dyDescent="0.2">
      <c r="A54" s="56"/>
      <c r="B54" s="57">
        <f t="shared" ref="B54" si="4">SUM(B48:B53)</f>
        <v>36774</v>
      </c>
      <c r="C54" s="57">
        <f t="shared" ref="C54:D54" si="5">SUM(C48:C53)</f>
        <v>36168</v>
      </c>
      <c r="D54" s="57">
        <f t="shared" si="5"/>
        <v>34617</v>
      </c>
      <c r="E54" s="57">
        <f>SUM(E48:E53)</f>
        <v>38210</v>
      </c>
      <c r="F54" s="17"/>
    </row>
    <row r="55" spans="1:6" ht="17.100000000000001" customHeight="1" x14ac:dyDescent="0.2">
      <c r="A55" s="8"/>
      <c r="B55" s="139"/>
      <c r="C55" s="139"/>
      <c r="D55" s="139"/>
      <c r="E55" s="139"/>
      <c r="F55" s="18"/>
    </row>
    <row r="56" spans="1:6" ht="17.100000000000001" customHeight="1" x14ac:dyDescent="0.2">
      <c r="A56" s="58" t="s">
        <v>56</v>
      </c>
      <c r="B56" s="57">
        <f t="shared" ref="B56" si="6">SUM(B47-B54)</f>
        <v>59</v>
      </c>
      <c r="C56" s="57">
        <f t="shared" ref="C56:D56" si="7">SUM(C47-C54)</f>
        <v>311</v>
      </c>
      <c r="D56" s="57">
        <f t="shared" si="7"/>
        <v>1101</v>
      </c>
      <c r="E56" s="57">
        <f>SUM(E47-E54)</f>
        <v>-3729</v>
      </c>
      <c r="F56" s="21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theme="6"/>
  </sheetPr>
  <dimension ref="A2:G57"/>
  <sheetViews>
    <sheetView workbookViewId="0">
      <selection activeCell="A28" sqref="A28:E56"/>
    </sheetView>
  </sheetViews>
  <sheetFormatPr baseColWidth="10" defaultRowHeight="12.75" x14ac:dyDescent="0.2"/>
  <cols>
    <col min="1" max="1" width="36.7109375" style="1" customWidth="1"/>
    <col min="2" max="16384" width="11.42578125" style="1"/>
  </cols>
  <sheetData>
    <row r="2" spans="1:5" x14ac:dyDescent="0.2">
      <c r="A2" s="1" t="s">
        <v>1</v>
      </c>
      <c r="B2" s="1">
        <f>$E$28</f>
        <v>2015</v>
      </c>
      <c r="C2" s="1">
        <f>$D$28</f>
        <v>2016</v>
      </c>
      <c r="D2" s="1">
        <f>$C$28</f>
        <v>2017</v>
      </c>
      <c r="E2" s="1">
        <f>$B$28</f>
        <v>2018</v>
      </c>
    </row>
    <row r="3" spans="1:5" x14ac:dyDescent="0.2">
      <c r="A3" s="14"/>
      <c r="B3" s="2">
        <f>E56</f>
        <v>261</v>
      </c>
      <c r="C3" s="2">
        <f>D56</f>
        <v>280</v>
      </c>
      <c r="D3" s="2">
        <f>C56</f>
        <v>309</v>
      </c>
      <c r="E3" s="2">
        <f>B56</f>
        <v>216</v>
      </c>
    </row>
    <row r="5" spans="1:5" x14ac:dyDescent="0.2">
      <c r="A5" s="1" t="s">
        <v>0</v>
      </c>
      <c r="B5" s="1">
        <f>$E$28</f>
        <v>2015</v>
      </c>
      <c r="C5" s="1">
        <f>$D$28</f>
        <v>2016</v>
      </c>
      <c r="D5" s="1">
        <f>$C$28</f>
        <v>2017</v>
      </c>
      <c r="E5" s="1">
        <f>$B$28</f>
        <v>2018</v>
      </c>
    </row>
    <row r="6" spans="1:5" x14ac:dyDescent="0.2">
      <c r="B6" s="3">
        <f>E38/E42</f>
        <v>0.94127732533219033</v>
      </c>
      <c r="C6" s="3">
        <f>D38/D42</f>
        <v>0.94739093242087258</v>
      </c>
      <c r="D6" s="3">
        <f>C38/C42</f>
        <v>0.94327731092436973</v>
      </c>
      <c r="E6" s="3">
        <f>B38/B42</f>
        <v>0.93643883326077493</v>
      </c>
    </row>
    <row r="28" spans="1:6" ht="15.75" x14ac:dyDescent="0.25">
      <c r="A28" s="61"/>
      <c r="B28" s="55">
        <v>2018</v>
      </c>
      <c r="C28" s="55">
        <v>2017</v>
      </c>
      <c r="D28" s="55">
        <v>2016</v>
      </c>
      <c r="E28" s="55">
        <v>2015</v>
      </c>
    </row>
    <row r="29" spans="1:6" ht="17.100000000000001" customHeight="1" x14ac:dyDescent="0.25">
      <c r="A29" s="35" t="s">
        <v>2</v>
      </c>
    </row>
    <row r="30" spans="1:6" ht="17.100000000000001" customHeight="1" x14ac:dyDescent="0.2">
      <c r="A30" s="36" t="s">
        <v>48</v>
      </c>
      <c r="F30" s="11"/>
    </row>
    <row r="31" spans="1:6" ht="17.100000000000001" customHeight="1" x14ac:dyDescent="0.2">
      <c r="A31" s="36"/>
      <c r="F31" s="7"/>
    </row>
    <row r="32" spans="1:6" ht="17.100000000000001" customHeight="1" x14ac:dyDescent="0.2">
      <c r="A32" s="8" t="s">
        <v>4</v>
      </c>
      <c r="B32" s="24">
        <v>2011</v>
      </c>
      <c r="C32" s="24">
        <v>2011</v>
      </c>
      <c r="D32" s="24">
        <v>2011</v>
      </c>
      <c r="E32" s="24">
        <v>2011</v>
      </c>
      <c r="F32" s="15"/>
    </row>
    <row r="33" spans="1:7" ht="17.100000000000001" customHeight="1" x14ac:dyDescent="0.2">
      <c r="A33" s="8" t="s">
        <v>5</v>
      </c>
      <c r="B33" s="24">
        <v>286</v>
      </c>
      <c r="C33" s="24">
        <v>369</v>
      </c>
      <c r="D33" s="24">
        <v>327</v>
      </c>
      <c r="E33" s="24">
        <v>322</v>
      </c>
      <c r="F33" s="15"/>
    </row>
    <row r="34" spans="1:7" ht="17.100000000000001" customHeight="1" x14ac:dyDescent="0.2">
      <c r="A34" s="8" t="s">
        <v>6</v>
      </c>
      <c r="B34" s="24">
        <v>0</v>
      </c>
      <c r="C34" s="24">
        <v>0</v>
      </c>
      <c r="D34" s="24">
        <v>0</v>
      </c>
      <c r="E34" s="24">
        <v>0</v>
      </c>
      <c r="F34" s="15"/>
    </row>
    <row r="35" spans="1:7" ht="17.100000000000001" customHeight="1" x14ac:dyDescent="0.2">
      <c r="A35" s="56"/>
      <c r="B35" s="57">
        <f>SUM(B32:B34)</f>
        <v>2297</v>
      </c>
      <c r="C35" s="57">
        <f>SUM(C32:C34)</f>
        <v>2380</v>
      </c>
      <c r="D35" s="57">
        <f>SUM(D32:D34)</f>
        <v>2338</v>
      </c>
      <c r="E35" s="57">
        <f>SUM(E32:E34)</f>
        <v>2333</v>
      </c>
      <c r="F35" s="17"/>
      <c r="G35" s="2">
        <f>C38-B38</f>
        <v>94</v>
      </c>
    </row>
    <row r="36" spans="1:7" ht="17.100000000000001" customHeight="1" x14ac:dyDescent="0.2">
      <c r="A36" s="36" t="s">
        <v>7</v>
      </c>
      <c r="B36" s="42"/>
      <c r="C36" s="42"/>
      <c r="D36" s="42"/>
      <c r="E36" s="42"/>
      <c r="F36" s="18"/>
    </row>
    <row r="37" spans="1:7" ht="17.100000000000001" customHeight="1" x14ac:dyDescent="0.2">
      <c r="A37" s="36"/>
      <c r="B37" s="42"/>
      <c r="C37" s="42"/>
      <c r="D37" s="42"/>
      <c r="E37" s="42"/>
      <c r="F37" s="18"/>
    </row>
    <row r="38" spans="1:7" ht="17.100000000000001" customHeight="1" x14ac:dyDescent="0.2">
      <c r="A38" s="8" t="s">
        <v>8</v>
      </c>
      <c r="B38" s="24">
        <v>2151</v>
      </c>
      <c r="C38" s="24">
        <v>2245</v>
      </c>
      <c r="D38" s="24">
        <v>2215</v>
      </c>
      <c r="E38" s="24">
        <v>2196</v>
      </c>
      <c r="F38" s="15"/>
    </row>
    <row r="39" spans="1:7" ht="17.100000000000001" customHeight="1" x14ac:dyDescent="0.2">
      <c r="A39" s="8" t="s">
        <v>9</v>
      </c>
      <c r="B39" s="24">
        <v>93</v>
      </c>
      <c r="C39" s="24">
        <v>103</v>
      </c>
      <c r="D39" s="24">
        <v>82</v>
      </c>
      <c r="E39" s="24">
        <v>91</v>
      </c>
      <c r="F39" s="15"/>
    </row>
    <row r="40" spans="1:7" ht="17.100000000000001" customHeight="1" x14ac:dyDescent="0.2">
      <c r="A40" s="8" t="s">
        <v>10</v>
      </c>
      <c r="B40" s="24">
        <v>47</v>
      </c>
      <c r="C40" s="24">
        <v>26</v>
      </c>
      <c r="D40" s="24">
        <v>35</v>
      </c>
      <c r="E40" s="24">
        <v>40</v>
      </c>
      <c r="F40" s="15"/>
    </row>
    <row r="41" spans="1:7" ht="17.100000000000001" customHeight="1" x14ac:dyDescent="0.2">
      <c r="A41" s="8" t="s">
        <v>6</v>
      </c>
      <c r="B41" s="24">
        <v>6</v>
      </c>
      <c r="C41" s="24">
        <v>6</v>
      </c>
      <c r="D41" s="24">
        <v>6</v>
      </c>
      <c r="E41" s="24">
        <v>6</v>
      </c>
      <c r="F41" s="15"/>
    </row>
    <row r="42" spans="1:7" ht="17.100000000000001" customHeight="1" x14ac:dyDescent="0.2">
      <c r="A42" s="56"/>
      <c r="B42" s="57">
        <f>SUM(B38:B41)</f>
        <v>2297</v>
      </c>
      <c r="C42" s="57">
        <f>SUM(C38:C41)</f>
        <v>2380</v>
      </c>
      <c r="D42" s="57">
        <f>SUM(D38:D41)</f>
        <v>2338</v>
      </c>
      <c r="E42" s="57">
        <f>SUM(E38:E41)</f>
        <v>2333</v>
      </c>
      <c r="F42" s="17"/>
    </row>
    <row r="43" spans="1:7" ht="17.100000000000001" customHeight="1" x14ac:dyDescent="0.25">
      <c r="A43" s="35" t="s">
        <v>66</v>
      </c>
      <c r="B43" s="65"/>
      <c r="C43" s="65"/>
      <c r="D43" s="65"/>
      <c r="E43" s="65"/>
      <c r="F43" s="2"/>
    </row>
    <row r="44" spans="1:7" ht="17.100000000000001" customHeight="1" x14ac:dyDescent="0.2">
      <c r="A44" s="8" t="s">
        <v>12</v>
      </c>
      <c r="B44" s="24">
        <v>313</v>
      </c>
      <c r="C44" s="24">
        <v>312</v>
      </c>
      <c r="D44" s="24">
        <v>322</v>
      </c>
      <c r="E44" s="24">
        <v>0</v>
      </c>
      <c r="F44" s="15"/>
    </row>
    <row r="45" spans="1:7" ht="17.100000000000001" customHeight="1" x14ac:dyDescent="0.2">
      <c r="A45" s="8" t="s">
        <v>19</v>
      </c>
      <c r="B45" s="24">
        <v>322</v>
      </c>
      <c r="C45" s="24">
        <v>414</v>
      </c>
      <c r="D45" s="24">
        <f>2+374</f>
        <v>376</v>
      </c>
      <c r="E45" s="24">
        <f>347+354</f>
        <v>701</v>
      </c>
      <c r="F45" s="15"/>
    </row>
    <row r="46" spans="1:7" ht="17.100000000000001" customHeight="1" x14ac:dyDescent="0.2">
      <c r="A46" s="8" t="s">
        <v>13</v>
      </c>
      <c r="B46" s="24">
        <v>0</v>
      </c>
      <c r="C46" s="24">
        <v>0</v>
      </c>
      <c r="D46" s="24">
        <v>1</v>
      </c>
      <c r="E46" s="24">
        <v>0</v>
      </c>
      <c r="F46" s="15"/>
    </row>
    <row r="47" spans="1:7" ht="17.100000000000001" customHeight="1" x14ac:dyDescent="0.2">
      <c r="A47" s="56"/>
      <c r="B47" s="57">
        <f>SUM(B44:B46)</f>
        <v>635</v>
      </c>
      <c r="C47" s="57">
        <f>SUM(C44:C46)</f>
        <v>726</v>
      </c>
      <c r="D47" s="57">
        <f>SUM(D44:D46)</f>
        <v>699</v>
      </c>
      <c r="E47" s="57">
        <f>SUM(E44:E46)</f>
        <v>701</v>
      </c>
      <c r="F47" s="17"/>
    </row>
    <row r="48" spans="1:7" ht="17.100000000000001" customHeight="1" x14ac:dyDescent="0.2">
      <c r="A48" s="8" t="s">
        <v>14</v>
      </c>
      <c r="B48" s="24">
        <v>0</v>
      </c>
      <c r="C48" s="24">
        <v>0</v>
      </c>
      <c r="D48" s="24">
        <v>32</v>
      </c>
      <c r="E48" s="24">
        <v>72</v>
      </c>
      <c r="F48" s="15"/>
    </row>
    <row r="49" spans="1:6" ht="17.100000000000001" customHeight="1" x14ac:dyDescent="0.2">
      <c r="A49" s="8" t="s">
        <v>20</v>
      </c>
      <c r="B49" s="24">
        <v>313</v>
      </c>
      <c r="C49" s="24">
        <v>315</v>
      </c>
      <c r="D49" s="24">
        <v>305</v>
      </c>
      <c r="E49" s="24">
        <v>0</v>
      </c>
      <c r="F49" s="15"/>
    </row>
    <row r="50" spans="1:6" ht="17.100000000000001" customHeight="1" x14ac:dyDescent="0.2">
      <c r="A50" s="8" t="s">
        <v>15</v>
      </c>
      <c r="B50" s="24">
        <v>0</v>
      </c>
      <c r="C50" s="24">
        <v>0</v>
      </c>
      <c r="D50" s="24">
        <v>0</v>
      </c>
      <c r="E50" s="24">
        <v>0</v>
      </c>
      <c r="F50" s="15"/>
    </row>
    <row r="51" spans="1:6" ht="17.100000000000001" customHeight="1" x14ac:dyDescent="0.2">
      <c r="A51" s="8" t="s">
        <v>16</v>
      </c>
      <c r="B51" s="24">
        <v>106</v>
      </c>
      <c r="C51" s="24">
        <v>101</v>
      </c>
      <c r="D51" s="24">
        <v>81</v>
      </c>
      <c r="E51" s="24">
        <v>368</v>
      </c>
      <c r="F51" s="15"/>
    </row>
    <row r="52" spans="1:6" ht="17.100000000000001" customHeight="1" x14ac:dyDescent="0.2">
      <c r="A52" s="8" t="s">
        <v>17</v>
      </c>
      <c r="B52" s="24">
        <v>0</v>
      </c>
      <c r="C52" s="24">
        <v>1</v>
      </c>
      <c r="D52" s="24">
        <v>0</v>
      </c>
      <c r="E52" s="24">
        <v>0</v>
      </c>
      <c r="F52" s="15"/>
    </row>
    <row r="53" spans="1:6" ht="17.100000000000001" customHeight="1" x14ac:dyDescent="0.2">
      <c r="A53" s="8" t="s">
        <v>18</v>
      </c>
      <c r="B53" s="24">
        <v>0</v>
      </c>
      <c r="C53" s="24">
        <v>0</v>
      </c>
      <c r="D53" s="24">
        <v>1</v>
      </c>
      <c r="E53" s="24">
        <v>0</v>
      </c>
      <c r="F53" s="15"/>
    </row>
    <row r="54" spans="1:6" ht="17.100000000000001" customHeight="1" x14ac:dyDescent="0.2">
      <c r="A54" s="56"/>
      <c r="B54" s="57">
        <f>SUM(B48:B53)</f>
        <v>419</v>
      </c>
      <c r="C54" s="57">
        <f>SUM(C48:C53)</f>
        <v>417</v>
      </c>
      <c r="D54" s="57">
        <f>SUM(D48:D53)</f>
        <v>419</v>
      </c>
      <c r="E54" s="57">
        <f>SUM(E48:E53)</f>
        <v>440</v>
      </c>
      <c r="F54" s="17"/>
    </row>
    <row r="55" spans="1:6" ht="17.100000000000001" customHeight="1" x14ac:dyDescent="0.2">
      <c r="A55" s="8"/>
      <c r="B55" s="24"/>
      <c r="C55" s="24"/>
      <c r="D55" s="24"/>
      <c r="E55" s="24"/>
      <c r="F55" s="18"/>
    </row>
    <row r="56" spans="1:6" ht="17.100000000000001" customHeight="1" x14ac:dyDescent="0.2">
      <c r="A56" s="58" t="s">
        <v>56</v>
      </c>
      <c r="B56" s="57">
        <f>SUM(B47-B54)</f>
        <v>216</v>
      </c>
      <c r="C56" s="57">
        <f>SUM(C47-C54)</f>
        <v>309</v>
      </c>
      <c r="D56" s="57">
        <f>SUM(D47-D54)</f>
        <v>280</v>
      </c>
      <c r="E56" s="57">
        <f>SUM(E47-E54)</f>
        <v>261</v>
      </c>
      <c r="F56" s="17"/>
    </row>
    <row r="57" spans="1:6" x14ac:dyDescent="0.2">
      <c r="B57" s="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>
    <tabColor rgb="FF92D050"/>
  </sheetPr>
  <dimension ref="A2:G55"/>
  <sheetViews>
    <sheetView workbookViewId="0">
      <selection activeCell="A27" sqref="A27:E55"/>
    </sheetView>
  </sheetViews>
  <sheetFormatPr baseColWidth="10" defaultRowHeight="12.75" x14ac:dyDescent="0.2"/>
  <cols>
    <col min="1" max="1" width="36.85546875" style="1" bestFit="1" customWidth="1"/>
    <col min="2" max="16384" width="11.42578125" style="1"/>
  </cols>
  <sheetData>
    <row r="2" spans="1:5" x14ac:dyDescent="0.2">
      <c r="A2" s="1" t="s">
        <v>1</v>
      </c>
      <c r="B2" s="2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A3" s="14"/>
      <c r="B3" s="2">
        <f>E55</f>
        <v>234</v>
      </c>
      <c r="C3" s="2">
        <f>D55</f>
        <v>194</v>
      </c>
      <c r="D3" s="2">
        <f>C55</f>
        <v>340</v>
      </c>
      <c r="E3" s="2">
        <f>B55</f>
        <v>240</v>
      </c>
    </row>
    <row r="5" spans="1:5" x14ac:dyDescent="0.2">
      <c r="A5" s="1" t="s">
        <v>0</v>
      </c>
      <c r="B5" s="2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E37/E41</f>
        <v>0.392018779342723</v>
      </c>
      <c r="C6" s="3">
        <f>D37/D41</f>
        <v>0.3925233644859813</v>
      </c>
      <c r="D6" s="3">
        <f>C37/C41</f>
        <v>0.50171037628278226</v>
      </c>
      <c r="E6" s="3">
        <f>B37/B41</f>
        <v>0.40963855421686746</v>
      </c>
    </row>
    <row r="25" spans="1:6" x14ac:dyDescent="0.2">
      <c r="A25" s="1" t="s">
        <v>44</v>
      </c>
    </row>
    <row r="27" spans="1:6" ht="17.100000000000001" customHeight="1" x14ac:dyDescent="0.25">
      <c r="A27" s="66"/>
      <c r="B27" s="67">
        <v>2018</v>
      </c>
      <c r="C27" s="67">
        <v>2017</v>
      </c>
      <c r="D27" s="67">
        <v>2016</v>
      </c>
      <c r="E27" s="67">
        <v>2015</v>
      </c>
    </row>
    <row r="28" spans="1:6" ht="17.100000000000001" customHeight="1" x14ac:dyDescent="0.25">
      <c r="A28" s="71" t="s">
        <v>2</v>
      </c>
      <c r="B28" s="71"/>
      <c r="C28" s="71"/>
      <c r="D28" s="71"/>
      <c r="E28" s="71"/>
    </row>
    <row r="29" spans="1:6" ht="17.100000000000001" customHeight="1" x14ac:dyDescent="0.25">
      <c r="A29" s="73" t="s">
        <v>48</v>
      </c>
      <c r="B29" s="146"/>
      <c r="C29" s="146"/>
      <c r="D29" s="146"/>
      <c r="E29" s="146"/>
      <c r="F29" s="11"/>
    </row>
    <row r="30" spans="1:6" ht="17.100000000000001" customHeight="1" x14ac:dyDescent="0.2">
      <c r="A30" s="73"/>
      <c r="B30" s="73"/>
      <c r="C30" s="73"/>
      <c r="D30" s="73"/>
      <c r="E30" s="73"/>
      <c r="F30" s="7"/>
    </row>
    <row r="31" spans="1:6" ht="17.100000000000001" customHeight="1" x14ac:dyDescent="0.2">
      <c r="A31" s="74" t="s">
        <v>4</v>
      </c>
      <c r="B31" s="53">
        <v>24</v>
      </c>
      <c r="C31" s="53">
        <v>31</v>
      </c>
      <c r="D31" s="53">
        <v>42</v>
      </c>
      <c r="E31" s="53">
        <v>58</v>
      </c>
      <c r="F31" s="15"/>
    </row>
    <row r="32" spans="1:6" ht="17.100000000000001" customHeight="1" x14ac:dyDescent="0.2">
      <c r="A32" s="74" t="s">
        <v>5</v>
      </c>
      <c r="B32" s="53">
        <f>624+163+19</f>
        <v>806</v>
      </c>
      <c r="C32" s="53">
        <v>846</v>
      </c>
      <c r="D32" s="53">
        <f>566+20</f>
        <v>586</v>
      </c>
      <c r="E32" s="53">
        <f>508+17</f>
        <v>525</v>
      </c>
      <c r="F32" s="15"/>
    </row>
    <row r="33" spans="1:7" ht="17.100000000000001" customHeight="1" x14ac:dyDescent="0.2">
      <c r="A33" s="74" t="s">
        <v>6</v>
      </c>
      <c r="B33" s="75">
        <v>0</v>
      </c>
      <c r="C33" s="75">
        <v>0</v>
      </c>
      <c r="D33" s="75">
        <v>121</v>
      </c>
      <c r="E33" s="75">
        <v>269</v>
      </c>
      <c r="F33" s="15"/>
    </row>
    <row r="34" spans="1:7" ht="17.100000000000001" customHeight="1" x14ac:dyDescent="0.2">
      <c r="A34" s="68"/>
      <c r="B34" s="69">
        <f>SUM(B31:B33)</f>
        <v>830</v>
      </c>
      <c r="C34" s="69">
        <f>SUM(C31:C33)</f>
        <v>877</v>
      </c>
      <c r="D34" s="69">
        <f>SUM(D31:D33)</f>
        <v>749</v>
      </c>
      <c r="E34" s="69">
        <f>SUM(E31:E33)</f>
        <v>852</v>
      </c>
      <c r="F34" s="17"/>
    </row>
    <row r="35" spans="1:7" ht="17.100000000000001" customHeight="1" x14ac:dyDescent="0.2">
      <c r="A35" s="73" t="s">
        <v>7</v>
      </c>
      <c r="B35" s="147"/>
      <c r="C35" s="147"/>
      <c r="D35" s="147"/>
      <c r="E35" s="147"/>
      <c r="F35" s="18"/>
    </row>
    <row r="36" spans="1:7" ht="17.100000000000001" customHeight="1" x14ac:dyDescent="0.2">
      <c r="A36" s="73"/>
      <c r="B36" s="147"/>
      <c r="C36" s="147"/>
      <c r="D36" s="147"/>
      <c r="E36" s="147"/>
      <c r="F36" s="18"/>
    </row>
    <row r="37" spans="1:7" ht="17.100000000000001" customHeight="1" x14ac:dyDescent="0.2">
      <c r="A37" s="74" t="s">
        <v>8</v>
      </c>
      <c r="B37" s="53">
        <v>340</v>
      </c>
      <c r="C37" s="53">
        <f>100+340</f>
        <v>440</v>
      </c>
      <c r="D37" s="53">
        <f>100+194</f>
        <v>294</v>
      </c>
      <c r="E37" s="53">
        <f>100+234</f>
        <v>334</v>
      </c>
      <c r="F37" s="122"/>
      <c r="G37" s="122"/>
    </row>
    <row r="38" spans="1:7" ht="17.100000000000001" customHeight="1" x14ac:dyDescent="0.2">
      <c r="A38" s="74" t="s">
        <v>9</v>
      </c>
      <c r="B38" s="53">
        <v>77</v>
      </c>
      <c r="C38" s="53">
        <v>66</v>
      </c>
      <c r="D38" s="53">
        <v>52</v>
      </c>
      <c r="E38" s="53">
        <v>57</v>
      </c>
      <c r="F38" s="15"/>
    </row>
    <row r="39" spans="1:7" ht="17.100000000000001" customHeight="1" x14ac:dyDescent="0.2">
      <c r="A39" s="74" t="s">
        <v>10</v>
      </c>
      <c r="B39" s="53">
        <v>413</v>
      </c>
      <c r="C39" s="53">
        <f>371</f>
        <v>371</v>
      </c>
      <c r="D39" s="53">
        <v>388</v>
      </c>
      <c r="E39" s="53">
        <f>122+339</f>
        <v>461</v>
      </c>
      <c r="F39" s="15"/>
    </row>
    <row r="40" spans="1:7" ht="17.100000000000001" customHeight="1" x14ac:dyDescent="0.2">
      <c r="A40" s="74" t="s">
        <v>6</v>
      </c>
      <c r="B40" s="75">
        <v>0</v>
      </c>
      <c r="C40" s="75">
        <v>0</v>
      </c>
      <c r="D40" s="75">
        <v>15</v>
      </c>
      <c r="E40" s="75">
        <v>0</v>
      </c>
      <c r="F40" s="15"/>
    </row>
    <row r="41" spans="1:7" ht="17.100000000000001" customHeight="1" x14ac:dyDescent="0.2">
      <c r="A41" s="68"/>
      <c r="B41" s="69">
        <f>SUM(B37:B40)</f>
        <v>830</v>
      </c>
      <c r="C41" s="69">
        <f>SUM(C37:C40)</f>
        <v>877</v>
      </c>
      <c r="D41" s="69">
        <f>SUM(D37:D40)</f>
        <v>749</v>
      </c>
      <c r="E41" s="69">
        <f>SUM(E37:E40)</f>
        <v>852</v>
      </c>
      <c r="F41" s="17"/>
    </row>
    <row r="42" spans="1:7" ht="17.100000000000001" customHeight="1" x14ac:dyDescent="0.25">
      <c r="A42" s="71" t="s">
        <v>66</v>
      </c>
      <c r="B42" s="148"/>
      <c r="C42" s="148"/>
      <c r="D42" s="148"/>
      <c r="E42" s="148"/>
      <c r="F42" s="2"/>
    </row>
    <row r="43" spans="1:7" ht="17.100000000000001" customHeight="1" x14ac:dyDescent="0.2">
      <c r="A43" s="74" t="s">
        <v>12</v>
      </c>
      <c r="B43" s="53">
        <v>5964</v>
      </c>
      <c r="C43" s="53">
        <v>5708</v>
      </c>
      <c r="D43" s="53">
        <v>5468</v>
      </c>
      <c r="E43" s="53">
        <v>5339</v>
      </c>
      <c r="F43" s="15"/>
      <c r="G43" s="2"/>
    </row>
    <row r="44" spans="1:7" ht="17.100000000000001" customHeight="1" x14ac:dyDescent="0.2">
      <c r="A44" s="74" t="s">
        <v>19</v>
      </c>
      <c r="B44" s="53">
        <v>15</v>
      </c>
      <c r="C44" s="53">
        <v>103</v>
      </c>
      <c r="D44" s="53">
        <v>13</v>
      </c>
      <c r="E44" s="53">
        <f>8+1+1</f>
        <v>10</v>
      </c>
      <c r="F44" s="15"/>
    </row>
    <row r="45" spans="1:7" ht="17.100000000000001" customHeight="1" x14ac:dyDescent="0.2">
      <c r="A45" s="74" t="s">
        <v>13</v>
      </c>
      <c r="B45" s="75">
        <v>1</v>
      </c>
      <c r="C45" s="75">
        <v>1</v>
      </c>
      <c r="D45" s="75">
        <v>1</v>
      </c>
      <c r="E45" s="75">
        <v>0</v>
      </c>
      <c r="F45" s="15"/>
    </row>
    <row r="46" spans="1:7" ht="17.100000000000001" customHeight="1" x14ac:dyDescent="0.2">
      <c r="A46" s="68"/>
      <c r="B46" s="69">
        <f>SUM(B43:B45)</f>
        <v>5980</v>
      </c>
      <c r="C46" s="69">
        <f>SUM(C43:C45)</f>
        <v>5812</v>
      </c>
      <c r="D46" s="69">
        <f>SUM(D43:D45)</f>
        <v>5482</v>
      </c>
      <c r="E46" s="69">
        <f>SUM(E43:E45)</f>
        <v>5349</v>
      </c>
      <c r="F46" s="17"/>
    </row>
    <row r="47" spans="1:7" ht="17.100000000000001" customHeight="1" x14ac:dyDescent="0.2">
      <c r="A47" s="74" t="s">
        <v>20</v>
      </c>
      <c r="B47" s="53">
        <v>2179</v>
      </c>
      <c r="C47" s="53">
        <v>2109</v>
      </c>
      <c r="D47" s="53">
        <v>2013</v>
      </c>
      <c r="E47" s="53">
        <v>1938</v>
      </c>
      <c r="F47" s="15"/>
    </row>
    <row r="48" spans="1:7" ht="17.100000000000001" customHeight="1" x14ac:dyDescent="0.2">
      <c r="A48" s="74" t="s">
        <v>14</v>
      </c>
      <c r="B48" s="53">
        <v>3107</v>
      </c>
      <c r="C48" s="53">
        <v>2954</v>
      </c>
      <c r="D48" s="53">
        <v>2901</v>
      </c>
      <c r="E48" s="53">
        <v>2792</v>
      </c>
      <c r="F48" s="15"/>
    </row>
    <row r="49" spans="1:7" ht="17.100000000000001" customHeight="1" x14ac:dyDescent="0.2">
      <c r="A49" s="74" t="s">
        <v>15</v>
      </c>
      <c r="B49" s="53">
        <v>19</v>
      </c>
      <c r="C49" s="53">
        <v>24</v>
      </c>
      <c r="D49" s="53">
        <v>23</v>
      </c>
      <c r="E49" s="53">
        <v>22</v>
      </c>
      <c r="F49" s="15"/>
    </row>
    <row r="50" spans="1:7" ht="17.100000000000001" customHeight="1" x14ac:dyDescent="0.2">
      <c r="A50" s="74" t="s">
        <v>16</v>
      </c>
      <c r="B50" s="53">
        <v>269</v>
      </c>
      <c r="C50" s="53">
        <v>262</v>
      </c>
      <c r="D50" s="53">
        <v>255</v>
      </c>
      <c r="E50" s="53">
        <v>248</v>
      </c>
      <c r="F50" s="15"/>
    </row>
    <row r="51" spans="1:7" ht="17.100000000000001" customHeight="1" x14ac:dyDescent="0.2">
      <c r="A51" s="74" t="s">
        <v>17</v>
      </c>
      <c r="B51" s="53">
        <v>1</v>
      </c>
      <c r="C51" s="53">
        <v>1</v>
      </c>
      <c r="D51" s="53">
        <v>1</v>
      </c>
      <c r="E51" s="53">
        <v>0</v>
      </c>
      <c r="F51" s="15"/>
    </row>
    <row r="52" spans="1:7" ht="17.100000000000001" customHeight="1" x14ac:dyDescent="0.2">
      <c r="A52" s="74" t="s">
        <v>18</v>
      </c>
      <c r="B52" s="75">
        <f>164+1</f>
        <v>165</v>
      </c>
      <c r="C52" s="75">
        <v>122</v>
      </c>
      <c r="D52" s="75">
        <v>95</v>
      </c>
      <c r="E52" s="75">
        <v>115</v>
      </c>
      <c r="F52" s="15"/>
    </row>
    <row r="53" spans="1:7" ht="17.100000000000001" customHeight="1" x14ac:dyDescent="0.2">
      <c r="A53" s="68"/>
      <c r="B53" s="69">
        <f>SUM(B47:B52)</f>
        <v>5740</v>
      </c>
      <c r="C53" s="69">
        <f>SUM(C47:C52)</f>
        <v>5472</v>
      </c>
      <c r="D53" s="69">
        <f>SUM(D47:D52)</f>
        <v>5288</v>
      </c>
      <c r="E53" s="69">
        <f>SUM(E47:E52)</f>
        <v>5115</v>
      </c>
      <c r="F53" s="17"/>
      <c r="G53" s="2"/>
    </row>
    <row r="54" spans="1:7" ht="17.100000000000001" customHeight="1" x14ac:dyDescent="0.2">
      <c r="A54" s="74"/>
      <c r="B54" s="53"/>
      <c r="C54" s="53"/>
      <c r="D54" s="53"/>
      <c r="E54" s="53"/>
      <c r="F54" s="18"/>
    </row>
    <row r="55" spans="1:7" ht="17.100000000000001" customHeight="1" x14ac:dyDescent="0.2">
      <c r="A55" s="70" t="s">
        <v>56</v>
      </c>
      <c r="B55" s="69">
        <f>SUM(B46-B53)</f>
        <v>240</v>
      </c>
      <c r="C55" s="69">
        <f>SUM(C46-C53)</f>
        <v>340</v>
      </c>
      <c r="D55" s="69">
        <f>SUM(D46-D53)</f>
        <v>194</v>
      </c>
      <c r="E55" s="69">
        <f>SUM(E46-E53)</f>
        <v>234</v>
      </c>
      <c r="F55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1">
    <tabColor theme="6"/>
  </sheetPr>
  <dimension ref="A2:E56"/>
  <sheetViews>
    <sheetView workbookViewId="0">
      <selection activeCell="A27" sqref="A27"/>
    </sheetView>
  </sheetViews>
  <sheetFormatPr baseColWidth="10" defaultRowHeight="12.75" x14ac:dyDescent="0.2"/>
  <cols>
    <col min="1" max="1" width="36.85546875" style="1" bestFit="1" customWidth="1"/>
    <col min="2" max="16384" width="11.42578125" style="1"/>
  </cols>
  <sheetData>
    <row r="2" spans="1:5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A3" s="14"/>
      <c r="B3" s="2">
        <f>E56</f>
        <v>11</v>
      </c>
      <c r="C3" s="2">
        <f>D56</f>
        <v>184</v>
      </c>
      <c r="D3" s="2">
        <f>C56</f>
        <v>29</v>
      </c>
      <c r="E3" s="2"/>
    </row>
    <row r="5" spans="1:5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E37/E42</f>
        <v>0.52346517119244396</v>
      </c>
      <c r="C6" s="3">
        <f>D37/D42</f>
        <v>0.51640138408304503</v>
      </c>
      <c r="D6" s="3">
        <f>C37/C42</f>
        <v>0.52616848586621889</v>
      </c>
      <c r="E6" s="3"/>
    </row>
    <row r="26" spans="1:5" ht="17.100000000000001" customHeight="1" x14ac:dyDescent="0.25">
      <c r="B26" s="4"/>
    </row>
    <row r="27" spans="1:5" ht="17.100000000000001" customHeight="1" x14ac:dyDescent="0.25">
      <c r="A27" s="54"/>
      <c r="B27" s="55">
        <v>2018</v>
      </c>
      <c r="C27" s="55">
        <v>2017</v>
      </c>
      <c r="D27" s="55">
        <v>2016</v>
      </c>
      <c r="E27" s="55">
        <v>2015</v>
      </c>
    </row>
    <row r="28" spans="1:5" ht="17.100000000000001" customHeight="1" x14ac:dyDescent="0.25">
      <c r="A28" s="35" t="s">
        <v>2</v>
      </c>
      <c r="B28" s="139"/>
      <c r="C28" s="139"/>
      <c r="D28" s="139"/>
      <c r="E28" s="139"/>
    </row>
    <row r="29" spans="1:5" ht="17.100000000000001" customHeight="1" x14ac:dyDescent="0.2">
      <c r="A29" s="36" t="s">
        <v>48</v>
      </c>
      <c r="B29" s="139"/>
      <c r="C29" s="139"/>
      <c r="D29" s="139"/>
      <c r="E29" s="139"/>
    </row>
    <row r="30" spans="1:5" ht="17.100000000000001" customHeight="1" x14ac:dyDescent="0.2">
      <c r="A30" s="36"/>
      <c r="B30" s="139"/>
      <c r="C30" s="139"/>
      <c r="D30" s="139"/>
      <c r="E30" s="139"/>
    </row>
    <row r="31" spans="1:5" ht="17.100000000000001" customHeight="1" x14ac:dyDescent="0.2">
      <c r="A31" s="8" t="s">
        <v>4</v>
      </c>
      <c r="B31" s="24"/>
      <c r="C31" s="24">
        <v>4816</v>
      </c>
      <c r="D31" s="24">
        <v>4840</v>
      </c>
      <c r="E31" s="24">
        <v>4864</v>
      </c>
    </row>
    <row r="32" spans="1:5" ht="17.100000000000001" customHeight="1" x14ac:dyDescent="0.2">
      <c r="A32" s="8" t="s">
        <v>5</v>
      </c>
      <c r="B32" s="24"/>
      <c r="C32" s="24">
        <v>2329</v>
      </c>
      <c r="D32" s="24">
        <v>2383</v>
      </c>
      <c r="E32" s="24">
        <v>1898</v>
      </c>
    </row>
    <row r="33" spans="1:5" ht="17.100000000000001" customHeight="1" x14ac:dyDescent="0.2">
      <c r="A33" s="8" t="s">
        <v>6</v>
      </c>
      <c r="B33" s="24"/>
      <c r="C33" s="24">
        <v>1</v>
      </c>
      <c r="D33" s="24">
        <v>2</v>
      </c>
      <c r="E33" s="24">
        <v>14</v>
      </c>
    </row>
    <row r="34" spans="1:5" ht="17.100000000000001" customHeight="1" x14ac:dyDescent="0.2">
      <c r="A34" s="56"/>
      <c r="B34" s="57"/>
      <c r="C34" s="57">
        <f>SUM(C31:C33)</f>
        <v>7146</v>
      </c>
      <c r="D34" s="57">
        <f>SUM(D31:D33)</f>
        <v>7225</v>
      </c>
      <c r="E34" s="57">
        <f>SUM(E31:E33)</f>
        <v>6776</v>
      </c>
    </row>
    <row r="35" spans="1:5" ht="17.100000000000001" customHeight="1" x14ac:dyDescent="0.2">
      <c r="A35" s="36" t="s">
        <v>7</v>
      </c>
      <c r="B35" s="50"/>
      <c r="C35" s="50"/>
      <c r="D35" s="50"/>
      <c r="E35" s="50"/>
    </row>
    <row r="36" spans="1:5" ht="17.100000000000001" customHeight="1" x14ac:dyDescent="0.2">
      <c r="A36" s="36"/>
      <c r="B36" s="50"/>
      <c r="C36" s="50"/>
      <c r="D36" s="50"/>
      <c r="E36" s="50"/>
    </row>
    <row r="37" spans="1:5" ht="17.100000000000001" customHeight="1" x14ac:dyDescent="0.2">
      <c r="A37" s="8" t="s">
        <v>8</v>
      </c>
      <c r="B37" s="24"/>
      <c r="C37" s="24">
        <v>3760</v>
      </c>
      <c r="D37" s="24">
        <v>3731</v>
      </c>
      <c r="E37" s="24">
        <v>3547</v>
      </c>
    </row>
    <row r="38" spans="1:5" ht="17.100000000000001" customHeight="1" x14ac:dyDescent="0.2">
      <c r="A38" s="8" t="s">
        <v>43</v>
      </c>
      <c r="B38" s="24"/>
      <c r="C38" s="24">
        <v>253</v>
      </c>
      <c r="D38" s="24">
        <v>210</v>
      </c>
      <c r="E38" s="24">
        <v>189</v>
      </c>
    </row>
    <row r="39" spans="1:5" ht="17.100000000000001" customHeight="1" x14ac:dyDescent="0.2">
      <c r="A39" s="8" t="s">
        <v>9</v>
      </c>
      <c r="B39" s="24"/>
      <c r="C39" s="24">
        <v>2070</v>
      </c>
      <c r="D39" s="24">
        <v>2024</v>
      </c>
      <c r="E39" s="24">
        <v>1790</v>
      </c>
    </row>
    <row r="40" spans="1:5" ht="17.100000000000001" customHeight="1" x14ac:dyDescent="0.2">
      <c r="A40" s="8" t="s">
        <v>10</v>
      </c>
      <c r="B40" s="24"/>
      <c r="C40" s="24">
        <v>1063</v>
      </c>
      <c r="D40" s="24">
        <v>1260</v>
      </c>
      <c r="E40" s="24">
        <v>1250</v>
      </c>
    </row>
    <row r="41" spans="1:5" ht="17.100000000000001" customHeight="1" x14ac:dyDescent="0.2">
      <c r="A41" s="8" t="s">
        <v>6</v>
      </c>
      <c r="B41" s="24"/>
      <c r="C41" s="24">
        <v>0</v>
      </c>
      <c r="D41" s="24">
        <v>0</v>
      </c>
      <c r="E41" s="24">
        <v>0</v>
      </c>
    </row>
    <row r="42" spans="1:5" ht="17.100000000000001" customHeight="1" x14ac:dyDescent="0.2">
      <c r="A42" s="56"/>
      <c r="B42" s="57"/>
      <c r="C42" s="57">
        <f>SUM(C37:C41)</f>
        <v>7146</v>
      </c>
      <c r="D42" s="57">
        <f>SUM(D37:D41)</f>
        <v>7225</v>
      </c>
      <c r="E42" s="57">
        <f>SUM(E37:E41)</f>
        <v>6776</v>
      </c>
    </row>
    <row r="43" spans="1:5" ht="17.100000000000001" customHeight="1" x14ac:dyDescent="0.25">
      <c r="A43" s="35" t="s">
        <v>66</v>
      </c>
      <c r="B43" s="50"/>
      <c r="C43" s="50"/>
      <c r="D43" s="50"/>
      <c r="E43" s="50"/>
    </row>
    <row r="44" spans="1:5" ht="17.100000000000001" customHeight="1" x14ac:dyDescent="0.2">
      <c r="A44" s="8" t="s">
        <v>35</v>
      </c>
      <c r="B44" s="24"/>
      <c r="C44" s="24">
        <v>7303</v>
      </c>
      <c r="D44" s="24">
        <v>6458</v>
      </c>
      <c r="E44" s="24">
        <v>6090</v>
      </c>
    </row>
    <row r="45" spans="1:5" ht="17.100000000000001" customHeight="1" x14ac:dyDescent="0.2">
      <c r="A45" s="8" t="s">
        <v>19</v>
      </c>
      <c r="B45" s="24"/>
      <c r="C45" s="24">
        <v>168</v>
      </c>
      <c r="D45" s="24">
        <v>228</v>
      </c>
      <c r="E45" s="24">
        <v>211</v>
      </c>
    </row>
    <row r="46" spans="1:5" ht="17.100000000000001" customHeight="1" x14ac:dyDescent="0.2">
      <c r="A46" s="8" t="s">
        <v>13</v>
      </c>
      <c r="B46" s="24"/>
      <c r="C46" s="24">
        <v>0</v>
      </c>
      <c r="D46" s="24">
        <v>0</v>
      </c>
      <c r="E46" s="24">
        <v>0</v>
      </c>
    </row>
    <row r="47" spans="1:5" ht="17.100000000000001" customHeight="1" x14ac:dyDescent="0.2">
      <c r="A47" s="56"/>
      <c r="B47" s="57"/>
      <c r="C47" s="57">
        <f>SUM(C44:C46)</f>
        <v>7471</v>
      </c>
      <c r="D47" s="57">
        <f>SUM(D44:D46)</f>
        <v>6686</v>
      </c>
      <c r="E47" s="57">
        <f>SUM(E44:E46)</f>
        <v>6301</v>
      </c>
    </row>
    <row r="48" spans="1:5" ht="17.100000000000001" customHeight="1" x14ac:dyDescent="0.2">
      <c r="A48" s="8" t="s">
        <v>20</v>
      </c>
      <c r="B48" s="24"/>
      <c r="C48" s="24">
        <v>0</v>
      </c>
      <c r="D48" s="24">
        <v>0</v>
      </c>
      <c r="E48" s="24">
        <v>0</v>
      </c>
    </row>
    <row r="49" spans="1:5" ht="17.100000000000001" customHeight="1" x14ac:dyDescent="0.2">
      <c r="A49" s="8" t="s">
        <v>14</v>
      </c>
      <c r="B49" s="24"/>
      <c r="C49" s="24">
        <v>5927</v>
      </c>
      <c r="D49" s="24">
        <v>5187</v>
      </c>
      <c r="E49" s="24">
        <v>4844</v>
      </c>
    </row>
    <row r="50" spans="1:5" ht="17.100000000000001" customHeight="1" x14ac:dyDescent="0.2">
      <c r="A50" s="8" t="s">
        <v>15</v>
      </c>
      <c r="B50" s="24"/>
      <c r="C50" s="24">
        <v>121</v>
      </c>
      <c r="D50" s="24">
        <v>121</v>
      </c>
      <c r="E50" s="24">
        <v>96</v>
      </c>
    </row>
    <row r="51" spans="1:5" ht="17.100000000000001" customHeight="1" x14ac:dyDescent="0.2">
      <c r="A51" s="8" t="s">
        <v>36</v>
      </c>
      <c r="B51" s="24"/>
      <c r="C51" s="24">
        <v>1324</v>
      </c>
      <c r="D51" s="24">
        <v>1122</v>
      </c>
      <c r="E51" s="24">
        <v>1277</v>
      </c>
    </row>
    <row r="52" spans="1:5" ht="17.100000000000001" customHeight="1" x14ac:dyDescent="0.2">
      <c r="A52" s="8" t="s">
        <v>17</v>
      </c>
      <c r="B52" s="24"/>
      <c r="C52" s="24">
        <v>70</v>
      </c>
      <c r="D52" s="24">
        <v>72</v>
      </c>
      <c r="E52" s="24">
        <v>73</v>
      </c>
    </row>
    <row r="53" spans="1:5" ht="17.100000000000001" customHeight="1" x14ac:dyDescent="0.2">
      <c r="A53" s="8" t="s">
        <v>18</v>
      </c>
      <c r="B53" s="24"/>
      <c r="C53" s="24">
        <v>0</v>
      </c>
      <c r="D53" s="24">
        <v>0</v>
      </c>
      <c r="E53" s="24">
        <v>0</v>
      </c>
    </row>
    <row r="54" spans="1:5" ht="17.100000000000001" customHeight="1" x14ac:dyDescent="0.2">
      <c r="A54" s="56"/>
      <c r="B54" s="57"/>
      <c r="C54" s="57">
        <f>SUM(C48:C53)</f>
        <v>7442</v>
      </c>
      <c r="D54" s="57">
        <f>SUM(D48:D53)</f>
        <v>6502</v>
      </c>
      <c r="E54" s="57">
        <f>SUM(E48:E53)</f>
        <v>6290</v>
      </c>
    </row>
    <row r="55" spans="1:5" ht="17.100000000000001" customHeight="1" x14ac:dyDescent="0.2">
      <c r="A55" s="8"/>
      <c r="B55" s="50"/>
      <c r="C55" s="50"/>
      <c r="D55" s="50"/>
      <c r="E55" s="50"/>
    </row>
    <row r="56" spans="1:5" ht="17.100000000000001" customHeight="1" x14ac:dyDescent="0.2">
      <c r="A56" s="58" t="s">
        <v>56</v>
      </c>
      <c r="B56" s="57"/>
      <c r="C56" s="57">
        <f>SUM(C47-C54)</f>
        <v>29</v>
      </c>
      <c r="D56" s="57">
        <f>SUM(D47-D54)</f>
        <v>184</v>
      </c>
      <c r="E56" s="57">
        <f>SUM(E47-E54)</f>
        <v>11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>
    <tabColor rgb="FF92D050"/>
  </sheetPr>
  <dimension ref="A2:H55"/>
  <sheetViews>
    <sheetView workbookViewId="0">
      <selection activeCell="A27" sqref="A27"/>
    </sheetView>
  </sheetViews>
  <sheetFormatPr baseColWidth="10" defaultRowHeight="12.75" x14ac:dyDescent="0.2"/>
  <cols>
    <col min="1" max="1" width="36.85546875" style="1" bestFit="1" customWidth="1"/>
    <col min="2" max="16384" width="11.42578125" style="1"/>
  </cols>
  <sheetData>
    <row r="2" spans="1:5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A3" s="14"/>
      <c r="B3" s="2">
        <f>E55</f>
        <v>0</v>
      </c>
      <c r="C3" s="2">
        <f>D55</f>
        <v>0</v>
      </c>
      <c r="D3" s="2">
        <f>C55</f>
        <v>0</v>
      </c>
      <c r="E3" s="2"/>
    </row>
    <row r="5" spans="1:5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E37/E41</f>
        <v>0.10345661107082427</v>
      </c>
      <c r="C6" s="3">
        <f>D37/D41</f>
        <v>9.6244659320890491E-2</v>
      </c>
      <c r="D6" s="3">
        <f>C37/C41</f>
        <v>9.1102596849723286E-2</v>
      </c>
      <c r="E6" s="3"/>
    </row>
    <row r="26" spans="1:6" ht="17.100000000000001" customHeight="1" x14ac:dyDescent="0.25">
      <c r="A26" s="29"/>
      <c r="B26" s="35"/>
      <c r="C26" s="29"/>
      <c r="D26" s="29"/>
      <c r="E26" s="29"/>
      <c r="F26" s="29"/>
    </row>
    <row r="27" spans="1:6" ht="17.100000000000001" customHeight="1" x14ac:dyDescent="0.25">
      <c r="A27" s="54"/>
      <c r="B27" s="55">
        <v>2018</v>
      </c>
      <c r="C27" s="55">
        <v>2017</v>
      </c>
      <c r="D27" s="55">
        <v>2016</v>
      </c>
      <c r="E27" s="55">
        <v>2015</v>
      </c>
      <c r="F27" s="29"/>
    </row>
    <row r="28" spans="1:6" ht="17.100000000000001" customHeight="1" x14ac:dyDescent="0.25">
      <c r="A28" s="35" t="s">
        <v>2</v>
      </c>
      <c r="F28" s="29"/>
    </row>
    <row r="29" spans="1:6" ht="17.100000000000001" customHeight="1" x14ac:dyDescent="0.25">
      <c r="A29" s="36" t="s">
        <v>48</v>
      </c>
      <c r="F29" s="29"/>
    </row>
    <row r="30" spans="1:6" ht="17.100000000000001" customHeight="1" x14ac:dyDescent="0.25">
      <c r="A30" s="36"/>
      <c r="F30" s="29"/>
    </row>
    <row r="31" spans="1:6" ht="17.100000000000001" customHeight="1" x14ac:dyDescent="0.25">
      <c r="A31" s="8" t="s">
        <v>4</v>
      </c>
      <c r="B31" s="51"/>
      <c r="C31" s="51">
        <v>383</v>
      </c>
      <c r="D31" s="51">
        <v>425</v>
      </c>
      <c r="E31" s="51">
        <v>401</v>
      </c>
      <c r="F31" s="29"/>
    </row>
    <row r="32" spans="1:6" ht="17.100000000000001" customHeight="1" x14ac:dyDescent="0.25">
      <c r="A32" s="8" t="s">
        <v>5</v>
      </c>
      <c r="B32" s="51"/>
      <c r="C32" s="51">
        <v>4291</v>
      </c>
      <c r="D32" s="51">
        <v>3991</v>
      </c>
      <c r="E32" s="51">
        <v>3715</v>
      </c>
      <c r="F32" s="29"/>
    </row>
    <row r="33" spans="1:8" ht="17.100000000000001" customHeight="1" x14ac:dyDescent="0.25">
      <c r="A33" s="8" t="s">
        <v>6</v>
      </c>
      <c r="B33" s="51"/>
      <c r="C33" s="51">
        <v>24</v>
      </c>
      <c r="D33" s="51">
        <v>31</v>
      </c>
      <c r="E33" s="51">
        <v>21</v>
      </c>
      <c r="F33" s="29"/>
    </row>
    <row r="34" spans="1:8" ht="17.100000000000001" customHeight="1" x14ac:dyDescent="0.25">
      <c r="A34" s="56"/>
      <c r="B34" s="57"/>
      <c r="C34" s="57">
        <f t="shared" ref="C34" si="0">SUM(C31:C33)</f>
        <v>4698</v>
      </c>
      <c r="D34" s="57">
        <f t="shared" ref="D34" si="1">SUM(D31:D33)</f>
        <v>4447</v>
      </c>
      <c r="E34" s="57">
        <f t="shared" ref="E34" si="2">SUM(E31:E33)</f>
        <v>4137</v>
      </c>
      <c r="F34" s="29"/>
    </row>
    <row r="35" spans="1:8" ht="17.100000000000001" customHeight="1" x14ac:dyDescent="0.25">
      <c r="A35" s="36" t="s">
        <v>7</v>
      </c>
      <c r="B35" s="51"/>
      <c r="C35" s="51"/>
      <c r="D35" s="162"/>
      <c r="E35" s="51"/>
      <c r="F35" s="29"/>
    </row>
    <row r="36" spans="1:8" ht="17.100000000000001" customHeight="1" x14ac:dyDescent="0.25">
      <c r="A36" s="36"/>
      <c r="B36" s="51"/>
      <c r="C36" s="51"/>
      <c r="D36" s="162"/>
      <c r="E36" s="51"/>
      <c r="F36" s="29"/>
    </row>
    <row r="37" spans="1:8" ht="17.100000000000001" customHeight="1" x14ac:dyDescent="0.25">
      <c r="A37" s="8" t="s">
        <v>8</v>
      </c>
      <c r="B37" s="51"/>
      <c r="C37" s="51">
        <v>428</v>
      </c>
      <c r="D37" s="51">
        <v>428</v>
      </c>
      <c r="E37" s="51">
        <v>428</v>
      </c>
      <c r="F37" s="29"/>
    </row>
    <row r="38" spans="1:8" ht="17.100000000000001" customHeight="1" x14ac:dyDescent="0.25">
      <c r="A38" s="8" t="s">
        <v>9</v>
      </c>
      <c r="B38" s="51"/>
      <c r="C38" s="51">
        <v>3387</v>
      </c>
      <c r="D38" s="51">
        <v>3207</v>
      </c>
      <c r="E38" s="51">
        <v>2844</v>
      </c>
      <c r="F38" s="29"/>
    </row>
    <row r="39" spans="1:8" ht="17.100000000000001" customHeight="1" x14ac:dyDescent="0.25">
      <c r="A39" s="8" t="s">
        <v>10</v>
      </c>
      <c r="B39" s="51"/>
      <c r="C39" s="51">
        <v>736</v>
      </c>
      <c r="D39" s="51">
        <v>703</v>
      </c>
      <c r="E39" s="51">
        <v>788</v>
      </c>
      <c r="F39" s="29"/>
    </row>
    <row r="40" spans="1:8" ht="17.100000000000001" customHeight="1" x14ac:dyDescent="0.25">
      <c r="A40" s="8" t="s">
        <v>6</v>
      </c>
      <c r="B40" s="51"/>
      <c r="C40" s="51">
        <v>147</v>
      </c>
      <c r="D40" s="51">
        <v>109</v>
      </c>
      <c r="E40" s="51">
        <v>77</v>
      </c>
      <c r="F40" s="29"/>
    </row>
    <row r="41" spans="1:8" ht="17.100000000000001" customHeight="1" x14ac:dyDescent="0.25">
      <c r="A41" s="56"/>
      <c r="B41" s="57"/>
      <c r="C41" s="57">
        <f t="shared" ref="C41" si="3">SUM(C37:C40)</f>
        <v>4698</v>
      </c>
      <c r="D41" s="57">
        <f t="shared" ref="D41" si="4">SUM(D37:D40)</f>
        <v>4447</v>
      </c>
      <c r="E41" s="57">
        <f t="shared" ref="E41" si="5">SUM(E37:E40)</f>
        <v>4137</v>
      </c>
      <c r="F41" s="29"/>
    </row>
    <row r="42" spans="1:8" ht="17.100000000000001" customHeight="1" x14ac:dyDescent="0.25">
      <c r="A42" s="35" t="s">
        <v>66</v>
      </c>
      <c r="B42" s="51"/>
      <c r="C42" s="51"/>
      <c r="D42" s="162"/>
      <c r="E42" s="51"/>
      <c r="F42" s="29"/>
    </row>
    <row r="43" spans="1:8" ht="17.100000000000001" customHeight="1" x14ac:dyDescent="0.25">
      <c r="A43" s="8" t="s">
        <v>12</v>
      </c>
      <c r="B43" s="51"/>
      <c r="C43" s="51">
        <v>5323</v>
      </c>
      <c r="D43" s="51">
        <v>5125</v>
      </c>
      <c r="E43" s="51">
        <v>4715</v>
      </c>
      <c r="F43" s="29"/>
    </row>
    <row r="44" spans="1:8" ht="17.100000000000001" customHeight="1" x14ac:dyDescent="0.25">
      <c r="A44" s="8" t="s">
        <v>19</v>
      </c>
      <c r="B44" s="51"/>
      <c r="C44" s="51">
        <v>4220</v>
      </c>
      <c r="D44" s="51">
        <v>3752</v>
      </c>
      <c r="E44" s="51">
        <v>3707</v>
      </c>
      <c r="F44" s="29"/>
    </row>
    <row r="45" spans="1:8" ht="17.100000000000001" customHeight="1" x14ac:dyDescent="0.25">
      <c r="A45" s="8" t="s">
        <v>13</v>
      </c>
      <c r="B45" s="51"/>
      <c r="C45" s="51">
        <v>0</v>
      </c>
      <c r="D45" s="51">
        <v>0</v>
      </c>
      <c r="E45" s="51">
        <v>0</v>
      </c>
      <c r="F45" s="29"/>
    </row>
    <row r="46" spans="1:8" ht="17.100000000000001" customHeight="1" x14ac:dyDescent="0.25">
      <c r="A46" s="56"/>
      <c r="B46" s="57"/>
      <c r="C46" s="57">
        <f t="shared" ref="C46" si="6">SUM(C43:C45)</f>
        <v>9543</v>
      </c>
      <c r="D46" s="57">
        <f t="shared" ref="D46" si="7">SUM(D43:D45)</f>
        <v>8877</v>
      </c>
      <c r="E46" s="57">
        <f t="shared" ref="E46" si="8">SUM(E43:E45)</f>
        <v>8422</v>
      </c>
      <c r="F46" s="29"/>
    </row>
    <row r="47" spans="1:8" ht="17.100000000000001" customHeight="1" x14ac:dyDescent="0.25">
      <c r="A47" s="8" t="s">
        <v>20</v>
      </c>
      <c r="B47" s="51"/>
      <c r="C47" s="51">
        <v>2311</v>
      </c>
      <c r="D47" s="51">
        <v>2072</v>
      </c>
      <c r="E47" s="51">
        <v>1696</v>
      </c>
      <c r="F47" s="29"/>
      <c r="G47" s="51"/>
      <c r="H47" s="51"/>
    </row>
    <row r="48" spans="1:8" ht="17.100000000000001" customHeight="1" x14ac:dyDescent="0.25">
      <c r="A48" s="8" t="s">
        <v>14</v>
      </c>
      <c r="B48" s="51"/>
      <c r="C48" s="51">
        <v>4261</v>
      </c>
      <c r="D48" s="51">
        <v>4076</v>
      </c>
      <c r="E48" s="51">
        <v>4188</v>
      </c>
      <c r="F48" s="29"/>
    </row>
    <row r="49" spans="1:6" ht="17.100000000000001" customHeight="1" x14ac:dyDescent="0.25">
      <c r="A49" s="8" t="s">
        <v>15</v>
      </c>
      <c r="B49" s="51"/>
      <c r="C49" s="51">
        <v>131</v>
      </c>
      <c r="D49" s="51">
        <v>128</v>
      </c>
      <c r="E49" s="51">
        <v>150</v>
      </c>
      <c r="F49" s="29"/>
    </row>
    <row r="50" spans="1:6" ht="17.100000000000001" customHeight="1" x14ac:dyDescent="0.25">
      <c r="A50" s="8" t="s">
        <v>16</v>
      </c>
      <c r="B50" s="51"/>
      <c r="C50" s="51">
        <v>2743</v>
      </c>
      <c r="D50" s="51">
        <v>2507</v>
      </c>
      <c r="E50" s="51">
        <v>2289</v>
      </c>
      <c r="F50" s="29"/>
    </row>
    <row r="51" spans="1:6" ht="17.100000000000001" customHeight="1" x14ac:dyDescent="0.25">
      <c r="A51" s="8" t="s">
        <v>17</v>
      </c>
      <c r="B51" s="51"/>
      <c r="C51" s="51">
        <v>97</v>
      </c>
      <c r="D51" s="51">
        <v>94</v>
      </c>
      <c r="E51" s="51">
        <v>99</v>
      </c>
      <c r="F51" s="29"/>
    </row>
    <row r="52" spans="1:6" ht="17.100000000000001" customHeight="1" x14ac:dyDescent="0.25">
      <c r="A52" s="8" t="s">
        <v>18</v>
      </c>
      <c r="B52" s="51"/>
      <c r="C52" s="51">
        <v>0</v>
      </c>
      <c r="D52" s="51">
        <v>0</v>
      </c>
      <c r="E52" s="51">
        <v>0</v>
      </c>
      <c r="F52" s="29"/>
    </row>
    <row r="53" spans="1:6" ht="17.100000000000001" customHeight="1" x14ac:dyDescent="0.25">
      <c r="A53" s="56"/>
      <c r="B53" s="57"/>
      <c r="C53" s="57">
        <f>SUM(C47:C52)</f>
        <v>9543</v>
      </c>
      <c r="D53" s="57">
        <f>SUM(D47:D52)</f>
        <v>8877</v>
      </c>
      <c r="E53" s="57">
        <f>SUM(E47:E52)</f>
        <v>8422</v>
      </c>
      <c r="F53" s="29"/>
    </row>
    <row r="54" spans="1:6" ht="17.100000000000001" customHeight="1" x14ac:dyDescent="0.25">
      <c r="A54" s="8"/>
      <c r="B54" s="51"/>
      <c r="C54" s="51"/>
      <c r="D54" s="51"/>
      <c r="E54" s="51"/>
      <c r="F54" s="29"/>
    </row>
    <row r="55" spans="1:6" ht="17.100000000000001" customHeight="1" x14ac:dyDescent="0.25">
      <c r="A55" s="58" t="s">
        <v>56</v>
      </c>
      <c r="B55" s="57"/>
      <c r="C55" s="57">
        <f t="shared" ref="C55" si="9">SUM(C46-C53)</f>
        <v>0</v>
      </c>
      <c r="D55" s="57">
        <f t="shared" ref="D55" si="10">SUM(D46-D53)</f>
        <v>0</v>
      </c>
      <c r="E55" s="57">
        <f t="shared" ref="E55" si="11">SUM(E46-E53)</f>
        <v>0</v>
      </c>
      <c r="F55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">
    <tabColor rgb="FF92D050"/>
  </sheetPr>
  <dimension ref="A2:F43"/>
  <sheetViews>
    <sheetView topLeftCell="A25" workbookViewId="0">
      <selection activeCell="A3" sqref="A3:E35"/>
    </sheetView>
  </sheetViews>
  <sheetFormatPr baseColWidth="10" defaultRowHeight="12.75" x14ac:dyDescent="0.2"/>
  <cols>
    <col min="1" max="1" width="44.140625" style="1" bestFit="1" customWidth="1"/>
    <col min="2" max="4" width="12.85546875" style="1" customWidth="1"/>
    <col min="5" max="16384" width="11.42578125" style="1"/>
  </cols>
  <sheetData>
    <row r="2" spans="1:6" ht="15.75" x14ac:dyDescent="0.25">
      <c r="C2" s="35"/>
    </row>
    <row r="3" spans="1:6" ht="15.75" x14ac:dyDescent="0.25">
      <c r="A3" s="66"/>
      <c r="B3" s="66">
        <v>2018</v>
      </c>
      <c r="C3" s="66">
        <v>2017</v>
      </c>
      <c r="D3" s="66">
        <v>2016</v>
      </c>
      <c r="E3" s="66">
        <v>2015</v>
      </c>
    </row>
    <row r="4" spans="1:6" ht="15.75" x14ac:dyDescent="0.25">
      <c r="A4" s="71" t="s">
        <v>71</v>
      </c>
      <c r="B4" s="71"/>
      <c r="C4" s="71"/>
      <c r="D4" s="71"/>
      <c r="E4" s="71"/>
    </row>
    <row r="5" spans="1:6" ht="17.100000000000001" customHeight="1" x14ac:dyDescent="0.25">
      <c r="A5" s="149" t="s">
        <v>48</v>
      </c>
      <c r="B5" s="149"/>
      <c r="C5" s="149"/>
      <c r="D5" s="149"/>
      <c r="E5" s="149"/>
    </row>
    <row r="6" spans="1:6" ht="17.100000000000001" customHeight="1" x14ac:dyDescent="0.2">
      <c r="A6" s="73"/>
      <c r="B6" s="73"/>
      <c r="C6" s="73"/>
      <c r="D6" s="73"/>
      <c r="E6" s="73"/>
    </row>
    <row r="7" spans="1:6" ht="17.100000000000001" customHeight="1" x14ac:dyDescent="0.25">
      <c r="A7" s="150" t="s">
        <v>4</v>
      </c>
      <c r="B7" s="45">
        <v>823</v>
      </c>
      <c r="C7" s="45">
        <v>758</v>
      </c>
      <c r="D7" s="45">
        <v>735</v>
      </c>
      <c r="E7" s="45">
        <v>649</v>
      </c>
      <c r="F7" s="2"/>
    </row>
    <row r="8" spans="1:6" ht="17.100000000000001" customHeight="1" x14ac:dyDescent="0.25">
      <c r="A8" s="150" t="s">
        <v>5</v>
      </c>
      <c r="B8" s="45">
        <v>5530</v>
      </c>
      <c r="C8" s="45">
        <v>5289</v>
      </c>
      <c r="D8" s="45">
        <v>5044</v>
      </c>
      <c r="E8" s="45">
        <v>7030</v>
      </c>
      <c r="F8" s="2"/>
    </row>
    <row r="9" spans="1:6" ht="17.100000000000001" customHeight="1" x14ac:dyDescent="0.25">
      <c r="A9" s="150" t="s">
        <v>6</v>
      </c>
      <c r="B9" s="45">
        <v>19717</v>
      </c>
      <c r="C9" s="45">
        <v>20176</v>
      </c>
      <c r="D9" s="45">
        <v>19278</v>
      </c>
      <c r="E9" s="45">
        <v>17613</v>
      </c>
      <c r="F9" s="2"/>
    </row>
    <row r="10" spans="1:6" ht="17.100000000000001" customHeight="1" x14ac:dyDescent="0.25">
      <c r="A10" s="151"/>
      <c r="B10" s="69">
        <f>SUM(B7:B9)</f>
        <v>26070</v>
      </c>
      <c r="C10" s="69">
        <f>SUM(C7:C9)</f>
        <v>26223</v>
      </c>
      <c r="D10" s="69">
        <f>SUM(D7:D9)</f>
        <v>25057</v>
      </c>
      <c r="E10" s="69">
        <f>SUM(E7:E9)</f>
        <v>25292</v>
      </c>
    </row>
    <row r="11" spans="1:6" ht="17.100000000000001" customHeight="1" x14ac:dyDescent="0.25">
      <c r="A11" s="150"/>
      <c r="B11" s="45"/>
      <c r="C11" s="45"/>
      <c r="D11" s="45"/>
      <c r="E11" s="150"/>
    </row>
    <row r="12" spans="1:6" ht="17.100000000000001" customHeight="1" x14ac:dyDescent="0.25">
      <c r="A12" s="149" t="s">
        <v>7</v>
      </c>
      <c r="B12" s="153"/>
      <c r="C12" s="153"/>
      <c r="D12" s="153"/>
      <c r="E12" s="149"/>
    </row>
    <row r="13" spans="1:6" ht="17.100000000000001" customHeight="1" x14ac:dyDescent="0.25">
      <c r="A13" s="149"/>
      <c r="B13" s="153"/>
      <c r="C13" s="153"/>
      <c r="D13" s="153"/>
      <c r="E13" s="149"/>
    </row>
    <row r="14" spans="1:6" ht="17.100000000000001" customHeight="1" x14ac:dyDescent="0.25">
      <c r="A14" s="150" t="s">
        <v>8</v>
      </c>
      <c r="B14" s="45">
        <v>10</v>
      </c>
      <c r="C14" s="45">
        <v>10</v>
      </c>
      <c r="D14" s="45">
        <v>10</v>
      </c>
      <c r="E14" s="150">
        <v>10</v>
      </c>
    </row>
    <row r="15" spans="1:6" ht="17.100000000000001" customHeight="1" x14ac:dyDescent="0.25">
      <c r="A15" s="150" t="s">
        <v>43</v>
      </c>
      <c r="B15" s="45">
        <v>498</v>
      </c>
      <c r="C15" s="45">
        <v>465</v>
      </c>
      <c r="D15" s="45">
        <v>483</v>
      </c>
      <c r="E15" s="150">
        <v>440</v>
      </c>
    </row>
    <row r="16" spans="1:6" ht="17.100000000000001" customHeight="1" x14ac:dyDescent="0.25">
      <c r="A16" s="150" t="s">
        <v>9</v>
      </c>
      <c r="B16" s="45">
        <v>4080</v>
      </c>
      <c r="C16" s="45">
        <v>3551</v>
      </c>
      <c r="D16" s="45">
        <v>3231</v>
      </c>
      <c r="E16" s="150">
        <v>2897</v>
      </c>
    </row>
    <row r="17" spans="1:5" ht="17.100000000000001" customHeight="1" x14ac:dyDescent="0.25">
      <c r="A17" s="150" t="s">
        <v>10</v>
      </c>
      <c r="B17" s="45">
        <v>1879</v>
      </c>
      <c r="C17" s="45">
        <v>2186</v>
      </c>
      <c r="D17" s="45">
        <v>2111</v>
      </c>
      <c r="E17" s="150">
        <v>4292</v>
      </c>
    </row>
    <row r="18" spans="1:5" ht="17.100000000000001" customHeight="1" x14ac:dyDescent="0.25">
      <c r="A18" s="150" t="s">
        <v>6</v>
      </c>
      <c r="B18" s="45">
        <v>19603</v>
      </c>
      <c r="C18" s="45">
        <v>20011</v>
      </c>
      <c r="D18" s="45">
        <v>19222</v>
      </c>
      <c r="E18" s="150">
        <v>17653</v>
      </c>
    </row>
    <row r="19" spans="1:5" ht="17.100000000000001" customHeight="1" x14ac:dyDescent="0.2">
      <c r="A19" s="68"/>
      <c r="B19" s="69">
        <f>SUM(B14:B18)</f>
        <v>26070</v>
      </c>
      <c r="C19" s="69">
        <f>SUM(C14:C18)</f>
        <v>26223</v>
      </c>
      <c r="D19" s="69">
        <f>SUM(D14:D18)</f>
        <v>25057</v>
      </c>
      <c r="E19" s="69">
        <f>SUM(E14:E18)</f>
        <v>25292</v>
      </c>
    </row>
    <row r="20" spans="1:5" ht="15.75" x14ac:dyDescent="0.25">
      <c r="A20" s="72"/>
      <c r="B20" s="127"/>
      <c r="C20" s="127"/>
      <c r="D20" s="127"/>
      <c r="E20" s="72"/>
    </row>
    <row r="21" spans="1:5" ht="17.100000000000001" customHeight="1" x14ac:dyDescent="0.25">
      <c r="A21" s="71" t="s">
        <v>66</v>
      </c>
      <c r="B21" s="148"/>
      <c r="C21" s="148"/>
      <c r="D21" s="148"/>
      <c r="E21" s="71"/>
    </row>
    <row r="22" spans="1:5" ht="17.100000000000001" customHeight="1" x14ac:dyDescent="0.2">
      <c r="A22" s="74" t="s">
        <v>61</v>
      </c>
      <c r="B22" s="53">
        <v>372072</v>
      </c>
      <c r="C22" s="53">
        <v>370808</v>
      </c>
      <c r="D22" s="53">
        <v>345939</v>
      </c>
      <c r="E22" s="53">
        <v>361640</v>
      </c>
    </row>
    <row r="23" spans="1:5" ht="17.100000000000001" customHeight="1" x14ac:dyDescent="0.2">
      <c r="A23" s="74" t="s">
        <v>19</v>
      </c>
      <c r="B23" s="53">
        <v>44955</v>
      </c>
      <c r="C23" s="53">
        <v>42770</v>
      </c>
      <c r="D23" s="53">
        <v>39395</v>
      </c>
      <c r="E23" s="74">
        <v>2569</v>
      </c>
    </row>
    <row r="24" spans="1:5" ht="17.100000000000001" customHeight="1" x14ac:dyDescent="0.2">
      <c r="A24" s="74" t="s">
        <v>13</v>
      </c>
      <c r="B24" s="53">
        <v>2</v>
      </c>
      <c r="C24" s="53">
        <v>2</v>
      </c>
      <c r="D24" s="53">
        <v>3</v>
      </c>
      <c r="E24" s="74">
        <v>3</v>
      </c>
    </row>
    <row r="25" spans="1:5" ht="17.100000000000001" customHeight="1" x14ac:dyDescent="0.2">
      <c r="A25" s="68"/>
      <c r="B25" s="69">
        <f>SUM(B22:B24)</f>
        <v>417029</v>
      </c>
      <c r="C25" s="69">
        <f>SUM(C22:C24)</f>
        <v>413580</v>
      </c>
      <c r="D25" s="69">
        <f>SUM(D22:D24)</f>
        <v>385337</v>
      </c>
      <c r="E25" s="69">
        <f>SUM(E22:E24)</f>
        <v>364212</v>
      </c>
    </row>
    <row r="26" spans="1:5" x14ac:dyDescent="0.2">
      <c r="A26" s="33"/>
      <c r="B26" s="76"/>
      <c r="C26" s="76"/>
      <c r="D26" s="76"/>
      <c r="E26" s="33"/>
    </row>
    <row r="27" spans="1:5" ht="17.100000000000001" customHeight="1" x14ac:dyDescent="0.2">
      <c r="A27" s="74" t="s">
        <v>20</v>
      </c>
      <c r="B27" s="152">
        <v>2153</v>
      </c>
      <c r="C27" s="152">
        <v>1610</v>
      </c>
      <c r="D27" s="152">
        <v>1571</v>
      </c>
      <c r="E27" s="152">
        <v>6401</v>
      </c>
    </row>
    <row r="28" spans="1:5" ht="17.100000000000001" customHeight="1" x14ac:dyDescent="0.2">
      <c r="A28" s="74" t="s">
        <v>14</v>
      </c>
      <c r="B28" s="53">
        <v>37688</v>
      </c>
      <c r="C28" s="53">
        <v>36484</v>
      </c>
      <c r="D28" s="53">
        <v>31944</v>
      </c>
      <c r="E28" s="53">
        <v>30224</v>
      </c>
    </row>
    <row r="29" spans="1:5" ht="17.100000000000001" customHeight="1" x14ac:dyDescent="0.2">
      <c r="A29" s="74" t="s">
        <v>15</v>
      </c>
      <c r="B29" s="53">
        <v>86</v>
      </c>
      <c r="C29" s="53">
        <v>64</v>
      </c>
      <c r="D29" s="53">
        <v>396</v>
      </c>
      <c r="E29" s="53">
        <v>120</v>
      </c>
    </row>
    <row r="30" spans="1:5" ht="16.5" customHeight="1" x14ac:dyDescent="0.2">
      <c r="A30" s="74" t="s">
        <v>57</v>
      </c>
      <c r="B30" s="53">
        <f>366099+10837</f>
        <v>376936</v>
      </c>
      <c r="C30" s="53">
        <f>365124+10174</f>
        <v>375298</v>
      </c>
      <c r="D30" s="53">
        <f>340637+10749</f>
        <v>351386</v>
      </c>
      <c r="E30" s="53">
        <f>322807+4513</f>
        <v>327320</v>
      </c>
    </row>
    <row r="31" spans="1:5" ht="17.100000000000001" customHeight="1" x14ac:dyDescent="0.2">
      <c r="A31" s="74" t="s">
        <v>17</v>
      </c>
      <c r="B31" s="53">
        <v>166</v>
      </c>
      <c r="C31" s="53">
        <v>124</v>
      </c>
      <c r="D31" s="53">
        <v>40</v>
      </c>
      <c r="E31" s="53">
        <v>147</v>
      </c>
    </row>
    <row r="32" spans="1:5" ht="17.100000000000001" customHeight="1" x14ac:dyDescent="0.2">
      <c r="A32" s="74" t="s">
        <v>18</v>
      </c>
      <c r="B32" s="53">
        <v>0</v>
      </c>
      <c r="C32" s="53">
        <v>0</v>
      </c>
      <c r="D32" s="53">
        <v>0</v>
      </c>
      <c r="E32" s="74">
        <v>0</v>
      </c>
    </row>
    <row r="33" spans="1:5" ht="17.100000000000001" customHeight="1" x14ac:dyDescent="0.2">
      <c r="A33" s="68"/>
      <c r="B33" s="69">
        <f>SUM(B27:B32)</f>
        <v>417029</v>
      </c>
      <c r="C33" s="69">
        <f>SUM(C27:C32)</f>
        <v>413580</v>
      </c>
      <c r="D33" s="69">
        <f>SUM(D27:D32)</f>
        <v>385337</v>
      </c>
      <c r="E33" s="69">
        <f>SUM(E27:E32)</f>
        <v>364212</v>
      </c>
    </row>
    <row r="34" spans="1:5" ht="17.100000000000001" customHeight="1" x14ac:dyDescent="0.2">
      <c r="A34" s="74"/>
      <c r="B34" s="53"/>
      <c r="C34" s="53"/>
      <c r="D34" s="53"/>
      <c r="E34" s="74"/>
    </row>
    <row r="35" spans="1:5" ht="17.100000000000001" customHeight="1" x14ac:dyDescent="0.2">
      <c r="A35" s="70" t="s">
        <v>56</v>
      </c>
      <c r="B35" s="69">
        <f>SUM(B25-B33)</f>
        <v>0</v>
      </c>
      <c r="C35" s="69">
        <f>SUM(C25-C33)</f>
        <v>0</v>
      </c>
      <c r="D35" s="69">
        <f>SUM(D25-D33)</f>
        <v>0</v>
      </c>
      <c r="E35" s="69">
        <f>SUM(E25-E33)</f>
        <v>0</v>
      </c>
    </row>
    <row r="36" spans="1:5" ht="15.75" x14ac:dyDescent="0.25">
      <c r="A36" s="29"/>
      <c r="B36" s="29"/>
      <c r="C36" s="29"/>
      <c r="D36" s="29"/>
      <c r="E36" s="29"/>
    </row>
    <row r="37" spans="1:5" ht="15.75" x14ac:dyDescent="0.25">
      <c r="A37" s="29" t="s">
        <v>62</v>
      </c>
      <c r="B37" s="29"/>
      <c r="C37" s="29"/>
      <c r="D37" s="29"/>
    </row>
    <row r="39" spans="1:5" x14ac:dyDescent="0.2">
      <c r="A39" s="1" t="s">
        <v>1</v>
      </c>
      <c r="B39" s="13">
        <f>$E$3</f>
        <v>2015</v>
      </c>
      <c r="C39" s="13">
        <f>$D$3</f>
        <v>2016</v>
      </c>
      <c r="D39" s="1">
        <f>$C$3</f>
        <v>2017</v>
      </c>
      <c r="E39" s="1">
        <f>$B$3</f>
        <v>2018</v>
      </c>
    </row>
    <row r="40" spans="1:5" x14ac:dyDescent="0.2">
      <c r="B40" s="2">
        <f>E35</f>
        <v>0</v>
      </c>
      <c r="C40" s="2">
        <f>D35</f>
        <v>0</v>
      </c>
      <c r="D40" s="2">
        <f>C35</f>
        <v>0</v>
      </c>
      <c r="E40" s="2">
        <f>B35</f>
        <v>0</v>
      </c>
    </row>
    <row r="42" spans="1:5" x14ac:dyDescent="0.2">
      <c r="A42" s="1" t="s">
        <v>0</v>
      </c>
      <c r="B42" s="13">
        <f>$E$3</f>
        <v>2015</v>
      </c>
      <c r="C42" s="13">
        <f>$D$3</f>
        <v>2016</v>
      </c>
      <c r="D42" s="1">
        <f>$C$3</f>
        <v>2017</v>
      </c>
      <c r="E42" s="1">
        <f>$B$3</f>
        <v>2018</v>
      </c>
    </row>
    <row r="43" spans="1:5" x14ac:dyDescent="0.2">
      <c r="B43" s="39">
        <f>E14/E19</f>
        <v>3.9538193895302865E-4</v>
      </c>
      <c r="C43" s="39">
        <f>D14/D19</f>
        <v>3.9909007462984397E-4</v>
      </c>
      <c r="D43" s="39">
        <f>C14/C19</f>
        <v>3.813446211341189E-4</v>
      </c>
      <c r="E43" s="39">
        <f>B14/B19</f>
        <v>3.835826620636747E-4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"/>
  <dimension ref="A2:E58"/>
  <sheetViews>
    <sheetView workbookViewId="0">
      <selection activeCell="A27" sqref="A27:E58"/>
    </sheetView>
  </sheetViews>
  <sheetFormatPr baseColWidth="10" defaultRowHeight="12.75" x14ac:dyDescent="0.2"/>
  <cols>
    <col min="1" max="1" width="36.85546875" style="1" bestFit="1" customWidth="1"/>
    <col min="2" max="16384" width="11.42578125" style="1"/>
  </cols>
  <sheetData>
    <row r="2" spans="1:5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B3" s="2">
        <f>E58</f>
        <v>-2500</v>
      </c>
      <c r="C3" s="2">
        <f>D58</f>
        <v>-1678</v>
      </c>
      <c r="D3" s="2">
        <f>C58</f>
        <v>-887</v>
      </c>
      <c r="E3" s="2">
        <f>B58</f>
        <v>-592</v>
      </c>
    </row>
    <row r="5" spans="1:5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E38/E42</f>
        <v>0.28306647841629368</v>
      </c>
      <c r="C6" s="3">
        <f>D38/D42</f>
        <v>0.23140816875317458</v>
      </c>
      <c r="D6" s="3">
        <f>C38/C42</f>
        <v>0.19363582460400372</v>
      </c>
      <c r="E6" s="3">
        <f>B38/B42</f>
        <v>0.16789475094450845</v>
      </c>
    </row>
    <row r="7" spans="1:5" x14ac:dyDescent="0.2">
      <c r="B7" s="3"/>
      <c r="C7" s="3"/>
      <c r="D7" s="3"/>
      <c r="E7" s="3"/>
    </row>
    <row r="8" spans="1:5" x14ac:dyDescent="0.2">
      <c r="B8" s="3"/>
      <c r="C8" s="3"/>
      <c r="D8" s="3"/>
      <c r="E8" s="3"/>
    </row>
    <row r="9" spans="1:5" x14ac:dyDescent="0.2">
      <c r="B9" s="3"/>
      <c r="C9" s="3"/>
      <c r="D9" s="3"/>
      <c r="E9" s="3"/>
    </row>
    <row r="10" spans="1:5" x14ac:dyDescent="0.2">
      <c r="B10" s="3"/>
      <c r="C10" s="3"/>
      <c r="D10" s="3"/>
      <c r="E10" s="3"/>
    </row>
    <row r="11" spans="1:5" x14ac:dyDescent="0.2">
      <c r="B11" s="3"/>
      <c r="C11" s="3"/>
      <c r="D11" s="3"/>
      <c r="E11" s="3"/>
    </row>
    <row r="12" spans="1:5" x14ac:dyDescent="0.2">
      <c r="B12" s="3"/>
      <c r="C12" s="3"/>
      <c r="D12" s="3"/>
      <c r="E12" s="3"/>
    </row>
    <row r="13" spans="1:5" x14ac:dyDescent="0.2">
      <c r="B13" s="3"/>
      <c r="C13" s="3"/>
      <c r="D13" s="3"/>
      <c r="E13" s="3"/>
    </row>
    <row r="14" spans="1:5" x14ac:dyDescent="0.2">
      <c r="B14" s="3"/>
      <c r="C14" s="3"/>
      <c r="D14" s="3"/>
      <c r="E14" s="3"/>
    </row>
    <row r="15" spans="1:5" x14ac:dyDescent="0.2">
      <c r="B15" s="3"/>
      <c r="C15" s="3"/>
      <c r="D15" s="3"/>
      <c r="E15" s="3"/>
    </row>
    <row r="16" spans="1:5" x14ac:dyDescent="0.2">
      <c r="B16" s="3"/>
      <c r="C16" s="3"/>
      <c r="D16" s="3"/>
      <c r="E16" s="3"/>
    </row>
    <row r="17" spans="1:5" x14ac:dyDescent="0.2">
      <c r="B17" s="3"/>
      <c r="C17" s="3"/>
      <c r="D17" s="3"/>
      <c r="E17" s="3"/>
    </row>
    <row r="18" spans="1:5" x14ac:dyDescent="0.2">
      <c r="B18" s="3"/>
      <c r="C18" s="3"/>
      <c r="D18" s="3"/>
      <c r="E18" s="3"/>
    </row>
    <row r="26" spans="1:5" ht="17.100000000000001" customHeight="1" x14ac:dyDescent="0.25">
      <c r="B26" s="35"/>
    </row>
    <row r="27" spans="1:5" ht="17.100000000000001" customHeight="1" x14ac:dyDescent="0.25">
      <c r="A27" s="54"/>
      <c r="B27" s="55">
        <v>2018</v>
      </c>
      <c r="C27" s="55">
        <v>2017</v>
      </c>
      <c r="D27" s="55">
        <v>2016</v>
      </c>
      <c r="E27" s="55">
        <v>2015</v>
      </c>
    </row>
    <row r="28" spans="1:5" ht="17.100000000000001" customHeight="1" x14ac:dyDescent="0.25">
      <c r="A28" s="35" t="s">
        <v>2</v>
      </c>
      <c r="B28" s="35"/>
      <c r="C28" s="35"/>
      <c r="D28" s="35"/>
      <c r="E28" s="35"/>
    </row>
    <row r="29" spans="1:5" ht="17.100000000000001" customHeight="1" x14ac:dyDescent="0.25">
      <c r="A29" s="36" t="s">
        <v>48</v>
      </c>
      <c r="B29" s="29"/>
      <c r="C29" s="29"/>
      <c r="D29" s="29"/>
      <c r="E29" s="29"/>
    </row>
    <row r="30" spans="1:5" ht="17.100000000000001" customHeight="1" x14ac:dyDescent="0.2">
      <c r="A30" s="36"/>
      <c r="B30" s="36"/>
      <c r="C30" s="36"/>
      <c r="D30" s="36"/>
      <c r="E30" s="36"/>
    </row>
    <row r="31" spans="1:5" ht="17.100000000000001" customHeight="1" x14ac:dyDescent="0.2">
      <c r="A31" s="8" t="s">
        <v>4</v>
      </c>
      <c r="B31" s="24">
        <v>13920</v>
      </c>
      <c r="C31" s="24">
        <v>12797</v>
      </c>
      <c r="D31" s="24">
        <v>8982</v>
      </c>
      <c r="E31" s="24">
        <v>9311</v>
      </c>
    </row>
    <row r="32" spans="1:5" ht="17.100000000000001" customHeight="1" x14ac:dyDescent="0.2">
      <c r="A32" s="8" t="s">
        <v>5</v>
      </c>
      <c r="B32" s="24">
        <v>23195</v>
      </c>
      <c r="C32" s="24">
        <v>22362</v>
      </c>
      <c r="D32" s="24">
        <v>24316</v>
      </c>
      <c r="E32" s="24">
        <v>23820</v>
      </c>
    </row>
    <row r="33" spans="1:5" ht="17.100000000000001" customHeight="1" x14ac:dyDescent="0.2">
      <c r="A33" s="8" t="s">
        <v>6</v>
      </c>
      <c r="B33" s="24">
        <v>206</v>
      </c>
      <c r="C33" s="24">
        <v>258</v>
      </c>
      <c r="D33" s="24">
        <v>171</v>
      </c>
      <c r="E33" s="24">
        <v>158</v>
      </c>
    </row>
    <row r="34" spans="1:5" ht="17.100000000000001" customHeight="1" x14ac:dyDescent="0.2">
      <c r="A34" s="56"/>
      <c r="B34" s="57">
        <f t="shared" ref="B34" si="0">SUM(B31:B33)</f>
        <v>37321</v>
      </c>
      <c r="C34" s="57">
        <f t="shared" ref="C34:D34" si="1">SUM(C31:C33)</f>
        <v>35417</v>
      </c>
      <c r="D34" s="57">
        <f t="shared" si="1"/>
        <v>33469</v>
      </c>
      <c r="E34" s="57">
        <f t="shared" ref="E34" si="2">SUM(E31:E33)</f>
        <v>33289</v>
      </c>
    </row>
    <row r="35" spans="1:5" ht="17.100000000000001" customHeight="1" x14ac:dyDescent="0.2">
      <c r="A35" s="8"/>
      <c r="B35" s="24"/>
      <c r="C35" s="24"/>
      <c r="D35" s="24"/>
      <c r="E35" s="24"/>
    </row>
    <row r="36" spans="1:5" ht="17.100000000000001" customHeight="1" x14ac:dyDescent="0.2">
      <c r="A36" s="36" t="s">
        <v>7</v>
      </c>
      <c r="B36" s="42"/>
      <c r="C36" s="42"/>
      <c r="D36" s="42"/>
      <c r="E36" s="42"/>
    </row>
    <row r="37" spans="1:5" ht="17.100000000000001" customHeight="1" x14ac:dyDescent="0.2">
      <c r="A37" s="36"/>
      <c r="B37" s="42"/>
      <c r="C37" s="42"/>
      <c r="D37" s="42"/>
      <c r="E37" s="42"/>
    </row>
    <row r="38" spans="1:5" ht="17.100000000000001" customHeight="1" x14ac:dyDescent="0.2">
      <c r="A38" s="8" t="s">
        <v>8</v>
      </c>
      <c r="B38" s="24">
        <v>6266</v>
      </c>
      <c r="C38" s="24">
        <v>6858</v>
      </c>
      <c r="D38" s="24">
        <v>7745</v>
      </c>
      <c r="E38" s="24">
        <v>9423</v>
      </c>
    </row>
    <row r="39" spans="1:5" ht="17.100000000000001" customHeight="1" x14ac:dyDescent="0.2">
      <c r="A39" s="8" t="s">
        <v>9</v>
      </c>
      <c r="B39" s="24">
        <v>29975</v>
      </c>
      <c r="C39" s="24">
        <v>27108</v>
      </c>
      <c r="D39" s="24">
        <v>24417</v>
      </c>
      <c r="E39" s="24">
        <v>22359</v>
      </c>
    </row>
    <row r="40" spans="1:5" ht="17.100000000000001" customHeight="1" x14ac:dyDescent="0.2">
      <c r="A40" s="8" t="s">
        <v>10</v>
      </c>
      <c r="B40" s="24">
        <v>1009</v>
      </c>
      <c r="C40" s="24">
        <v>976</v>
      </c>
      <c r="D40" s="24">
        <v>857</v>
      </c>
      <c r="E40" s="24">
        <v>1203</v>
      </c>
    </row>
    <row r="41" spans="1:5" ht="17.100000000000001" customHeight="1" x14ac:dyDescent="0.2">
      <c r="A41" s="8" t="s">
        <v>6</v>
      </c>
      <c r="B41" s="24">
        <v>71</v>
      </c>
      <c r="C41" s="24">
        <v>475</v>
      </c>
      <c r="D41" s="24">
        <v>450</v>
      </c>
      <c r="E41" s="24">
        <v>304</v>
      </c>
    </row>
    <row r="42" spans="1:5" ht="17.100000000000001" customHeight="1" x14ac:dyDescent="0.2">
      <c r="A42" s="56"/>
      <c r="B42" s="57">
        <f t="shared" ref="B42" si="3">SUM(B38:B41)</f>
        <v>37321</v>
      </c>
      <c r="C42" s="57">
        <f t="shared" ref="C42:E42" si="4">SUM(C38:C41)</f>
        <v>35417</v>
      </c>
      <c r="D42" s="57">
        <f t="shared" si="4"/>
        <v>33469</v>
      </c>
      <c r="E42" s="57">
        <f t="shared" si="4"/>
        <v>33289</v>
      </c>
    </row>
    <row r="43" spans="1:5" ht="17.100000000000001" customHeight="1" x14ac:dyDescent="0.25">
      <c r="A43" s="35" t="s">
        <v>66</v>
      </c>
      <c r="B43" s="24"/>
      <c r="C43" s="24"/>
      <c r="D43" s="24"/>
      <c r="E43" s="24"/>
    </row>
    <row r="44" spans="1:5" ht="17.100000000000001" customHeight="1" x14ac:dyDescent="0.2">
      <c r="A44" s="8"/>
      <c r="B44" s="24"/>
      <c r="C44" s="24"/>
      <c r="D44" s="24"/>
      <c r="E44" s="24"/>
    </row>
    <row r="45" spans="1:5" ht="17.100000000000001" customHeight="1" x14ac:dyDescent="0.2">
      <c r="A45" s="8" t="s">
        <v>12</v>
      </c>
      <c r="B45" s="24">
        <v>18087</v>
      </c>
      <c r="C45" s="24">
        <v>18093</v>
      </c>
      <c r="D45" s="24">
        <v>17552</v>
      </c>
      <c r="E45" s="24">
        <v>17462</v>
      </c>
    </row>
    <row r="46" spans="1:5" ht="17.100000000000001" customHeight="1" x14ac:dyDescent="0.2">
      <c r="A46" s="8" t="s">
        <v>19</v>
      </c>
      <c r="B46" s="24">
        <v>45</v>
      </c>
      <c r="C46" s="24">
        <v>17</v>
      </c>
      <c r="D46" s="24">
        <v>3</v>
      </c>
      <c r="E46" s="24">
        <v>65</v>
      </c>
    </row>
    <row r="47" spans="1:5" ht="17.100000000000001" customHeight="1" x14ac:dyDescent="0.2">
      <c r="A47" s="8" t="s">
        <v>13</v>
      </c>
      <c r="B47" s="24">
        <v>1619</v>
      </c>
      <c r="C47" s="24">
        <v>1252</v>
      </c>
      <c r="D47" s="24">
        <v>0</v>
      </c>
      <c r="E47" s="24">
        <v>2</v>
      </c>
    </row>
    <row r="48" spans="1:5" ht="17.100000000000001" customHeight="1" x14ac:dyDescent="0.2">
      <c r="A48" s="56"/>
      <c r="B48" s="57">
        <f t="shared" ref="B48" si="5">SUM(B45:B47)</f>
        <v>19751</v>
      </c>
      <c r="C48" s="57">
        <f t="shared" ref="C48:E48" si="6">SUM(C45:C47)</f>
        <v>19362</v>
      </c>
      <c r="D48" s="57">
        <f t="shared" si="6"/>
        <v>17555</v>
      </c>
      <c r="E48" s="57">
        <f t="shared" si="6"/>
        <v>17529</v>
      </c>
    </row>
    <row r="49" spans="1:5" ht="17.100000000000001" customHeight="1" x14ac:dyDescent="0.2">
      <c r="A49" s="8"/>
      <c r="B49" s="24"/>
      <c r="C49" s="24"/>
      <c r="D49" s="24"/>
      <c r="E49" s="24"/>
    </row>
    <row r="50" spans="1:5" ht="17.100000000000001" customHeight="1" x14ac:dyDescent="0.2">
      <c r="A50" s="8" t="s">
        <v>20</v>
      </c>
      <c r="B50" s="24">
        <v>6664</v>
      </c>
      <c r="C50" s="24">
        <v>6812</v>
      </c>
      <c r="D50" s="24">
        <v>6759</v>
      </c>
      <c r="E50" s="24">
        <v>6835</v>
      </c>
    </row>
    <row r="51" spans="1:5" ht="17.100000000000001" customHeight="1" x14ac:dyDescent="0.2">
      <c r="A51" s="8" t="s">
        <v>14</v>
      </c>
      <c r="B51" s="24">
        <v>5331</v>
      </c>
      <c r="C51" s="24">
        <v>6037</v>
      </c>
      <c r="D51" s="24">
        <v>7471</v>
      </c>
      <c r="E51" s="24">
        <v>8368</v>
      </c>
    </row>
    <row r="52" spans="1:5" ht="17.100000000000001" customHeight="1" x14ac:dyDescent="0.2">
      <c r="A52" s="8" t="s">
        <v>15</v>
      </c>
      <c r="B52" s="24">
        <v>1200</v>
      </c>
      <c r="C52" s="24">
        <v>1126</v>
      </c>
      <c r="D52" s="24">
        <v>1142</v>
      </c>
      <c r="E52" s="24">
        <v>1193</v>
      </c>
    </row>
    <row r="53" spans="1:5" ht="17.100000000000001" customHeight="1" x14ac:dyDescent="0.2">
      <c r="A53" s="8" t="s">
        <v>16</v>
      </c>
      <c r="B53" s="24">
        <v>4156</v>
      </c>
      <c r="C53" s="24">
        <v>3989</v>
      </c>
      <c r="D53" s="24">
        <v>3861</v>
      </c>
      <c r="E53" s="24">
        <v>3633</v>
      </c>
    </row>
    <row r="54" spans="1:5" ht="17.100000000000001" customHeight="1" x14ac:dyDescent="0.2">
      <c r="A54" s="8" t="s">
        <v>17</v>
      </c>
      <c r="B54" s="24">
        <v>2992</v>
      </c>
      <c r="C54" s="24">
        <v>2285</v>
      </c>
      <c r="D54" s="24">
        <v>0</v>
      </c>
      <c r="E54" s="24">
        <v>0</v>
      </c>
    </row>
    <row r="55" spans="1:5" ht="17.100000000000001" customHeight="1" x14ac:dyDescent="0.2">
      <c r="A55" s="8" t="s">
        <v>18</v>
      </c>
      <c r="B55" s="24">
        <v>0</v>
      </c>
      <c r="C55" s="24">
        <v>0</v>
      </c>
      <c r="D55" s="24">
        <v>0</v>
      </c>
      <c r="E55" s="24">
        <v>0</v>
      </c>
    </row>
    <row r="56" spans="1:5" ht="17.100000000000001" customHeight="1" x14ac:dyDescent="0.2">
      <c r="A56" s="56"/>
      <c r="B56" s="57">
        <f t="shared" ref="B56" si="7">SUM(B50:B55)</f>
        <v>20343</v>
      </c>
      <c r="C56" s="57">
        <f t="shared" ref="C56:E56" si="8">SUM(C50:C55)</f>
        <v>20249</v>
      </c>
      <c r="D56" s="57">
        <f t="shared" si="8"/>
        <v>19233</v>
      </c>
      <c r="E56" s="57">
        <f t="shared" si="8"/>
        <v>20029</v>
      </c>
    </row>
    <row r="57" spans="1:5" ht="17.100000000000001" customHeight="1" x14ac:dyDescent="0.2">
      <c r="A57" s="8"/>
      <c r="B57" s="24"/>
      <c r="C57" s="24"/>
      <c r="D57" s="24"/>
      <c r="E57" s="24"/>
    </row>
    <row r="58" spans="1:5" ht="17.100000000000001" customHeight="1" x14ac:dyDescent="0.2">
      <c r="A58" s="58" t="s">
        <v>56</v>
      </c>
      <c r="B58" s="57">
        <f t="shared" ref="B58" si="9">SUM(B48-B56)</f>
        <v>-592</v>
      </c>
      <c r="C58" s="57">
        <f t="shared" ref="C58:E58" si="10">SUM(C48-C56)</f>
        <v>-887</v>
      </c>
      <c r="D58" s="57">
        <f t="shared" si="10"/>
        <v>-1678</v>
      </c>
      <c r="E58" s="57">
        <f t="shared" si="10"/>
        <v>-2500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>
    <tabColor rgb="FF92D050"/>
  </sheetPr>
  <dimension ref="A1:F56"/>
  <sheetViews>
    <sheetView topLeftCell="A23" workbookViewId="0">
      <selection activeCell="A24" sqref="A24:E55"/>
    </sheetView>
  </sheetViews>
  <sheetFormatPr baseColWidth="10" defaultRowHeight="15" x14ac:dyDescent="0.25"/>
  <cols>
    <col min="1" max="1" width="37.42578125" style="30" customWidth="1"/>
    <col min="2" max="16384" width="11.42578125" style="30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 t="s">
        <v>1</v>
      </c>
      <c r="B2" s="1">
        <f>$E$24</f>
        <v>2015</v>
      </c>
      <c r="C2" s="1">
        <f>$D$24</f>
        <v>2016</v>
      </c>
      <c r="D2" s="1">
        <f>$C$24</f>
        <v>2017</v>
      </c>
      <c r="E2" s="1">
        <f>$B$24</f>
        <v>2018</v>
      </c>
    </row>
    <row r="3" spans="1:5" x14ac:dyDescent="0.25">
      <c r="A3" s="33"/>
      <c r="B3" s="2">
        <f>E55</f>
        <v>32722</v>
      </c>
      <c r="C3" s="2">
        <f>D55</f>
        <v>35043</v>
      </c>
      <c r="D3" s="2">
        <f>C55</f>
        <v>21852</v>
      </c>
      <c r="E3" s="2">
        <f>B55</f>
        <v>9226</v>
      </c>
    </row>
    <row r="4" spans="1:5" x14ac:dyDescent="0.25">
      <c r="A4" s="1"/>
      <c r="B4" s="1"/>
      <c r="C4" s="1"/>
      <c r="D4" s="1"/>
      <c r="E4" s="1"/>
    </row>
    <row r="5" spans="1:5" x14ac:dyDescent="0.25">
      <c r="A5" s="1" t="s">
        <v>0</v>
      </c>
      <c r="B5" s="1">
        <f>$E$24</f>
        <v>2015</v>
      </c>
      <c r="C5" s="1">
        <f>$D$24</f>
        <v>2016</v>
      </c>
      <c r="D5" s="1">
        <f>$C$24</f>
        <v>2017</v>
      </c>
      <c r="E5" s="1">
        <f>$B$24</f>
        <v>2018</v>
      </c>
    </row>
    <row r="6" spans="1:5" x14ac:dyDescent="0.25">
      <c r="A6" s="1"/>
      <c r="B6" s="3">
        <f>E35/E41</f>
        <v>0.48541580571066112</v>
      </c>
      <c r="C6" s="3">
        <f>D35/D41</f>
        <v>0.48159425356768265</v>
      </c>
      <c r="D6" s="3">
        <f>C35/C41</f>
        <v>0.49321489370705396</v>
      </c>
      <c r="E6" s="3">
        <f>B35/B41</f>
        <v>0.50693877551020405</v>
      </c>
    </row>
    <row r="9" spans="1:5" x14ac:dyDescent="0.25">
      <c r="A9" s="32"/>
      <c r="B9" s="32"/>
    </row>
    <row r="10" spans="1:5" x14ac:dyDescent="0.25">
      <c r="C10" s="31"/>
      <c r="D10" s="31"/>
      <c r="E10" s="31"/>
    </row>
    <row r="11" spans="1:5" x14ac:dyDescent="0.25">
      <c r="C11" s="31"/>
      <c r="D11" s="31"/>
      <c r="E11" s="31"/>
    </row>
    <row r="12" spans="1:5" x14ac:dyDescent="0.25">
      <c r="C12" s="31"/>
      <c r="D12" s="31"/>
      <c r="E12" s="31"/>
    </row>
    <row r="13" spans="1:5" x14ac:dyDescent="0.25">
      <c r="C13" s="31"/>
      <c r="D13" s="31"/>
      <c r="E13" s="31"/>
    </row>
    <row r="14" spans="1:5" x14ac:dyDescent="0.25">
      <c r="C14" s="31"/>
      <c r="D14" s="31"/>
      <c r="E14" s="31"/>
    </row>
    <row r="15" spans="1:5" x14ac:dyDescent="0.25">
      <c r="C15" s="31"/>
      <c r="D15" s="31"/>
      <c r="E15" s="31"/>
    </row>
    <row r="16" spans="1:5" x14ac:dyDescent="0.25">
      <c r="C16" s="31"/>
      <c r="D16" s="31"/>
      <c r="E16" s="31"/>
    </row>
    <row r="17" spans="1:6" x14ac:dyDescent="0.25">
      <c r="C17" s="31"/>
      <c r="D17" s="31"/>
      <c r="E17" s="31"/>
    </row>
    <row r="18" spans="1:6" x14ac:dyDescent="0.25">
      <c r="C18" s="31"/>
      <c r="D18" s="31"/>
      <c r="E18" s="31"/>
    </row>
    <row r="19" spans="1:6" x14ac:dyDescent="0.25">
      <c r="C19" s="31"/>
      <c r="D19" s="31"/>
      <c r="E19" s="31"/>
    </row>
    <row r="20" spans="1:6" x14ac:dyDescent="0.25">
      <c r="C20" s="31"/>
      <c r="D20" s="31"/>
      <c r="E20" s="31"/>
    </row>
    <row r="21" spans="1:6" x14ac:dyDescent="0.25">
      <c r="C21" s="31"/>
    </row>
    <row r="24" spans="1:6" ht="17.100000000000001" customHeight="1" x14ac:dyDescent="0.25">
      <c r="A24" s="54"/>
      <c r="B24" s="55">
        <v>2018</v>
      </c>
      <c r="C24" s="55">
        <v>2017</v>
      </c>
      <c r="D24" s="55">
        <v>2016</v>
      </c>
      <c r="E24" s="55">
        <v>2015</v>
      </c>
    </row>
    <row r="25" spans="1:6" ht="17.100000000000001" customHeight="1" x14ac:dyDescent="0.25">
      <c r="A25" s="35" t="s">
        <v>2</v>
      </c>
    </row>
    <row r="26" spans="1:6" ht="17.100000000000001" customHeight="1" x14ac:dyDescent="0.25">
      <c r="A26" s="36" t="s">
        <v>48</v>
      </c>
      <c r="F26" s="11"/>
    </row>
    <row r="27" spans="1:6" ht="17.100000000000001" customHeight="1" x14ac:dyDescent="0.25">
      <c r="A27" s="36"/>
      <c r="F27" s="20"/>
    </row>
    <row r="28" spans="1:6" ht="17.100000000000001" customHeight="1" x14ac:dyDescent="0.25">
      <c r="A28" s="8" t="s">
        <v>4</v>
      </c>
      <c r="B28" s="24">
        <v>190994</v>
      </c>
      <c r="C28" s="24">
        <v>187534</v>
      </c>
      <c r="D28" s="24">
        <v>187967</v>
      </c>
      <c r="E28" s="24">
        <v>184363</v>
      </c>
      <c r="F28" s="15"/>
    </row>
    <row r="29" spans="1:6" ht="17.100000000000001" customHeight="1" x14ac:dyDescent="0.25">
      <c r="A29" s="8" t="s">
        <v>5</v>
      </c>
      <c r="B29" s="24">
        <v>93385</v>
      </c>
      <c r="C29" s="24">
        <v>104966</v>
      </c>
      <c r="D29" s="24">
        <v>112142</v>
      </c>
      <c r="E29" s="24">
        <v>113439</v>
      </c>
      <c r="F29" s="15"/>
    </row>
    <row r="30" spans="1:6" ht="17.100000000000001" customHeight="1" x14ac:dyDescent="0.25">
      <c r="A30" s="50" t="s">
        <v>26</v>
      </c>
      <c r="B30" s="51">
        <v>13712</v>
      </c>
      <c r="C30" s="51">
        <v>13664</v>
      </c>
      <c r="D30" s="51">
        <v>13615</v>
      </c>
      <c r="E30" s="51">
        <v>13565</v>
      </c>
      <c r="F30" s="15"/>
    </row>
    <row r="31" spans="1:6" ht="17.100000000000001" customHeight="1" x14ac:dyDescent="0.25">
      <c r="A31" s="8" t="s">
        <v>6</v>
      </c>
      <c r="B31" s="24">
        <v>809</v>
      </c>
      <c r="C31" s="24">
        <v>1053</v>
      </c>
      <c r="D31" s="24">
        <f>770+136</f>
        <v>906</v>
      </c>
      <c r="E31" s="24">
        <v>786</v>
      </c>
      <c r="F31" s="15"/>
    </row>
    <row r="32" spans="1:6" ht="17.100000000000001" customHeight="1" x14ac:dyDescent="0.25">
      <c r="A32" s="56"/>
      <c r="B32" s="57">
        <f>SUM(B28:B31)</f>
        <v>298900</v>
      </c>
      <c r="C32" s="57">
        <f>SUM(C28:C31)</f>
        <v>307217</v>
      </c>
      <c r="D32" s="57">
        <f>SUM(D28:D31)</f>
        <v>314630</v>
      </c>
      <c r="E32" s="57">
        <f>SUM(E28:E31)</f>
        <v>312153</v>
      </c>
      <c r="F32" s="17"/>
    </row>
    <row r="33" spans="1:6" ht="17.100000000000001" customHeight="1" x14ac:dyDescent="0.25">
      <c r="A33" s="36" t="s">
        <v>7</v>
      </c>
      <c r="B33" s="29"/>
      <c r="C33" s="29"/>
      <c r="D33" s="29"/>
      <c r="E33" s="29"/>
      <c r="F33" s="15"/>
    </row>
    <row r="34" spans="1:6" ht="17.100000000000001" customHeight="1" x14ac:dyDescent="0.25">
      <c r="A34" s="36"/>
      <c r="B34" s="29"/>
      <c r="C34" s="29"/>
      <c r="D34" s="29"/>
      <c r="E34" s="29"/>
      <c r="F34" s="15"/>
    </row>
    <row r="35" spans="1:6" ht="17.100000000000001" customHeight="1" x14ac:dyDescent="0.25">
      <c r="A35" s="8" t="s">
        <v>8</v>
      </c>
      <c r="B35" s="24">
        <v>151524</v>
      </c>
      <c r="C35" s="24">
        <v>151524</v>
      </c>
      <c r="D35" s="24">
        <v>151524</v>
      </c>
      <c r="E35" s="24">
        <v>151524</v>
      </c>
      <c r="F35" s="15"/>
    </row>
    <row r="36" spans="1:6" ht="17.100000000000001" customHeight="1" x14ac:dyDescent="0.25">
      <c r="A36" s="8" t="s">
        <v>28</v>
      </c>
      <c r="B36" s="24">
        <v>59902</v>
      </c>
      <c r="C36" s="24">
        <v>60997</v>
      </c>
      <c r="D36" s="24">
        <v>63544</v>
      </c>
      <c r="E36" s="24">
        <v>62076</v>
      </c>
      <c r="F36" s="15"/>
    </row>
    <row r="37" spans="1:6" ht="17.100000000000001" customHeight="1" x14ac:dyDescent="0.25">
      <c r="A37" s="8" t="s">
        <v>9</v>
      </c>
      <c r="B37" s="24">
        <v>47295</v>
      </c>
      <c r="C37" s="24">
        <v>41235</v>
      </c>
      <c r="D37" s="24">
        <v>39815</v>
      </c>
      <c r="E37" s="24">
        <v>37833</v>
      </c>
      <c r="F37" s="15"/>
    </row>
    <row r="38" spans="1:6" ht="17.100000000000001" customHeight="1" x14ac:dyDescent="0.25">
      <c r="A38" s="8" t="s">
        <v>10</v>
      </c>
      <c r="B38" s="24">
        <v>38543</v>
      </c>
      <c r="C38" s="24">
        <v>51710</v>
      </c>
      <c r="D38" s="24">
        <v>57364</v>
      </c>
      <c r="E38" s="24">
        <v>58735</v>
      </c>
      <c r="F38" s="15"/>
    </row>
    <row r="39" spans="1:6" ht="17.100000000000001" customHeight="1" x14ac:dyDescent="0.25">
      <c r="A39" s="8" t="s">
        <v>27</v>
      </c>
      <c r="B39" s="24">
        <v>113</v>
      </c>
      <c r="C39" s="24">
        <v>149</v>
      </c>
      <c r="D39" s="24">
        <v>184</v>
      </c>
      <c r="E39" s="24">
        <v>220</v>
      </c>
      <c r="F39" s="20"/>
    </row>
    <row r="40" spans="1:6" ht="17.100000000000001" customHeight="1" x14ac:dyDescent="0.25">
      <c r="A40" s="8" t="s">
        <v>6</v>
      </c>
      <c r="B40" s="24">
        <v>1523</v>
      </c>
      <c r="C40" s="24">
        <v>1602</v>
      </c>
      <c r="D40" s="24">
        <v>2199</v>
      </c>
      <c r="E40" s="24">
        <v>1765</v>
      </c>
      <c r="F40" s="20"/>
    </row>
    <row r="41" spans="1:6" ht="15.75" customHeight="1" x14ac:dyDescent="0.25">
      <c r="A41" s="56"/>
      <c r="B41" s="57">
        <f>SUM(B35:B40)</f>
        <v>298900</v>
      </c>
      <c r="C41" s="57">
        <f>SUM(C35:C40)</f>
        <v>307217</v>
      </c>
      <c r="D41" s="57">
        <f>SUM(D35:D40)</f>
        <v>314630</v>
      </c>
      <c r="E41" s="57">
        <f>SUM(E35:E40)</f>
        <v>312153</v>
      </c>
      <c r="F41" s="17"/>
    </row>
    <row r="42" spans="1:6" ht="17.100000000000001" customHeight="1" x14ac:dyDescent="0.25">
      <c r="A42" s="35" t="s">
        <v>66</v>
      </c>
      <c r="B42" s="29"/>
      <c r="C42" s="29"/>
      <c r="D42" s="29"/>
      <c r="E42" s="29"/>
      <c r="F42" s="31"/>
    </row>
    <row r="43" spans="1:6" ht="17.100000000000001" customHeight="1" x14ac:dyDescent="0.25">
      <c r="A43" s="8" t="s">
        <v>12</v>
      </c>
      <c r="B43" s="24">
        <f>220450+15679+8546+3238+65753</f>
        <v>313666</v>
      </c>
      <c r="C43" s="24">
        <f>220957+16446+5680+3845+73789</f>
        <v>320717</v>
      </c>
      <c r="D43" s="24">
        <f>223445+15721+5931+4846+76768</f>
        <v>326711</v>
      </c>
      <c r="E43" s="24">
        <f>216832+14907+5105+4367</f>
        <v>241211</v>
      </c>
      <c r="F43" s="15"/>
    </row>
    <row r="44" spans="1:6" ht="17.100000000000001" customHeight="1" x14ac:dyDescent="0.25">
      <c r="A44" s="8" t="s">
        <v>19</v>
      </c>
      <c r="B44" s="24">
        <f>528+194+15332+7188+48+7333</f>
        <v>30623</v>
      </c>
      <c r="C44" s="24">
        <f>-418+450+15401+10718+50+6931+36</f>
        <v>33168</v>
      </c>
      <c r="D44" s="24">
        <f>-78+28+10940+7050+50+6029+36</f>
        <v>24055</v>
      </c>
      <c r="E44" s="24">
        <f>69326+624+7227+58+6018+36</f>
        <v>83289</v>
      </c>
      <c r="F44" s="15"/>
    </row>
    <row r="45" spans="1:6" ht="17.100000000000001" customHeight="1" x14ac:dyDescent="0.25">
      <c r="A45" s="8" t="s">
        <v>13</v>
      </c>
      <c r="B45" s="24">
        <v>21</v>
      </c>
      <c r="C45" s="24">
        <v>77</v>
      </c>
      <c r="D45" s="24">
        <v>120</v>
      </c>
      <c r="E45" s="24">
        <v>141</v>
      </c>
      <c r="F45" s="20"/>
    </row>
    <row r="46" spans="1:6" ht="17.100000000000001" customHeight="1" x14ac:dyDescent="0.25">
      <c r="A46" s="56"/>
      <c r="B46" s="57">
        <f>SUM(B43:B45)</f>
        <v>344310</v>
      </c>
      <c r="C46" s="57">
        <f>SUM(C43:C45)</f>
        <v>353962</v>
      </c>
      <c r="D46" s="57">
        <f>SUM(D43:D45)</f>
        <v>350886</v>
      </c>
      <c r="E46" s="57">
        <f>SUM(E43:E45)</f>
        <v>324641</v>
      </c>
      <c r="F46" s="17"/>
    </row>
    <row r="47" spans="1:6" ht="17.100000000000001" customHeight="1" x14ac:dyDescent="0.25">
      <c r="A47" s="8" t="s">
        <v>14</v>
      </c>
      <c r="B47" s="24">
        <v>162367</v>
      </c>
      <c r="C47" s="24">
        <v>159396</v>
      </c>
      <c r="D47" s="24">
        <v>157428</v>
      </c>
      <c r="E47" s="24">
        <f>122243+30317</f>
        <v>152560</v>
      </c>
      <c r="F47" s="15"/>
    </row>
    <row r="48" spans="1:6" ht="17.100000000000001" customHeight="1" x14ac:dyDescent="0.25">
      <c r="A48" s="8" t="s">
        <v>20</v>
      </c>
      <c r="B48" s="24">
        <v>110819</v>
      </c>
      <c r="C48" s="24">
        <v>108364</v>
      </c>
      <c r="D48" s="24">
        <v>107333</v>
      </c>
      <c r="E48" s="24">
        <v>57476</v>
      </c>
      <c r="F48" s="15"/>
    </row>
    <row r="49" spans="1:6" ht="17.100000000000001" customHeight="1" x14ac:dyDescent="0.25">
      <c r="A49" s="8" t="s">
        <v>15</v>
      </c>
      <c r="B49" s="24">
        <v>16249</v>
      </c>
      <c r="C49" s="24">
        <v>17011</v>
      </c>
      <c r="D49" s="24">
        <v>13424</v>
      </c>
      <c r="E49" s="24">
        <v>12926</v>
      </c>
      <c r="F49" s="15"/>
    </row>
    <row r="50" spans="1:6" ht="17.100000000000001" customHeight="1" x14ac:dyDescent="0.25">
      <c r="A50" s="8" t="s">
        <v>16</v>
      </c>
      <c r="B50" s="24">
        <f>7834+400+36665</f>
        <v>44899</v>
      </c>
      <c r="C50" s="24">
        <f>10934+203+35569</f>
        <v>46706</v>
      </c>
      <c r="D50" s="24">
        <f>7073+29471</f>
        <v>36544</v>
      </c>
      <c r="E50" s="24">
        <f>6993+238+60401</f>
        <v>67632</v>
      </c>
      <c r="F50" s="15"/>
    </row>
    <row r="51" spans="1:6" ht="17.100000000000001" customHeight="1" x14ac:dyDescent="0.25">
      <c r="A51" s="8" t="s">
        <v>17</v>
      </c>
      <c r="B51" s="24">
        <v>614</v>
      </c>
      <c r="C51" s="24">
        <v>676</v>
      </c>
      <c r="D51" s="24">
        <v>851</v>
      </c>
      <c r="E51" s="24">
        <v>1042</v>
      </c>
      <c r="F51" s="15"/>
    </row>
    <row r="52" spans="1:6" ht="17.100000000000001" customHeight="1" x14ac:dyDescent="0.25">
      <c r="A52" s="8" t="s">
        <v>18</v>
      </c>
      <c r="B52" s="24">
        <v>136</v>
      </c>
      <c r="C52" s="24">
        <v>-43</v>
      </c>
      <c r="D52" s="24">
        <v>263</v>
      </c>
      <c r="E52" s="24">
        <v>283</v>
      </c>
      <c r="F52" s="15"/>
    </row>
    <row r="53" spans="1:6" ht="17.100000000000001" customHeight="1" x14ac:dyDescent="0.25">
      <c r="A53" s="56"/>
      <c r="B53" s="57">
        <f>SUM(B47:B52)</f>
        <v>335084</v>
      </c>
      <c r="C53" s="57">
        <f>SUM(C47:C52)</f>
        <v>332110</v>
      </c>
      <c r="D53" s="57">
        <f>SUM(D47:D52)</f>
        <v>315843</v>
      </c>
      <c r="E53" s="57">
        <f>SUM(E47:E52)</f>
        <v>291919</v>
      </c>
      <c r="F53" s="17"/>
    </row>
    <row r="54" spans="1:6" ht="17.100000000000001" customHeight="1" x14ac:dyDescent="0.25">
      <c r="A54" s="8"/>
      <c r="B54" s="29"/>
      <c r="C54" s="29"/>
      <c r="D54" s="29"/>
      <c r="E54" s="29"/>
      <c r="F54" s="15"/>
    </row>
    <row r="55" spans="1:6" ht="17.100000000000001" customHeight="1" x14ac:dyDescent="0.25">
      <c r="A55" s="58" t="s">
        <v>82</v>
      </c>
      <c r="B55" s="57">
        <f>SUM(B46-B53)</f>
        <v>9226</v>
      </c>
      <c r="C55" s="57">
        <f>SUM(C46-C53)</f>
        <v>21852</v>
      </c>
      <c r="D55" s="57">
        <f>SUM(D46-D53)</f>
        <v>35043</v>
      </c>
      <c r="E55" s="57">
        <f>SUM(E46-E53)</f>
        <v>32722</v>
      </c>
      <c r="F55" s="17"/>
    </row>
    <row r="56" spans="1:6" ht="15.75" x14ac:dyDescent="0.25">
      <c r="A56" s="29"/>
      <c r="B56" s="29"/>
      <c r="C56" s="29"/>
      <c r="D56" s="29"/>
      <c r="E56" s="2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3"/>
  <sheetViews>
    <sheetView topLeftCell="A12" workbookViewId="0">
      <selection activeCell="A24" sqref="A24:E52"/>
    </sheetView>
  </sheetViews>
  <sheetFormatPr baseColWidth="10" defaultRowHeight="15" x14ac:dyDescent="0.25"/>
  <cols>
    <col min="1" max="1" width="37.42578125" style="30" customWidth="1"/>
    <col min="2" max="16384" width="11.42578125" style="30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 t="s">
        <v>1</v>
      </c>
      <c r="B2" s="1">
        <f>$E$24</f>
        <v>2015</v>
      </c>
      <c r="C2" s="1">
        <f>$D$24</f>
        <v>2016</v>
      </c>
      <c r="D2" s="1">
        <f>$C$24</f>
        <v>2017</v>
      </c>
      <c r="E2" s="1">
        <f>$B$24</f>
        <v>2018</v>
      </c>
    </row>
    <row r="3" spans="1:5" x14ac:dyDescent="0.25">
      <c r="A3" s="33"/>
      <c r="B3" s="2">
        <f>$E$52</f>
        <v>26</v>
      </c>
      <c r="C3" s="2">
        <f>$D$52</f>
        <v>37</v>
      </c>
      <c r="D3" s="2">
        <f>$C$52</f>
        <v>-115</v>
      </c>
      <c r="E3" s="2">
        <f>$B$52</f>
        <v>-261</v>
      </c>
    </row>
    <row r="4" spans="1:5" x14ac:dyDescent="0.25">
      <c r="A4" s="1"/>
      <c r="B4" s="1"/>
      <c r="C4" s="1"/>
      <c r="D4" s="1"/>
      <c r="E4" s="1"/>
    </row>
    <row r="5" spans="1:5" x14ac:dyDescent="0.25">
      <c r="A5" s="1" t="s">
        <v>0</v>
      </c>
      <c r="B5" s="1">
        <f>$E$24</f>
        <v>2015</v>
      </c>
      <c r="C5" s="1">
        <f>$D$24</f>
        <v>2016</v>
      </c>
      <c r="D5" s="1">
        <f>$C$24</f>
        <v>2017</v>
      </c>
      <c r="E5" s="1">
        <f>$B$24</f>
        <v>2018</v>
      </c>
    </row>
    <row r="6" spans="1:5" x14ac:dyDescent="0.25">
      <c r="A6" s="1"/>
      <c r="B6" s="3">
        <f>E34/E38</f>
        <v>8.9262613195342816E-2</v>
      </c>
      <c r="C6" s="3">
        <f>D34/D38</f>
        <v>7.1913161465400277E-2</v>
      </c>
      <c r="D6" s="3">
        <f>C34/C38</f>
        <v>0</v>
      </c>
      <c r="E6" s="3">
        <f>B34/B38</f>
        <v>0</v>
      </c>
    </row>
    <row r="9" spans="1:5" x14ac:dyDescent="0.25">
      <c r="A9" s="32"/>
      <c r="B9" s="32"/>
    </row>
    <row r="10" spans="1:5" x14ac:dyDescent="0.25">
      <c r="C10" s="31"/>
      <c r="D10" s="31"/>
      <c r="E10" s="31"/>
    </row>
    <row r="11" spans="1:5" x14ac:dyDescent="0.25">
      <c r="C11" s="31"/>
      <c r="D11" s="31"/>
      <c r="E11" s="31"/>
    </row>
    <row r="12" spans="1:5" x14ac:dyDescent="0.25">
      <c r="C12" s="31"/>
      <c r="D12" s="31"/>
      <c r="E12" s="31"/>
    </row>
    <row r="13" spans="1:5" x14ac:dyDescent="0.25">
      <c r="C13" s="31"/>
      <c r="D13" s="31"/>
      <c r="E13" s="31"/>
    </row>
    <row r="14" spans="1:5" x14ac:dyDescent="0.25">
      <c r="C14" s="31"/>
      <c r="D14" s="31"/>
      <c r="E14" s="31"/>
    </row>
    <row r="15" spans="1:5" x14ac:dyDescent="0.25">
      <c r="C15" s="31"/>
      <c r="D15" s="31"/>
      <c r="E15" s="31"/>
    </row>
    <row r="16" spans="1:5" x14ac:dyDescent="0.25">
      <c r="C16" s="31"/>
      <c r="D16" s="31"/>
      <c r="E16" s="31"/>
    </row>
    <row r="17" spans="1:6" x14ac:dyDescent="0.25">
      <c r="C17" s="31"/>
      <c r="D17" s="31"/>
      <c r="E17" s="31"/>
    </row>
    <row r="18" spans="1:6" x14ac:dyDescent="0.25">
      <c r="C18" s="31"/>
      <c r="D18" s="31"/>
      <c r="E18" s="31"/>
    </row>
    <row r="19" spans="1:6" x14ac:dyDescent="0.25">
      <c r="C19" s="31"/>
      <c r="D19" s="31"/>
      <c r="E19" s="31"/>
    </row>
    <row r="20" spans="1:6" x14ac:dyDescent="0.25">
      <c r="C20" s="31"/>
      <c r="D20" s="31"/>
      <c r="E20" s="31"/>
    </row>
    <row r="21" spans="1:6" x14ac:dyDescent="0.25">
      <c r="C21" s="31"/>
    </row>
    <row r="24" spans="1:6" ht="17.100000000000001" customHeight="1" x14ac:dyDescent="0.25">
      <c r="A24" s="54"/>
      <c r="B24" s="54">
        <v>2018</v>
      </c>
      <c r="C24" s="54">
        <v>2017</v>
      </c>
      <c r="D24" s="54">
        <v>2016</v>
      </c>
      <c r="E24" s="55">
        <v>2015</v>
      </c>
    </row>
    <row r="25" spans="1:6" ht="17.100000000000001" customHeight="1" x14ac:dyDescent="0.25">
      <c r="A25" s="35" t="s">
        <v>2</v>
      </c>
      <c r="B25" s="35"/>
      <c r="C25" s="35"/>
      <c r="D25" s="35"/>
    </row>
    <row r="26" spans="1:6" ht="17.100000000000001" customHeight="1" x14ac:dyDescent="0.25">
      <c r="A26" s="36" t="s">
        <v>48</v>
      </c>
      <c r="B26" s="36"/>
      <c r="C26" s="36"/>
      <c r="D26" s="36"/>
      <c r="F26" s="11"/>
    </row>
    <row r="27" spans="1:6" ht="17.100000000000001" customHeight="1" x14ac:dyDescent="0.25">
      <c r="A27" s="36"/>
      <c r="B27" s="36"/>
      <c r="C27" s="36"/>
      <c r="D27" s="36"/>
      <c r="F27" s="20"/>
    </row>
    <row r="28" spans="1:6" ht="17.100000000000001" customHeight="1" x14ac:dyDescent="0.25">
      <c r="A28" s="8" t="s">
        <v>4</v>
      </c>
      <c r="B28" s="8">
        <v>799</v>
      </c>
      <c r="C28" s="8">
        <v>386</v>
      </c>
      <c r="D28" s="34">
        <v>306</v>
      </c>
      <c r="E28" s="29">
        <v>13</v>
      </c>
      <c r="F28" s="15"/>
    </row>
    <row r="29" spans="1:6" ht="17.100000000000001" customHeight="1" x14ac:dyDescent="0.25">
      <c r="A29" s="8" t="s">
        <v>5</v>
      </c>
      <c r="B29" s="24">
        <v>243</v>
      </c>
      <c r="C29" s="24">
        <v>3055</v>
      </c>
      <c r="D29" s="9">
        <v>1168</v>
      </c>
      <c r="E29" s="29">
        <v>760</v>
      </c>
      <c r="F29" s="15"/>
    </row>
    <row r="30" spans="1:6" ht="17.100000000000001" customHeight="1" x14ac:dyDescent="0.25">
      <c r="A30" s="8" t="s">
        <v>49</v>
      </c>
      <c r="B30" s="8">
        <v>270</v>
      </c>
      <c r="C30" s="8">
        <v>9</v>
      </c>
      <c r="D30" s="34"/>
      <c r="E30" s="29"/>
      <c r="F30" s="15"/>
    </row>
    <row r="31" spans="1:6" ht="17.100000000000001" customHeight="1" x14ac:dyDescent="0.25">
      <c r="A31" s="56"/>
      <c r="B31" s="165">
        <f>SUM(B28:B30)</f>
        <v>1312</v>
      </c>
      <c r="C31" s="165">
        <f>SUM(C28:C30)</f>
        <v>3450</v>
      </c>
      <c r="D31" s="165">
        <f>SUM(D28:D30)</f>
        <v>1474</v>
      </c>
      <c r="E31" s="57">
        <f>SUM(E28:E30)</f>
        <v>773</v>
      </c>
      <c r="F31" s="15"/>
    </row>
    <row r="32" spans="1:6" ht="17.100000000000001" customHeight="1" x14ac:dyDescent="0.25">
      <c r="A32" s="36" t="s">
        <v>7</v>
      </c>
      <c r="B32" s="36"/>
      <c r="C32" s="36"/>
      <c r="D32" s="43"/>
      <c r="F32" s="17"/>
    </row>
    <row r="33" spans="1:6" ht="17.100000000000001" customHeight="1" x14ac:dyDescent="0.25">
      <c r="A33" s="36"/>
      <c r="B33" s="42"/>
      <c r="C33" s="42"/>
      <c r="D33" s="44"/>
      <c r="E33" s="46"/>
      <c r="F33" s="15"/>
    </row>
    <row r="34" spans="1:6" ht="17.100000000000001" customHeight="1" x14ac:dyDescent="0.25">
      <c r="A34" s="8" t="s">
        <v>8</v>
      </c>
      <c r="B34" s="24">
        <v>0</v>
      </c>
      <c r="C34" s="24">
        <v>0</v>
      </c>
      <c r="D34" s="9">
        <v>106</v>
      </c>
      <c r="E34" s="24">
        <v>69</v>
      </c>
      <c r="F34" s="15"/>
    </row>
    <row r="35" spans="1:6" ht="17.100000000000001" customHeight="1" x14ac:dyDescent="0.25">
      <c r="A35" s="8" t="s">
        <v>9</v>
      </c>
      <c r="B35" s="24">
        <v>74</v>
      </c>
      <c r="C35" s="24">
        <v>39</v>
      </c>
      <c r="D35" s="9">
        <v>34</v>
      </c>
      <c r="E35" s="24">
        <v>27</v>
      </c>
      <c r="F35" s="15"/>
    </row>
    <row r="36" spans="1:6" ht="17.100000000000001" customHeight="1" x14ac:dyDescent="0.25">
      <c r="A36" s="8" t="s">
        <v>10</v>
      </c>
      <c r="B36" s="24">
        <v>1238</v>
      </c>
      <c r="C36" s="24">
        <v>3411</v>
      </c>
      <c r="D36" s="9">
        <v>1334</v>
      </c>
      <c r="E36" s="24">
        <v>677</v>
      </c>
      <c r="F36" s="15"/>
    </row>
    <row r="37" spans="1:6" ht="17.100000000000001" customHeight="1" x14ac:dyDescent="0.25">
      <c r="A37" s="8" t="s">
        <v>6</v>
      </c>
      <c r="B37" s="24">
        <v>0</v>
      </c>
      <c r="C37" s="24">
        <v>0</v>
      </c>
      <c r="D37" s="9">
        <v>0</v>
      </c>
      <c r="E37" s="24">
        <v>0</v>
      </c>
      <c r="F37" s="15"/>
    </row>
    <row r="38" spans="1:6" ht="17.100000000000001" customHeight="1" x14ac:dyDescent="0.25">
      <c r="A38" s="56"/>
      <c r="B38" s="165">
        <f>SUM(B34:B37)</f>
        <v>1312</v>
      </c>
      <c r="C38" s="165">
        <f>SUM(C34:C37)</f>
        <v>3450</v>
      </c>
      <c r="D38" s="165">
        <f>SUM(D34:D37)</f>
        <v>1474</v>
      </c>
      <c r="E38" s="57">
        <f>SUM(E34:E37)</f>
        <v>773</v>
      </c>
      <c r="F38" s="15"/>
    </row>
    <row r="39" spans="1:6" ht="17.100000000000001" customHeight="1" x14ac:dyDescent="0.25">
      <c r="A39" s="35" t="s">
        <v>70</v>
      </c>
      <c r="B39" s="65"/>
      <c r="C39" s="65"/>
      <c r="D39" s="166"/>
      <c r="E39" s="46"/>
      <c r="F39" s="20"/>
    </row>
    <row r="40" spans="1:6" ht="17.100000000000001" customHeight="1" x14ac:dyDescent="0.25">
      <c r="A40" s="8" t="s">
        <v>12</v>
      </c>
      <c r="B40" s="24">
        <v>2974</v>
      </c>
      <c r="C40" s="24">
        <v>2596</v>
      </c>
      <c r="D40" s="9">
        <v>2621</v>
      </c>
      <c r="E40" s="24">
        <v>1788</v>
      </c>
      <c r="F40" s="20"/>
    </row>
    <row r="41" spans="1:6" ht="15.75" customHeight="1" x14ac:dyDescent="0.25">
      <c r="A41" s="8" t="s">
        <v>19</v>
      </c>
      <c r="B41" s="24">
        <v>13</v>
      </c>
      <c r="C41" s="24">
        <v>3</v>
      </c>
      <c r="D41" s="9">
        <v>1</v>
      </c>
      <c r="E41" s="24">
        <v>5</v>
      </c>
      <c r="F41" s="17"/>
    </row>
    <row r="42" spans="1:6" ht="17.100000000000001" customHeight="1" x14ac:dyDescent="0.25">
      <c r="A42" s="8" t="s">
        <v>13</v>
      </c>
      <c r="B42" s="24">
        <v>2</v>
      </c>
      <c r="C42" s="24">
        <v>6</v>
      </c>
      <c r="D42" s="9">
        <v>6</v>
      </c>
      <c r="E42" s="24">
        <v>1</v>
      </c>
      <c r="F42" s="31"/>
    </row>
    <row r="43" spans="1:6" ht="17.100000000000001" customHeight="1" x14ac:dyDescent="0.25">
      <c r="A43" s="56"/>
      <c r="B43" s="167">
        <f>SUM(B40:B42)</f>
        <v>2989</v>
      </c>
      <c r="C43" s="167">
        <f>SUM(C40:C42)</f>
        <v>2605</v>
      </c>
      <c r="D43" s="165">
        <f>SUM(D40:D42)</f>
        <v>2628</v>
      </c>
      <c r="E43" s="57">
        <f>SUM(E40:E42)</f>
        <v>1794</v>
      </c>
      <c r="F43" s="15"/>
    </row>
    <row r="44" spans="1:6" ht="17.100000000000001" customHeight="1" x14ac:dyDescent="0.25">
      <c r="A44" s="8" t="s">
        <v>20</v>
      </c>
      <c r="B44" s="24">
        <v>80</v>
      </c>
      <c r="C44" s="24">
        <v>18</v>
      </c>
      <c r="D44" s="9">
        <v>0</v>
      </c>
      <c r="E44" s="24">
        <v>0</v>
      </c>
      <c r="F44" s="15"/>
    </row>
    <row r="45" spans="1:6" ht="17.100000000000001" customHeight="1" x14ac:dyDescent="0.25">
      <c r="A45" s="8" t="s">
        <v>14</v>
      </c>
      <c r="B45" s="24">
        <v>837</v>
      </c>
      <c r="C45" s="24">
        <v>596</v>
      </c>
      <c r="D45" s="9">
        <v>492</v>
      </c>
      <c r="E45" s="24">
        <v>342</v>
      </c>
      <c r="F45" s="20"/>
    </row>
    <row r="46" spans="1:6" ht="17.100000000000001" customHeight="1" x14ac:dyDescent="0.25">
      <c r="A46" s="8" t="s">
        <v>15</v>
      </c>
      <c r="B46" s="24">
        <v>322</v>
      </c>
      <c r="C46" s="24">
        <v>182</v>
      </c>
      <c r="D46" s="9">
        <v>57</v>
      </c>
      <c r="E46" s="24">
        <v>4</v>
      </c>
      <c r="F46" s="17"/>
    </row>
    <row r="47" spans="1:6" ht="17.100000000000001" customHeight="1" x14ac:dyDescent="0.25">
      <c r="A47" s="8" t="s">
        <v>16</v>
      </c>
      <c r="B47" s="24">
        <v>2005</v>
      </c>
      <c r="C47" s="24">
        <v>1925</v>
      </c>
      <c r="D47" s="9">
        <v>2021</v>
      </c>
      <c r="E47" s="24">
        <v>1411</v>
      </c>
      <c r="F47" s="15"/>
    </row>
    <row r="48" spans="1:6" ht="17.100000000000001" customHeight="1" x14ac:dyDescent="0.25">
      <c r="A48" s="8" t="s">
        <v>17</v>
      </c>
      <c r="B48" s="24">
        <v>14</v>
      </c>
      <c r="C48" s="24">
        <v>0</v>
      </c>
      <c r="D48" s="9">
        <v>0</v>
      </c>
      <c r="E48" s="24">
        <v>0</v>
      </c>
      <c r="F48" s="15"/>
    </row>
    <row r="49" spans="1:6" ht="17.100000000000001" customHeight="1" x14ac:dyDescent="0.25">
      <c r="A49" s="8" t="s">
        <v>18</v>
      </c>
      <c r="B49" s="24">
        <v>-8</v>
      </c>
      <c r="C49" s="24">
        <v>-1</v>
      </c>
      <c r="D49" s="9">
        <v>21</v>
      </c>
      <c r="E49" s="24">
        <v>11</v>
      </c>
      <c r="F49" s="15"/>
    </row>
    <row r="50" spans="1:6" ht="17.100000000000001" customHeight="1" x14ac:dyDescent="0.25">
      <c r="A50" s="56"/>
      <c r="B50" s="165">
        <f>SUM(B44:B49)</f>
        <v>3250</v>
      </c>
      <c r="C50" s="165">
        <f>SUM(C44:C49)</f>
        <v>2720</v>
      </c>
      <c r="D50" s="165">
        <f>SUM(D44:D49)</f>
        <v>2591</v>
      </c>
      <c r="E50" s="57">
        <f>SUM(E44:E49)</f>
        <v>1768</v>
      </c>
      <c r="F50" s="15"/>
    </row>
    <row r="51" spans="1:6" ht="17.100000000000001" customHeight="1" x14ac:dyDescent="0.25">
      <c r="A51" s="8"/>
      <c r="B51" s="24"/>
      <c r="C51" s="24"/>
      <c r="D51" s="9"/>
      <c r="E51" s="46"/>
      <c r="F51" s="15"/>
    </row>
    <row r="52" spans="1:6" ht="17.100000000000001" customHeight="1" x14ac:dyDescent="0.25">
      <c r="A52" s="107" t="s">
        <v>56</v>
      </c>
      <c r="B52" s="167">
        <f>SUM(B43-B50)</f>
        <v>-261</v>
      </c>
      <c r="C52" s="167">
        <f>SUM(C43-C50)</f>
        <v>-115</v>
      </c>
      <c r="D52" s="167">
        <f>SUM(D43-D50)</f>
        <v>37</v>
      </c>
      <c r="E52" s="57">
        <f>SUM(E43-E50)</f>
        <v>26</v>
      </c>
      <c r="F52" s="15"/>
    </row>
    <row r="53" spans="1:6" ht="15.75" x14ac:dyDescent="0.25">
      <c r="A53" s="29"/>
      <c r="B53" s="29"/>
      <c r="C53" s="29"/>
      <c r="D53" s="29"/>
      <c r="E53" s="29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56"/>
  <sheetViews>
    <sheetView topLeftCell="A22" workbookViewId="0">
      <selection activeCell="A58" sqref="A58"/>
    </sheetView>
  </sheetViews>
  <sheetFormatPr baseColWidth="10" defaultRowHeight="12.75" x14ac:dyDescent="0.2"/>
  <cols>
    <col min="1" max="1" width="37.85546875" style="1" customWidth="1"/>
    <col min="2" max="16384" width="11.42578125" style="1"/>
  </cols>
  <sheetData>
    <row r="2" spans="1:5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A3" s="14"/>
      <c r="B3" s="2">
        <f>E56</f>
        <v>-569</v>
      </c>
      <c r="C3" s="2">
        <f>D56</f>
        <v>-867</v>
      </c>
      <c r="D3" s="2">
        <f>C56</f>
        <v>-1327</v>
      </c>
      <c r="E3" s="2">
        <f>B56</f>
        <v>-2669</v>
      </c>
    </row>
    <row r="5" spans="1:5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E38/E42</f>
        <v>0</v>
      </c>
      <c r="C6" s="3">
        <f>(D38)/D42</f>
        <v>0</v>
      </c>
      <c r="D6" s="3">
        <f>(C38)/C42</f>
        <v>0</v>
      </c>
      <c r="E6" s="3">
        <f>(B38)/B42</f>
        <v>0</v>
      </c>
    </row>
    <row r="9" spans="1:5" x14ac:dyDescent="0.2">
      <c r="D9" s="13"/>
    </row>
    <row r="27" spans="1:8" ht="17.100000000000001" customHeight="1" x14ac:dyDescent="0.25">
      <c r="A27" s="114" t="s">
        <v>52</v>
      </c>
      <c r="B27" s="114">
        <v>2018</v>
      </c>
      <c r="C27" s="114">
        <v>2017</v>
      </c>
      <c r="D27" s="114">
        <v>2016</v>
      </c>
      <c r="E27" s="157">
        <v>2015</v>
      </c>
      <c r="F27" s="123"/>
      <c r="G27" s="123"/>
    </row>
    <row r="28" spans="1:8" ht="17.100000000000001" customHeight="1" x14ac:dyDescent="0.25">
      <c r="A28" s="115" t="s">
        <v>2</v>
      </c>
      <c r="B28" s="115"/>
      <c r="C28" s="115"/>
      <c r="D28" s="115"/>
      <c r="E28" s="154"/>
      <c r="F28" s="124"/>
      <c r="G28" s="125"/>
    </row>
    <row r="29" spans="1:8" ht="17.100000000000001" customHeight="1" x14ac:dyDescent="0.25">
      <c r="A29" s="116" t="s">
        <v>48</v>
      </c>
      <c r="B29" s="116"/>
      <c r="C29" s="116"/>
      <c r="D29" s="116"/>
      <c r="E29" s="154"/>
      <c r="F29" s="125"/>
      <c r="G29" s="125"/>
      <c r="H29" s="11"/>
    </row>
    <row r="30" spans="1:8" ht="17.100000000000001" customHeight="1" x14ac:dyDescent="0.25">
      <c r="A30" s="116"/>
      <c r="B30" s="116"/>
      <c r="C30" s="116"/>
      <c r="D30" s="116"/>
      <c r="E30" s="154"/>
      <c r="F30" s="125"/>
      <c r="G30" s="125"/>
      <c r="H30" s="7"/>
    </row>
    <row r="31" spans="1:8" ht="17.100000000000001" customHeight="1" x14ac:dyDescent="0.25">
      <c r="A31" s="117" t="s">
        <v>4</v>
      </c>
      <c r="B31" s="118">
        <v>1562</v>
      </c>
      <c r="C31" s="118">
        <v>1495</v>
      </c>
      <c r="D31" s="118">
        <v>1999</v>
      </c>
      <c r="E31" s="155">
        <v>1551</v>
      </c>
      <c r="F31" s="64"/>
      <c r="G31" s="64"/>
      <c r="H31" s="15"/>
    </row>
    <row r="32" spans="1:8" ht="17.100000000000001" customHeight="1" x14ac:dyDescent="0.25">
      <c r="A32" s="117" t="s">
        <v>5</v>
      </c>
      <c r="B32" s="118">
        <v>785</v>
      </c>
      <c r="C32" s="118">
        <v>359</v>
      </c>
      <c r="D32" s="118">
        <v>448</v>
      </c>
      <c r="E32" s="155">
        <v>368</v>
      </c>
      <c r="F32" s="64"/>
      <c r="G32" s="64"/>
      <c r="H32" s="20"/>
    </row>
    <row r="33" spans="1:8" ht="17.100000000000001" customHeight="1" x14ac:dyDescent="0.25">
      <c r="A33" s="117" t="s">
        <v>6</v>
      </c>
      <c r="B33" s="118">
        <v>8</v>
      </c>
      <c r="C33" s="118">
        <v>11</v>
      </c>
      <c r="D33" s="118">
        <v>0</v>
      </c>
      <c r="E33" s="155">
        <v>2</v>
      </c>
      <c r="F33" s="126"/>
      <c r="G33" s="126"/>
      <c r="H33" s="20"/>
    </row>
    <row r="34" spans="1:8" ht="16.5" customHeight="1" x14ac:dyDescent="0.25">
      <c r="A34" s="117" t="s">
        <v>49</v>
      </c>
      <c r="B34" s="118">
        <v>5032</v>
      </c>
      <c r="C34" s="118">
        <v>2362</v>
      </c>
      <c r="D34" s="118">
        <v>1035</v>
      </c>
      <c r="E34" s="155">
        <v>169</v>
      </c>
      <c r="F34" s="109"/>
      <c r="G34" s="109"/>
      <c r="H34" s="17"/>
    </row>
    <row r="35" spans="1:8" ht="17.100000000000001" customHeight="1" x14ac:dyDescent="0.25">
      <c r="A35" s="119"/>
      <c r="B35" s="160">
        <f>SUM(B31:B34)</f>
        <v>7387</v>
      </c>
      <c r="C35" s="160">
        <f>SUM(C31:C34)</f>
        <v>4227</v>
      </c>
      <c r="D35" s="160">
        <f>SUM(D31:D34)</f>
        <v>3482</v>
      </c>
      <c r="E35" s="120">
        <f>SUM(E31:E34)</f>
        <v>2090</v>
      </c>
      <c r="F35" s="125"/>
      <c r="G35" s="125"/>
      <c r="H35" s="18"/>
    </row>
    <row r="36" spans="1:8" ht="17.100000000000001" customHeight="1" x14ac:dyDescent="0.25">
      <c r="A36" s="116" t="s">
        <v>7</v>
      </c>
      <c r="B36" s="158"/>
      <c r="C36" s="158"/>
      <c r="D36" s="158"/>
      <c r="E36" s="155"/>
      <c r="F36" s="125"/>
      <c r="G36" s="125"/>
      <c r="H36" s="18"/>
    </row>
    <row r="37" spans="1:8" ht="17.100000000000001" customHeight="1" x14ac:dyDescent="0.25">
      <c r="A37" s="116"/>
      <c r="B37" s="158"/>
      <c r="C37" s="158"/>
      <c r="D37" s="158"/>
      <c r="E37" s="155"/>
      <c r="F37" s="125"/>
      <c r="G37" s="125"/>
      <c r="H37" s="18"/>
    </row>
    <row r="38" spans="1:8" ht="17.100000000000001" customHeight="1" x14ac:dyDescent="0.25">
      <c r="A38" s="117" t="s">
        <v>8</v>
      </c>
      <c r="B38" s="118">
        <v>0</v>
      </c>
      <c r="C38" s="118">
        <v>0</v>
      </c>
      <c r="D38" s="118">
        <v>0</v>
      </c>
      <c r="E38" s="155">
        <v>0</v>
      </c>
      <c r="F38" s="64"/>
      <c r="G38" s="64"/>
      <c r="H38" s="20"/>
    </row>
    <row r="39" spans="1:8" ht="17.100000000000001" customHeight="1" x14ac:dyDescent="0.25">
      <c r="A39" s="117" t="s">
        <v>9</v>
      </c>
      <c r="B39" s="118">
        <v>427</v>
      </c>
      <c r="C39" s="118">
        <v>245</v>
      </c>
      <c r="D39" s="118">
        <v>83</v>
      </c>
      <c r="E39" s="155">
        <v>21</v>
      </c>
      <c r="F39" s="64"/>
      <c r="G39" s="64"/>
      <c r="H39" s="15"/>
    </row>
    <row r="40" spans="1:8" ht="17.100000000000001" customHeight="1" x14ac:dyDescent="0.25">
      <c r="A40" s="117" t="s">
        <v>10</v>
      </c>
      <c r="B40" s="118">
        <v>6960</v>
      </c>
      <c r="C40" s="118">
        <v>3982</v>
      </c>
      <c r="D40" s="118">
        <v>3399</v>
      </c>
      <c r="E40" s="155">
        <v>2069</v>
      </c>
      <c r="F40" s="126"/>
      <c r="G40" s="126"/>
      <c r="H40" s="20"/>
    </row>
    <row r="41" spans="1:8" ht="17.100000000000001" customHeight="1" x14ac:dyDescent="0.25">
      <c r="A41" s="117" t="s">
        <v>6</v>
      </c>
      <c r="B41" s="118">
        <v>0</v>
      </c>
      <c r="C41" s="118">
        <v>0</v>
      </c>
      <c r="D41" s="118">
        <v>0</v>
      </c>
      <c r="E41" s="155">
        <v>0</v>
      </c>
      <c r="F41" s="109"/>
      <c r="G41" s="109"/>
      <c r="H41" s="17"/>
    </row>
    <row r="42" spans="1:8" ht="17.100000000000001" customHeight="1" x14ac:dyDescent="0.25">
      <c r="A42" s="119"/>
      <c r="B42" s="160">
        <f>SUM(B38:B41)</f>
        <v>7387</v>
      </c>
      <c r="C42" s="160">
        <f>SUM(C38:C41)</f>
        <v>4227</v>
      </c>
      <c r="D42" s="160">
        <f>SUM(D38:D41)</f>
        <v>3482</v>
      </c>
      <c r="E42" s="120">
        <f>SUM(E38:E41)</f>
        <v>2090</v>
      </c>
      <c r="F42" s="125"/>
      <c r="G42" s="125"/>
      <c r="H42" s="18"/>
    </row>
    <row r="43" spans="1:8" ht="17.100000000000001" customHeight="1" x14ac:dyDescent="0.25">
      <c r="A43" s="115" t="s">
        <v>66</v>
      </c>
      <c r="B43" s="159"/>
      <c r="C43" s="159"/>
      <c r="D43" s="159"/>
      <c r="E43" s="155"/>
      <c r="F43" s="125"/>
      <c r="G43" s="125"/>
      <c r="H43" s="18"/>
    </row>
    <row r="44" spans="1:8" ht="17.100000000000001" customHeight="1" x14ac:dyDescent="0.25">
      <c r="A44" s="117" t="s">
        <v>12</v>
      </c>
      <c r="B44" s="118">
        <v>3318</v>
      </c>
      <c r="C44" s="118">
        <v>2518</v>
      </c>
      <c r="D44" s="118">
        <v>2465</v>
      </c>
      <c r="E44" s="155">
        <v>2230</v>
      </c>
      <c r="F44" s="125"/>
      <c r="G44" s="125"/>
      <c r="H44" s="2"/>
    </row>
    <row r="45" spans="1:8" ht="17.100000000000001" customHeight="1" x14ac:dyDescent="0.25">
      <c r="A45" s="117" t="s">
        <v>19</v>
      </c>
      <c r="B45" s="118">
        <v>62</v>
      </c>
      <c r="C45" s="118">
        <v>84</v>
      </c>
      <c r="D45" s="118">
        <v>56</v>
      </c>
      <c r="E45" s="155">
        <v>167</v>
      </c>
      <c r="F45" s="64"/>
      <c r="G45" s="64"/>
      <c r="H45" s="15"/>
    </row>
    <row r="46" spans="1:8" ht="17.100000000000001" customHeight="1" x14ac:dyDescent="0.25">
      <c r="A46" s="117" t="s">
        <v>13</v>
      </c>
      <c r="B46" s="118">
        <v>0</v>
      </c>
      <c r="C46" s="118">
        <v>2</v>
      </c>
      <c r="D46" s="118">
        <v>5</v>
      </c>
      <c r="E46" s="155">
        <v>0</v>
      </c>
      <c r="F46" s="64"/>
      <c r="G46" s="64"/>
      <c r="H46" s="20"/>
    </row>
    <row r="47" spans="1:8" ht="17.100000000000001" customHeight="1" x14ac:dyDescent="0.25">
      <c r="A47" s="119"/>
      <c r="B47" s="160">
        <f>SUM(B44:B46)</f>
        <v>3380</v>
      </c>
      <c r="C47" s="160">
        <f>SUM(C44:C46)</f>
        <v>2604</v>
      </c>
      <c r="D47" s="160">
        <f>SUM(D44:D46)</f>
        <v>2526</v>
      </c>
      <c r="E47" s="156">
        <f>SUM(E44:E46)</f>
        <v>2397</v>
      </c>
      <c r="F47" s="126"/>
      <c r="G47" s="126"/>
      <c r="H47" s="20"/>
    </row>
    <row r="48" spans="1:8" ht="17.100000000000001" customHeight="1" x14ac:dyDescent="0.25">
      <c r="A48" s="117" t="s">
        <v>20</v>
      </c>
      <c r="B48" s="118">
        <v>277</v>
      </c>
      <c r="C48" s="118">
        <v>297</v>
      </c>
      <c r="D48" s="118">
        <v>265</v>
      </c>
      <c r="E48" s="155">
        <v>231</v>
      </c>
      <c r="F48" s="109"/>
      <c r="G48" s="109"/>
      <c r="H48" s="17"/>
    </row>
    <row r="49" spans="1:8" ht="17.100000000000001" customHeight="1" x14ac:dyDescent="0.25">
      <c r="A49" s="117" t="s">
        <v>14</v>
      </c>
      <c r="B49" s="118">
        <v>3130</v>
      </c>
      <c r="C49" s="118">
        <v>2433</v>
      </c>
      <c r="D49" s="118">
        <v>2087</v>
      </c>
      <c r="E49" s="155">
        <v>1860</v>
      </c>
      <c r="F49" s="125"/>
      <c r="G49" s="125"/>
      <c r="H49" s="18"/>
    </row>
    <row r="50" spans="1:8" ht="17.100000000000001" customHeight="1" x14ac:dyDescent="0.25">
      <c r="A50" s="117" t="s">
        <v>15</v>
      </c>
      <c r="B50" s="118">
        <v>1711</v>
      </c>
      <c r="C50" s="118">
        <v>598</v>
      </c>
      <c r="D50" s="118">
        <v>505</v>
      </c>
      <c r="E50" s="155">
        <v>407</v>
      </c>
      <c r="F50" s="64"/>
      <c r="G50" s="64"/>
      <c r="H50" s="15"/>
    </row>
    <row r="51" spans="1:8" ht="17.100000000000001" customHeight="1" x14ac:dyDescent="0.25">
      <c r="A51" s="117" t="s">
        <v>16</v>
      </c>
      <c r="B51" s="118">
        <v>821</v>
      </c>
      <c r="C51" s="118">
        <v>532</v>
      </c>
      <c r="D51" s="118">
        <v>484</v>
      </c>
      <c r="E51" s="155">
        <v>433</v>
      </c>
      <c r="F51" s="64"/>
      <c r="G51" s="64"/>
      <c r="H51" s="15"/>
    </row>
    <row r="52" spans="1:8" ht="17.100000000000001" customHeight="1" x14ac:dyDescent="0.25">
      <c r="A52" s="117" t="s">
        <v>17</v>
      </c>
      <c r="B52" s="118">
        <v>110</v>
      </c>
      <c r="C52" s="118">
        <v>70</v>
      </c>
      <c r="D52" s="118">
        <v>50</v>
      </c>
      <c r="E52" s="155">
        <v>35</v>
      </c>
      <c r="F52" s="64"/>
      <c r="G52" s="64"/>
      <c r="H52" s="20"/>
    </row>
    <row r="53" spans="1:8" ht="17.100000000000001" customHeight="1" x14ac:dyDescent="0.25">
      <c r="A53" s="117" t="s">
        <v>18</v>
      </c>
      <c r="B53" s="118">
        <v>0</v>
      </c>
      <c r="C53" s="118">
        <v>1</v>
      </c>
      <c r="D53" s="118">
        <v>2</v>
      </c>
      <c r="E53" s="155">
        <v>0</v>
      </c>
      <c r="F53" s="64"/>
      <c r="G53" s="64"/>
      <c r="H53" s="20"/>
    </row>
    <row r="54" spans="1:8" ht="17.100000000000001" customHeight="1" x14ac:dyDescent="0.25">
      <c r="A54" s="119"/>
      <c r="B54" s="160">
        <f>SUM(B48:B53)</f>
        <v>6049</v>
      </c>
      <c r="C54" s="160">
        <f>SUM(C48:C53)</f>
        <v>3931</v>
      </c>
      <c r="D54" s="160">
        <f>SUM(D48:D53)</f>
        <v>3393</v>
      </c>
      <c r="E54" s="156">
        <f>SUM(E48:E53)</f>
        <v>2966</v>
      </c>
      <c r="F54" s="64"/>
      <c r="G54" s="64"/>
      <c r="H54" s="20"/>
    </row>
    <row r="55" spans="1:8" ht="15.75" x14ac:dyDescent="0.25">
      <c r="A55" s="117"/>
      <c r="B55" s="118"/>
      <c r="C55" s="118"/>
      <c r="D55" s="118"/>
      <c r="E55" s="155"/>
    </row>
    <row r="56" spans="1:8" ht="15.75" customHeight="1" x14ac:dyDescent="0.25">
      <c r="A56" s="121" t="s">
        <v>85</v>
      </c>
      <c r="B56" s="161">
        <f>B47-B54</f>
        <v>-2669</v>
      </c>
      <c r="C56" s="161">
        <f>C47-C54</f>
        <v>-1327</v>
      </c>
      <c r="D56" s="161">
        <f>D47-D54</f>
        <v>-867</v>
      </c>
      <c r="E56" s="156">
        <f>E47-E54</f>
        <v>-569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58"/>
  <sheetViews>
    <sheetView topLeftCell="A24" workbookViewId="0">
      <selection activeCell="A27" sqref="A27:E58"/>
    </sheetView>
  </sheetViews>
  <sheetFormatPr baseColWidth="10" defaultRowHeight="12.75" x14ac:dyDescent="0.2"/>
  <cols>
    <col min="1" max="1" width="37.85546875" style="1" customWidth="1"/>
    <col min="2" max="16384" width="11.42578125" style="1"/>
  </cols>
  <sheetData>
    <row r="2" spans="1:5" x14ac:dyDescent="0.2">
      <c r="A2" s="1" t="s">
        <v>1</v>
      </c>
      <c r="B2" s="1">
        <f>$E$27</f>
        <v>2016</v>
      </c>
      <c r="C2" s="1">
        <f>$D$27</f>
        <v>2017</v>
      </c>
      <c r="D2" s="1">
        <f>$C$27</f>
        <v>2018</v>
      </c>
    </row>
    <row r="3" spans="1:5" x14ac:dyDescent="0.2">
      <c r="A3" s="14"/>
      <c r="B3" s="2">
        <f>E56</f>
        <v>0</v>
      </c>
      <c r="C3" s="2">
        <f>D56</f>
        <v>0</v>
      </c>
      <c r="D3" s="2">
        <f>C56</f>
        <v>-144</v>
      </c>
      <c r="E3" s="2"/>
    </row>
    <row r="5" spans="1:5" x14ac:dyDescent="0.2">
      <c r="A5" s="1" t="s">
        <v>0</v>
      </c>
      <c r="B5" s="1">
        <f>$E$27</f>
        <v>2016</v>
      </c>
      <c r="C5" s="1">
        <f>$D$27</f>
        <v>2017</v>
      </c>
      <c r="D5" s="1">
        <f>$C$27</f>
        <v>2018</v>
      </c>
    </row>
    <row r="6" spans="1:5" x14ac:dyDescent="0.2">
      <c r="B6" s="3">
        <f>E38/E42</f>
        <v>1</v>
      </c>
      <c r="C6" s="3">
        <f>(D38)/D42</f>
        <v>1.2309207287050714E-2</v>
      </c>
      <c r="D6" s="3">
        <f>D38/D42</f>
        <v>1.2309207287050714E-2</v>
      </c>
      <c r="E6" s="3"/>
    </row>
    <row r="9" spans="1:5" x14ac:dyDescent="0.2">
      <c r="D9" s="13"/>
    </row>
    <row r="27" spans="1:8" ht="17.100000000000001" customHeight="1" x14ac:dyDescent="0.25">
      <c r="A27" s="114" t="s">
        <v>52</v>
      </c>
      <c r="B27" s="114"/>
      <c r="C27" s="114">
        <v>2018</v>
      </c>
      <c r="D27" s="114">
        <v>2017</v>
      </c>
      <c r="E27" s="114">
        <v>2016</v>
      </c>
      <c r="F27" s="123"/>
      <c r="G27" s="123"/>
    </row>
    <row r="28" spans="1:8" ht="17.100000000000001" customHeight="1" x14ac:dyDescent="0.25">
      <c r="A28" s="115" t="s">
        <v>2</v>
      </c>
      <c r="B28" s="115"/>
      <c r="C28" s="115"/>
      <c r="D28" s="115"/>
      <c r="E28" s="168" t="s">
        <v>83</v>
      </c>
      <c r="F28" s="124"/>
      <c r="G28" s="125"/>
    </row>
    <row r="29" spans="1:8" ht="17.100000000000001" customHeight="1" x14ac:dyDescent="0.25">
      <c r="A29" s="116" t="s">
        <v>48</v>
      </c>
      <c r="B29" s="116"/>
      <c r="C29" s="116"/>
      <c r="D29" s="116"/>
      <c r="E29" s="116"/>
      <c r="F29" s="125"/>
      <c r="G29" s="125"/>
      <c r="H29" s="11"/>
    </row>
    <row r="30" spans="1:8" ht="17.100000000000001" customHeight="1" x14ac:dyDescent="0.25">
      <c r="A30" s="116"/>
      <c r="B30" s="116"/>
      <c r="C30" s="116"/>
      <c r="D30" s="116"/>
      <c r="E30" s="116"/>
      <c r="F30" s="125"/>
      <c r="G30" s="125"/>
      <c r="H30" s="7"/>
    </row>
    <row r="31" spans="1:8" ht="17.100000000000001" customHeight="1" x14ac:dyDescent="0.2">
      <c r="A31" s="117" t="s">
        <v>4</v>
      </c>
      <c r="B31" s="118"/>
      <c r="C31" s="118">
        <v>2</v>
      </c>
      <c r="D31" s="118">
        <v>0</v>
      </c>
      <c r="E31" s="118">
        <v>0</v>
      </c>
      <c r="F31" s="64"/>
      <c r="G31" s="64"/>
      <c r="H31" s="15"/>
    </row>
    <row r="32" spans="1:8" ht="17.100000000000001" customHeight="1" x14ac:dyDescent="0.2">
      <c r="A32" s="117" t="s">
        <v>5</v>
      </c>
      <c r="B32" s="118"/>
      <c r="C32" s="118">
        <v>2357</v>
      </c>
      <c r="D32" s="118">
        <v>2031</v>
      </c>
      <c r="E32" s="118">
        <v>25</v>
      </c>
      <c r="F32" s="64"/>
      <c r="G32" s="64"/>
      <c r="H32" s="20"/>
    </row>
    <row r="33" spans="1:8" ht="17.100000000000001" customHeight="1" x14ac:dyDescent="0.2">
      <c r="A33" s="117" t="s">
        <v>6</v>
      </c>
      <c r="B33" s="118"/>
      <c r="C33" s="118">
        <v>0</v>
      </c>
      <c r="D33" s="118">
        <v>0</v>
      </c>
      <c r="E33" s="118">
        <v>0</v>
      </c>
      <c r="F33" s="126"/>
      <c r="G33" s="126"/>
      <c r="H33" s="20"/>
    </row>
    <row r="34" spans="1:8" ht="16.5" customHeight="1" x14ac:dyDescent="0.2">
      <c r="A34" s="117" t="s">
        <v>49</v>
      </c>
      <c r="B34" s="118"/>
      <c r="C34" s="118">
        <v>119</v>
      </c>
      <c r="D34" s="118">
        <v>0</v>
      </c>
      <c r="E34" s="118">
        <v>0</v>
      </c>
      <c r="F34" s="109"/>
      <c r="G34" s="109"/>
      <c r="H34" s="17"/>
    </row>
    <row r="35" spans="1:8" ht="17.100000000000001" customHeight="1" x14ac:dyDescent="0.25">
      <c r="A35" s="119"/>
      <c r="B35" s="160"/>
      <c r="C35" s="160">
        <f>SUM(C31:C34)</f>
        <v>2478</v>
      </c>
      <c r="D35" s="160">
        <f>SUM(D31:D34)</f>
        <v>2031</v>
      </c>
      <c r="E35" s="160">
        <f>SUM(E31:E34)</f>
        <v>25</v>
      </c>
      <c r="F35" s="125"/>
      <c r="G35" s="125"/>
      <c r="H35" s="18"/>
    </row>
    <row r="36" spans="1:8" ht="17.100000000000001" customHeight="1" x14ac:dyDescent="0.25">
      <c r="A36" s="116" t="s">
        <v>7</v>
      </c>
      <c r="B36" s="158"/>
      <c r="C36" s="158"/>
      <c r="D36" s="158"/>
      <c r="E36" s="158"/>
      <c r="F36" s="125"/>
      <c r="G36" s="125"/>
      <c r="H36" s="18"/>
    </row>
    <row r="37" spans="1:8" ht="17.100000000000001" customHeight="1" x14ac:dyDescent="0.25">
      <c r="A37" s="116"/>
      <c r="B37" s="158"/>
      <c r="C37" s="158"/>
      <c r="D37" s="158"/>
      <c r="E37" s="158"/>
      <c r="F37" s="125"/>
      <c r="G37" s="125"/>
      <c r="H37" s="18"/>
    </row>
    <row r="38" spans="1:8" ht="17.100000000000001" customHeight="1" x14ac:dyDescent="0.2">
      <c r="A38" s="117" t="s">
        <v>8</v>
      </c>
      <c r="B38" s="118"/>
      <c r="C38" s="118">
        <v>0</v>
      </c>
      <c r="D38" s="118">
        <v>25</v>
      </c>
      <c r="E38" s="118">
        <v>25</v>
      </c>
      <c r="F38" s="64"/>
      <c r="G38" s="64"/>
      <c r="H38" s="20"/>
    </row>
    <row r="39" spans="1:8" ht="17.100000000000001" customHeight="1" x14ac:dyDescent="0.2">
      <c r="A39" s="117" t="s">
        <v>9</v>
      </c>
      <c r="B39" s="118"/>
      <c r="C39" s="118">
        <v>58</v>
      </c>
      <c r="D39" s="118">
        <v>46</v>
      </c>
      <c r="E39" s="118">
        <v>0</v>
      </c>
      <c r="F39" s="64"/>
      <c r="G39" s="64"/>
      <c r="H39" s="15"/>
    </row>
    <row r="40" spans="1:8" ht="17.100000000000001" customHeight="1" x14ac:dyDescent="0.2">
      <c r="A40" s="117" t="s">
        <v>10</v>
      </c>
      <c r="B40" s="118"/>
      <c r="C40" s="118">
        <v>2420</v>
      </c>
      <c r="D40" s="118">
        <v>1960</v>
      </c>
      <c r="E40" s="118">
        <v>0</v>
      </c>
      <c r="F40" s="126"/>
      <c r="G40" s="126"/>
      <c r="H40" s="20"/>
    </row>
    <row r="41" spans="1:8" ht="17.100000000000001" customHeight="1" x14ac:dyDescent="0.2">
      <c r="A41" s="117" t="s">
        <v>6</v>
      </c>
      <c r="B41" s="118"/>
      <c r="C41" s="118">
        <v>0</v>
      </c>
      <c r="D41" s="118">
        <v>0</v>
      </c>
      <c r="E41" s="118">
        <v>0</v>
      </c>
      <c r="F41" s="109"/>
      <c r="G41" s="109"/>
      <c r="H41" s="17"/>
    </row>
    <row r="42" spans="1:8" ht="17.100000000000001" customHeight="1" x14ac:dyDescent="0.25">
      <c r="A42" s="119"/>
      <c r="B42" s="160"/>
      <c r="C42" s="160">
        <f>SUM(C38:C41)</f>
        <v>2478</v>
      </c>
      <c r="D42" s="160">
        <f>SUM(D38:D41)</f>
        <v>2031</v>
      </c>
      <c r="E42" s="160">
        <f>SUM(E38:E41)</f>
        <v>25</v>
      </c>
      <c r="F42" s="125"/>
      <c r="G42" s="125"/>
      <c r="H42" s="18"/>
    </row>
    <row r="43" spans="1:8" ht="17.100000000000001" customHeight="1" x14ac:dyDescent="0.25">
      <c r="A43" s="115" t="s">
        <v>66</v>
      </c>
      <c r="B43" s="159"/>
      <c r="C43" s="159"/>
      <c r="D43" s="159"/>
      <c r="E43" s="159"/>
      <c r="F43" s="125"/>
      <c r="G43" s="125"/>
      <c r="H43" s="18"/>
    </row>
    <row r="44" spans="1:8" ht="17.100000000000001" customHeight="1" x14ac:dyDescent="0.25">
      <c r="A44" s="117" t="s">
        <v>12</v>
      </c>
      <c r="B44" s="118"/>
      <c r="C44" s="118">
        <v>1757</v>
      </c>
      <c r="D44" s="118">
        <v>1602</v>
      </c>
      <c r="E44" s="118">
        <v>0</v>
      </c>
      <c r="F44" s="125"/>
      <c r="G44" s="125"/>
      <c r="H44" s="2"/>
    </row>
    <row r="45" spans="1:8" ht="17.100000000000001" customHeight="1" x14ac:dyDescent="0.2">
      <c r="A45" s="117" t="s">
        <v>19</v>
      </c>
      <c r="B45" s="118"/>
      <c r="C45" s="118">
        <v>30</v>
      </c>
      <c r="D45" s="118">
        <v>1242</v>
      </c>
      <c r="E45" s="118">
        <v>0</v>
      </c>
      <c r="F45" s="64"/>
      <c r="G45" s="64"/>
      <c r="H45" s="15"/>
    </row>
    <row r="46" spans="1:8" ht="17.100000000000001" customHeight="1" x14ac:dyDescent="0.2">
      <c r="A46" s="117" t="s">
        <v>13</v>
      </c>
      <c r="B46" s="118"/>
      <c r="C46" s="118">
        <v>4</v>
      </c>
      <c r="D46" s="118">
        <v>0</v>
      </c>
      <c r="E46" s="118">
        <v>0</v>
      </c>
      <c r="F46" s="64"/>
      <c r="G46" s="64"/>
      <c r="H46" s="20"/>
    </row>
    <row r="47" spans="1:8" ht="17.100000000000001" customHeight="1" x14ac:dyDescent="0.2">
      <c r="A47" s="119"/>
      <c r="B47" s="160"/>
      <c r="C47" s="160">
        <f>SUM(C44:C46)</f>
        <v>1791</v>
      </c>
      <c r="D47" s="160">
        <f>SUM(D44:D46)</f>
        <v>2844</v>
      </c>
      <c r="E47" s="160">
        <f>SUM(E44:E46)</f>
        <v>0</v>
      </c>
      <c r="F47" s="126"/>
      <c r="G47" s="126"/>
      <c r="H47" s="20"/>
    </row>
    <row r="48" spans="1:8" ht="17.100000000000001" customHeight="1" x14ac:dyDescent="0.2">
      <c r="A48" s="117" t="s">
        <v>20</v>
      </c>
      <c r="B48" s="118"/>
      <c r="C48" s="118">
        <v>21</v>
      </c>
      <c r="D48" s="118">
        <v>493</v>
      </c>
      <c r="E48" s="118">
        <v>0</v>
      </c>
      <c r="F48" s="109"/>
      <c r="G48" s="109"/>
      <c r="H48" s="17"/>
    </row>
    <row r="49" spans="1:8" ht="17.100000000000001" customHeight="1" x14ac:dyDescent="0.25">
      <c r="A49" s="117" t="s">
        <v>14</v>
      </c>
      <c r="B49" s="118"/>
      <c r="C49" s="118">
        <v>1477</v>
      </c>
      <c r="D49" s="118">
        <v>903</v>
      </c>
      <c r="E49" s="118">
        <v>0</v>
      </c>
      <c r="F49" s="125"/>
      <c r="G49" s="125"/>
      <c r="H49" s="18"/>
    </row>
    <row r="50" spans="1:8" ht="17.100000000000001" customHeight="1" x14ac:dyDescent="0.2">
      <c r="A50" s="117" t="s">
        <v>15</v>
      </c>
      <c r="B50" s="118"/>
      <c r="C50" s="118">
        <v>0</v>
      </c>
      <c r="D50" s="118">
        <v>0</v>
      </c>
      <c r="E50" s="118">
        <v>0</v>
      </c>
      <c r="F50" s="64"/>
      <c r="G50" s="64"/>
      <c r="H50" s="15"/>
    </row>
    <row r="51" spans="1:8" ht="17.100000000000001" customHeight="1" x14ac:dyDescent="0.2">
      <c r="A51" s="117" t="s">
        <v>16</v>
      </c>
      <c r="B51" s="118"/>
      <c r="C51" s="118">
        <v>437</v>
      </c>
      <c r="D51" s="118">
        <v>1447</v>
      </c>
      <c r="E51" s="118">
        <v>0</v>
      </c>
      <c r="F51" s="64"/>
      <c r="G51" s="64"/>
      <c r="H51" s="15"/>
    </row>
    <row r="52" spans="1:8" ht="17.100000000000001" customHeight="1" x14ac:dyDescent="0.2">
      <c r="A52" s="117" t="s">
        <v>17</v>
      </c>
      <c r="B52" s="118"/>
      <c r="C52" s="118">
        <v>0</v>
      </c>
      <c r="D52" s="118">
        <v>1</v>
      </c>
      <c r="E52" s="118">
        <v>0</v>
      </c>
      <c r="F52" s="64"/>
      <c r="G52" s="64"/>
      <c r="H52" s="20"/>
    </row>
    <row r="53" spans="1:8" ht="17.100000000000001" customHeight="1" x14ac:dyDescent="0.2">
      <c r="A53" s="117" t="s">
        <v>18</v>
      </c>
      <c r="B53" s="118"/>
      <c r="C53" s="118">
        <v>0</v>
      </c>
      <c r="D53" s="118">
        <v>0</v>
      </c>
      <c r="E53" s="118">
        <v>0</v>
      </c>
      <c r="F53" s="64"/>
      <c r="G53" s="64"/>
      <c r="H53" s="20"/>
    </row>
    <row r="54" spans="1:8" ht="17.100000000000001" customHeight="1" x14ac:dyDescent="0.2">
      <c r="A54" s="119"/>
      <c r="B54" s="160"/>
      <c r="C54" s="160">
        <f>SUM(C48:C53)</f>
        <v>1935</v>
      </c>
      <c r="D54" s="160">
        <f>SUM(D48:D53)</f>
        <v>2844</v>
      </c>
      <c r="E54" s="160">
        <f>SUM(E48:E53)</f>
        <v>0</v>
      </c>
      <c r="F54" s="64"/>
      <c r="G54" s="64"/>
      <c r="H54" s="20"/>
    </row>
    <row r="55" spans="1:8" ht="15.75" x14ac:dyDescent="0.2">
      <c r="A55" s="117"/>
      <c r="B55" s="118"/>
      <c r="C55" s="118"/>
      <c r="D55" s="118"/>
      <c r="E55" s="118"/>
    </row>
    <row r="56" spans="1:8" ht="15.75" customHeight="1" x14ac:dyDescent="0.25">
      <c r="A56" s="121" t="s">
        <v>85</v>
      </c>
      <c r="B56" s="161"/>
      <c r="C56" s="161">
        <f>C47-C54</f>
        <v>-144</v>
      </c>
      <c r="D56" s="161">
        <f>D47-D54</f>
        <v>0</v>
      </c>
      <c r="E56" s="161">
        <f>E47-E54</f>
        <v>0</v>
      </c>
    </row>
    <row r="58" spans="1:8" x14ac:dyDescent="0.2">
      <c r="A58" s="1" t="s">
        <v>84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3"/>
  <sheetViews>
    <sheetView workbookViewId="0">
      <selection activeCell="A24" sqref="A24:E52"/>
    </sheetView>
  </sheetViews>
  <sheetFormatPr baseColWidth="10" defaultRowHeight="15" x14ac:dyDescent="0.25"/>
  <cols>
    <col min="1" max="1" width="37.42578125" style="30" customWidth="1"/>
    <col min="2" max="16384" width="11.42578125" style="30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 t="s">
        <v>1</v>
      </c>
      <c r="B2" s="1">
        <f>$E$24</f>
        <v>2017</v>
      </c>
      <c r="C2" s="1">
        <f>$D$24</f>
        <v>2018</v>
      </c>
      <c r="D2" s="1">
        <f>$C$24</f>
        <v>0</v>
      </c>
      <c r="E2" s="1">
        <f>$B$24</f>
        <v>0</v>
      </c>
    </row>
    <row r="3" spans="1:5" x14ac:dyDescent="0.25">
      <c r="A3" s="33"/>
      <c r="B3" s="2">
        <f>$E$52</f>
        <v>0</v>
      </c>
      <c r="C3" s="2">
        <f>$D$52</f>
        <v>-197</v>
      </c>
      <c r="D3" s="2">
        <f>$C$52</f>
        <v>0</v>
      </c>
      <c r="E3" s="2">
        <f>$B$52</f>
        <v>0</v>
      </c>
    </row>
    <row r="4" spans="1:5" x14ac:dyDescent="0.25">
      <c r="A4" s="1"/>
      <c r="B4" s="1"/>
      <c r="C4" s="1"/>
      <c r="D4" s="1"/>
      <c r="E4" s="1"/>
    </row>
    <row r="5" spans="1:5" x14ac:dyDescent="0.25">
      <c r="A5" s="1" t="s">
        <v>0</v>
      </c>
      <c r="B5" s="1">
        <f>$E$24</f>
        <v>2017</v>
      </c>
      <c r="C5" s="1">
        <f>$D$24</f>
        <v>2018</v>
      </c>
      <c r="D5" s="1">
        <f>$C$24</f>
        <v>0</v>
      </c>
      <c r="E5" s="1">
        <f>$B$24</f>
        <v>0</v>
      </c>
    </row>
    <row r="6" spans="1:5" x14ac:dyDescent="0.25">
      <c r="A6" s="1"/>
      <c r="B6" s="3">
        <f>E34/E38</f>
        <v>1</v>
      </c>
      <c r="C6" s="3">
        <f>D34/D38</f>
        <v>0</v>
      </c>
      <c r="D6" s="3" t="e">
        <f>C34/C38</f>
        <v>#DIV/0!</v>
      </c>
      <c r="E6" s="3" t="e">
        <f>B34/B38</f>
        <v>#DIV/0!</v>
      </c>
    </row>
    <row r="9" spans="1:5" x14ac:dyDescent="0.25">
      <c r="A9" s="32"/>
      <c r="B9" s="32"/>
    </row>
    <row r="10" spans="1:5" x14ac:dyDescent="0.25">
      <c r="C10" s="31"/>
      <c r="D10" s="31"/>
      <c r="E10" s="31"/>
    </row>
    <row r="11" spans="1:5" x14ac:dyDescent="0.25">
      <c r="C11" s="31"/>
      <c r="D11" s="31"/>
      <c r="E11" s="31"/>
    </row>
    <row r="12" spans="1:5" x14ac:dyDescent="0.25">
      <c r="C12" s="31"/>
      <c r="D12" s="31"/>
      <c r="E12" s="31"/>
    </row>
    <row r="13" spans="1:5" x14ac:dyDescent="0.25">
      <c r="C13" s="31"/>
      <c r="D13" s="31"/>
      <c r="E13" s="31"/>
    </row>
    <row r="14" spans="1:5" x14ac:dyDescent="0.25">
      <c r="C14" s="31"/>
      <c r="D14" s="31"/>
      <c r="E14" s="31"/>
    </row>
    <row r="15" spans="1:5" x14ac:dyDescent="0.25">
      <c r="C15" s="31"/>
      <c r="D15" s="31"/>
      <c r="E15" s="31"/>
    </row>
    <row r="16" spans="1:5" x14ac:dyDescent="0.25">
      <c r="C16" s="31"/>
      <c r="D16" s="31"/>
      <c r="E16" s="31"/>
    </row>
    <row r="17" spans="1:6" x14ac:dyDescent="0.25">
      <c r="C17" s="31"/>
      <c r="D17" s="31"/>
      <c r="E17" s="31"/>
    </row>
    <row r="18" spans="1:6" x14ac:dyDescent="0.25">
      <c r="C18" s="31"/>
      <c r="D18" s="31"/>
      <c r="E18" s="31"/>
    </row>
    <row r="19" spans="1:6" x14ac:dyDescent="0.25">
      <c r="C19" s="31"/>
      <c r="D19" s="31"/>
      <c r="E19" s="31"/>
    </row>
    <row r="20" spans="1:6" x14ac:dyDescent="0.25">
      <c r="C20" s="31"/>
      <c r="D20" s="31"/>
      <c r="E20" s="31"/>
    </row>
    <row r="21" spans="1:6" x14ac:dyDescent="0.25">
      <c r="C21" s="31"/>
    </row>
    <row r="24" spans="1:6" ht="17.100000000000001" customHeight="1" x14ac:dyDescent="0.25">
      <c r="A24" s="54"/>
      <c r="B24" s="54"/>
      <c r="C24" s="54"/>
      <c r="D24" s="54">
        <v>2018</v>
      </c>
      <c r="E24" s="54">
        <v>2017</v>
      </c>
    </row>
    <row r="25" spans="1:6" ht="17.100000000000001" customHeight="1" x14ac:dyDescent="0.25">
      <c r="A25" s="35" t="s">
        <v>2</v>
      </c>
      <c r="B25" s="35"/>
      <c r="C25" s="35"/>
      <c r="D25" s="35"/>
    </row>
    <row r="26" spans="1:6" ht="17.100000000000001" customHeight="1" x14ac:dyDescent="0.25">
      <c r="A26" s="36" t="s">
        <v>48</v>
      </c>
      <c r="B26" s="36"/>
      <c r="C26" s="36"/>
      <c r="D26" s="36"/>
      <c r="F26" s="11"/>
    </row>
    <row r="27" spans="1:6" ht="17.100000000000001" customHeight="1" x14ac:dyDescent="0.25">
      <c r="A27" s="36"/>
      <c r="B27" s="36"/>
      <c r="C27" s="36"/>
      <c r="D27" s="36"/>
      <c r="F27" s="20"/>
    </row>
    <row r="28" spans="1:6" ht="17.100000000000001" customHeight="1" x14ac:dyDescent="0.25">
      <c r="A28" s="8" t="s">
        <v>4</v>
      </c>
      <c r="B28" s="8"/>
      <c r="C28" s="8"/>
      <c r="D28" s="34">
        <v>1135</v>
      </c>
      <c r="E28" s="29">
        <v>0</v>
      </c>
      <c r="F28" s="15"/>
    </row>
    <row r="29" spans="1:6" ht="17.100000000000001" customHeight="1" x14ac:dyDescent="0.25">
      <c r="A29" s="8" t="s">
        <v>5</v>
      </c>
      <c r="B29" s="24"/>
      <c r="C29" s="24"/>
      <c r="D29" s="9">
        <v>308</v>
      </c>
      <c r="E29" s="29">
        <v>25</v>
      </c>
      <c r="F29" s="15"/>
    </row>
    <row r="30" spans="1:6" ht="17.100000000000001" customHeight="1" x14ac:dyDescent="0.25">
      <c r="A30" s="8" t="s">
        <v>49</v>
      </c>
      <c r="B30" s="8"/>
      <c r="C30" s="8"/>
      <c r="D30" s="34">
        <v>172</v>
      </c>
      <c r="E30" s="29">
        <v>0</v>
      </c>
      <c r="F30" s="15"/>
    </row>
    <row r="31" spans="1:6" ht="17.100000000000001" customHeight="1" x14ac:dyDescent="0.25">
      <c r="A31" s="56"/>
      <c r="B31" s="165"/>
      <c r="C31" s="165"/>
      <c r="D31" s="165">
        <f>SUM(D28:D30)</f>
        <v>1615</v>
      </c>
      <c r="E31" s="57">
        <f>SUM(E28:E30)</f>
        <v>25</v>
      </c>
      <c r="F31" s="15"/>
    </row>
    <row r="32" spans="1:6" ht="17.100000000000001" customHeight="1" x14ac:dyDescent="0.25">
      <c r="A32" s="36" t="s">
        <v>7</v>
      </c>
      <c r="B32" s="36"/>
      <c r="C32" s="36"/>
      <c r="D32" s="43"/>
      <c r="F32" s="17"/>
    </row>
    <row r="33" spans="1:6" ht="17.100000000000001" customHeight="1" x14ac:dyDescent="0.25">
      <c r="A33" s="36"/>
      <c r="B33" s="42"/>
      <c r="C33" s="42"/>
      <c r="D33" s="44"/>
      <c r="E33" s="46"/>
      <c r="F33" s="15"/>
    </row>
    <row r="34" spans="1:6" ht="17.100000000000001" customHeight="1" x14ac:dyDescent="0.25">
      <c r="A34" s="8" t="s">
        <v>8</v>
      </c>
      <c r="B34" s="24"/>
      <c r="C34" s="24"/>
      <c r="D34" s="9">
        <v>0</v>
      </c>
      <c r="E34" s="24">
        <v>25</v>
      </c>
      <c r="F34" s="15"/>
    </row>
    <row r="35" spans="1:6" ht="17.100000000000001" customHeight="1" x14ac:dyDescent="0.25">
      <c r="A35" s="8" t="s">
        <v>9</v>
      </c>
      <c r="B35" s="24"/>
      <c r="C35" s="24"/>
      <c r="D35" s="9">
        <v>18</v>
      </c>
      <c r="E35" s="24">
        <v>0</v>
      </c>
      <c r="F35" s="15"/>
    </row>
    <row r="36" spans="1:6" ht="17.100000000000001" customHeight="1" x14ac:dyDescent="0.25">
      <c r="A36" s="8" t="s">
        <v>10</v>
      </c>
      <c r="B36" s="24"/>
      <c r="C36" s="24"/>
      <c r="D36" s="9">
        <v>1597</v>
      </c>
      <c r="E36" s="24">
        <v>0</v>
      </c>
      <c r="F36" s="15"/>
    </row>
    <row r="37" spans="1:6" ht="17.100000000000001" customHeight="1" x14ac:dyDescent="0.25">
      <c r="A37" s="8" t="s">
        <v>6</v>
      </c>
      <c r="B37" s="24"/>
      <c r="C37" s="24"/>
      <c r="D37" s="9">
        <v>0</v>
      </c>
      <c r="E37" s="24">
        <v>0</v>
      </c>
      <c r="F37" s="15"/>
    </row>
    <row r="38" spans="1:6" ht="17.100000000000001" customHeight="1" x14ac:dyDescent="0.25">
      <c r="A38" s="56"/>
      <c r="B38" s="165"/>
      <c r="C38" s="165"/>
      <c r="D38" s="165">
        <f>SUM(D34:D37)</f>
        <v>1615</v>
      </c>
      <c r="E38" s="57">
        <f>SUM(E34:E37)</f>
        <v>25</v>
      </c>
      <c r="F38" s="15"/>
    </row>
    <row r="39" spans="1:6" ht="17.100000000000001" customHeight="1" x14ac:dyDescent="0.25">
      <c r="A39" s="35" t="s">
        <v>70</v>
      </c>
      <c r="B39" s="65"/>
      <c r="C39" s="65"/>
      <c r="D39" s="166"/>
      <c r="E39" s="46"/>
      <c r="F39" s="20"/>
    </row>
    <row r="40" spans="1:6" ht="17.100000000000001" customHeight="1" x14ac:dyDescent="0.25">
      <c r="A40" s="8" t="s">
        <v>12</v>
      </c>
      <c r="B40" s="24"/>
      <c r="C40" s="24"/>
      <c r="D40" s="9">
        <v>657</v>
      </c>
      <c r="E40" s="24">
        <v>0</v>
      </c>
      <c r="F40" s="20"/>
    </row>
    <row r="41" spans="1:6" ht="15.75" customHeight="1" x14ac:dyDescent="0.25">
      <c r="A41" s="8" t="s">
        <v>19</v>
      </c>
      <c r="B41" s="24"/>
      <c r="C41" s="24"/>
      <c r="D41" s="9">
        <v>2</v>
      </c>
      <c r="E41" s="24">
        <v>0</v>
      </c>
      <c r="F41" s="17"/>
    </row>
    <row r="42" spans="1:6" ht="17.100000000000001" customHeight="1" x14ac:dyDescent="0.25">
      <c r="A42" s="8" t="s">
        <v>13</v>
      </c>
      <c r="B42" s="24"/>
      <c r="C42" s="24"/>
      <c r="D42" s="9">
        <v>0</v>
      </c>
      <c r="E42" s="24">
        <v>0</v>
      </c>
      <c r="F42" s="31"/>
    </row>
    <row r="43" spans="1:6" ht="17.100000000000001" customHeight="1" x14ac:dyDescent="0.25">
      <c r="A43" s="56"/>
      <c r="B43" s="167"/>
      <c r="C43" s="167"/>
      <c r="D43" s="165">
        <f>SUM(D40:D42)</f>
        <v>659</v>
      </c>
      <c r="E43" s="57">
        <f>SUM(E40:E42)</f>
        <v>0</v>
      </c>
      <c r="F43" s="15"/>
    </row>
    <row r="44" spans="1:6" ht="17.100000000000001" customHeight="1" x14ac:dyDescent="0.25">
      <c r="A44" s="8" t="s">
        <v>20</v>
      </c>
      <c r="B44" s="24"/>
      <c r="C44" s="24"/>
      <c r="D44" s="9">
        <v>47</v>
      </c>
      <c r="E44" s="24">
        <v>0</v>
      </c>
      <c r="F44" s="15"/>
    </row>
    <row r="45" spans="1:6" ht="17.100000000000001" customHeight="1" x14ac:dyDescent="0.25">
      <c r="A45" s="8" t="s">
        <v>14</v>
      </c>
      <c r="B45" s="24"/>
      <c r="C45" s="24"/>
      <c r="D45" s="9">
        <v>429</v>
      </c>
      <c r="E45" s="24">
        <v>0</v>
      </c>
      <c r="F45" s="20"/>
    </row>
    <row r="46" spans="1:6" ht="17.100000000000001" customHeight="1" x14ac:dyDescent="0.25">
      <c r="A46" s="8" t="s">
        <v>15</v>
      </c>
      <c r="B46" s="24"/>
      <c r="C46" s="24"/>
      <c r="D46" s="9">
        <v>176</v>
      </c>
      <c r="E46" s="24">
        <v>0</v>
      </c>
      <c r="F46" s="17"/>
    </row>
    <row r="47" spans="1:6" ht="17.100000000000001" customHeight="1" x14ac:dyDescent="0.25">
      <c r="A47" s="8" t="s">
        <v>16</v>
      </c>
      <c r="B47" s="24"/>
      <c r="C47" s="24"/>
      <c r="D47" s="9">
        <v>190</v>
      </c>
      <c r="E47" s="24">
        <v>0</v>
      </c>
      <c r="F47" s="15"/>
    </row>
    <row r="48" spans="1:6" ht="17.100000000000001" customHeight="1" x14ac:dyDescent="0.25">
      <c r="A48" s="8" t="s">
        <v>17</v>
      </c>
      <c r="B48" s="24"/>
      <c r="C48" s="24"/>
      <c r="D48" s="9">
        <v>14</v>
      </c>
      <c r="E48" s="24">
        <v>0</v>
      </c>
      <c r="F48" s="15"/>
    </row>
    <row r="49" spans="1:6" ht="17.100000000000001" customHeight="1" x14ac:dyDescent="0.25">
      <c r="A49" s="8" t="s">
        <v>18</v>
      </c>
      <c r="B49" s="24"/>
      <c r="C49" s="24"/>
      <c r="D49" s="9">
        <v>0</v>
      </c>
      <c r="E49" s="24">
        <v>0</v>
      </c>
      <c r="F49" s="15"/>
    </row>
    <row r="50" spans="1:6" ht="17.100000000000001" customHeight="1" x14ac:dyDescent="0.25">
      <c r="A50" s="56"/>
      <c r="B50" s="165"/>
      <c r="C50" s="165"/>
      <c r="D50" s="165">
        <f>SUM(D44:D49)</f>
        <v>856</v>
      </c>
      <c r="E50" s="57">
        <f>SUM(E44:E49)</f>
        <v>0</v>
      </c>
      <c r="F50" s="15"/>
    </row>
    <row r="51" spans="1:6" ht="17.100000000000001" customHeight="1" x14ac:dyDescent="0.25">
      <c r="A51" s="8"/>
      <c r="B51" s="24"/>
      <c r="C51" s="24"/>
      <c r="D51" s="9"/>
      <c r="E51" s="46"/>
      <c r="F51" s="15"/>
    </row>
    <row r="52" spans="1:6" ht="17.100000000000001" customHeight="1" x14ac:dyDescent="0.25">
      <c r="A52" s="107" t="s">
        <v>56</v>
      </c>
      <c r="B52" s="167"/>
      <c r="C52" s="167"/>
      <c r="D52" s="167">
        <f>SUM(D43-D50)</f>
        <v>-197</v>
      </c>
      <c r="E52" s="57">
        <f>SUM(E43-E50)</f>
        <v>0</v>
      </c>
      <c r="F52" s="15"/>
    </row>
    <row r="53" spans="1:6" ht="15.75" x14ac:dyDescent="0.25">
      <c r="A53" s="29"/>
      <c r="B53" s="29"/>
      <c r="C53" s="29"/>
      <c r="D53" s="29"/>
      <c r="E53" s="29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tabColor rgb="FF92D050"/>
  </sheetPr>
  <dimension ref="A2:G57"/>
  <sheetViews>
    <sheetView topLeftCell="A24" workbookViewId="0">
      <selection activeCell="Q41" sqref="Q41:R41"/>
    </sheetView>
  </sheetViews>
  <sheetFormatPr baseColWidth="10" defaultRowHeight="12.75" x14ac:dyDescent="0.2"/>
  <cols>
    <col min="1" max="1" width="37" style="1" customWidth="1"/>
    <col min="2" max="5" width="10.7109375" style="1" customWidth="1"/>
    <col min="6" max="16384" width="11.42578125" style="1"/>
  </cols>
  <sheetData>
    <row r="2" spans="1:5" x14ac:dyDescent="0.2">
      <c r="A2" s="1" t="s">
        <v>1</v>
      </c>
      <c r="B2" s="1">
        <f>$E$26</f>
        <v>2015</v>
      </c>
      <c r="C2" s="1">
        <f>$D$26</f>
        <v>2016</v>
      </c>
      <c r="D2" s="1">
        <f>$C$26</f>
        <v>2017</v>
      </c>
      <c r="E2" s="1">
        <f>$B$26</f>
        <v>2018</v>
      </c>
    </row>
    <row r="3" spans="1:5" x14ac:dyDescent="0.2">
      <c r="A3" s="14"/>
      <c r="B3" s="2">
        <f>E57</f>
        <v>198</v>
      </c>
      <c r="C3" s="2">
        <f>D57</f>
        <v>177</v>
      </c>
      <c r="D3" s="2">
        <f>C57</f>
        <v>216</v>
      </c>
      <c r="E3" s="2">
        <f>B57</f>
        <v>151</v>
      </c>
    </row>
    <row r="5" spans="1:5" x14ac:dyDescent="0.2">
      <c r="A5" s="1" t="s">
        <v>0</v>
      </c>
      <c r="B5" s="1">
        <f>$E$26</f>
        <v>2015</v>
      </c>
      <c r="C5" s="1">
        <f>$D$26</f>
        <v>2016</v>
      </c>
      <c r="D5" s="1">
        <f>$C$26</f>
        <v>2017</v>
      </c>
      <c r="E5" s="1">
        <f>$B$26</f>
        <v>2018</v>
      </c>
    </row>
    <row r="6" spans="1:5" x14ac:dyDescent="0.2">
      <c r="B6" s="3">
        <f>E37/E41</f>
        <v>0.82060185185185186</v>
      </c>
      <c r="C6" s="3">
        <f>D37/D41</f>
        <v>0.74298056155507564</v>
      </c>
      <c r="D6" s="3">
        <f>C37/C41</f>
        <v>0.75414937759336098</v>
      </c>
      <c r="E6" s="3">
        <f>B37/B41</f>
        <v>0.78</v>
      </c>
    </row>
    <row r="26" spans="1:6" ht="17.100000000000001" customHeight="1" x14ac:dyDescent="0.25">
      <c r="A26" s="54"/>
      <c r="B26" s="55">
        <v>2018</v>
      </c>
      <c r="C26" s="55">
        <v>2017</v>
      </c>
      <c r="D26" s="55">
        <v>2016</v>
      </c>
      <c r="E26" s="55">
        <v>2015</v>
      </c>
    </row>
    <row r="27" spans="1:6" ht="17.100000000000001" customHeight="1" x14ac:dyDescent="0.25">
      <c r="A27" s="35" t="s">
        <v>2</v>
      </c>
    </row>
    <row r="28" spans="1:6" ht="17.100000000000001" customHeight="1" x14ac:dyDescent="0.2">
      <c r="A28" s="36" t="s">
        <v>48</v>
      </c>
      <c r="F28" s="11"/>
    </row>
    <row r="29" spans="1:6" ht="17.100000000000001" customHeight="1" x14ac:dyDescent="0.2">
      <c r="A29" s="36"/>
      <c r="F29" s="7"/>
    </row>
    <row r="30" spans="1:6" ht="17.100000000000001" customHeight="1" x14ac:dyDescent="0.2">
      <c r="A30" s="8" t="s">
        <v>4</v>
      </c>
      <c r="B30" s="24">
        <v>268</v>
      </c>
      <c r="C30" s="24">
        <v>368</v>
      </c>
      <c r="D30" s="24">
        <v>275</v>
      </c>
      <c r="E30" s="24">
        <v>425</v>
      </c>
      <c r="F30" s="15"/>
    </row>
    <row r="31" spans="1:6" ht="17.100000000000001" customHeight="1" x14ac:dyDescent="0.2">
      <c r="A31" s="8" t="s">
        <v>5</v>
      </c>
      <c r="B31" s="24">
        <v>574</v>
      </c>
      <c r="C31" s="24">
        <v>587</v>
      </c>
      <c r="D31" s="24">
        <v>629</v>
      </c>
      <c r="E31" s="24">
        <v>418</v>
      </c>
      <c r="F31" s="15"/>
    </row>
    <row r="32" spans="1:6" ht="17.100000000000001" customHeight="1" x14ac:dyDescent="0.2">
      <c r="A32" s="8" t="s">
        <v>6</v>
      </c>
      <c r="B32" s="24">
        <v>8</v>
      </c>
      <c r="C32" s="24">
        <v>9</v>
      </c>
      <c r="D32" s="24">
        <v>22</v>
      </c>
      <c r="E32" s="24">
        <v>21</v>
      </c>
      <c r="F32" s="15"/>
    </row>
    <row r="33" spans="1:7" ht="17.100000000000001" customHeight="1" x14ac:dyDescent="0.2">
      <c r="A33" s="56"/>
      <c r="B33" s="57">
        <f>SUM(B30:B32)</f>
        <v>850</v>
      </c>
      <c r="C33" s="57">
        <f>SUM(C30:C32)</f>
        <v>964</v>
      </c>
      <c r="D33" s="57">
        <f>SUM(D30:D32)</f>
        <v>926</v>
      </c>
      <c r="E33" s="57">
        <f>SUM(E30:E32)</f>
        <v>864</v>
      </c>
      <c r="F33" s="17"/>
      <c r="G33" s="2">
        <f>C33-B33</f>
        <v>114</v>
      </c>
    </row>
    <row r="34" spans="1:7" ht="17.100000000000001" customHeight="1" x14ac:dyDescent="0.25">
      <c r="A34" s="8"/>
      <c r="B34" s="29"/>
      <c r="C34" s="29"/>
      <c r="D34" s="29"/>
      <c r="E34" s="29"/>
      <c r="F34" s="18"/>
    </row>
    <row r="35" spans="1:7" ht="17.100000000000001" customHeight="1" x14ac:dyDescent="0.25">
      <c r="A35" s="36" t="s">
        <v>7</v>
      </c>
      <c r="B35" s="29"/>
      <c r="C35" s="29"/>
      <c r="D35" s="29"/>
      <c r="E35" s="29"/>
      <c r="F35" s="18"/>
    </row>
    <row r="36" spans="1:7" ht="17.100000000000001" customHeight="1" x14ac:dyDescent="0.25">
      <c r="A36" s="36"/>
      <c r="B36" s="29"/>
      <c r="C36" s="29"/>
      <c r="D36" s="29"/>
      <c r="E36" s="29"/>
      <c r="F36" s="18"/>
    </row>
    <row r="37" spans="1:7" ht="17.100000000000001" customHeight="1" x14ac:dyDescent="0.2">
      <c r="A37" s="8" t="s">
        <v>8</v>
      </c>
      <c r="B37" s="24">
        <v>663</v>
      </c>
      <c r="C37" s="24">
        <v>727</v>
      </c>
      <c r="D37" s="24">
        <v>688</v>
      </c>
      <c r="E37" s="24">
        <v>709</v>
      </c>
      <c r="F37" s="15"/>
    </row>
    <row r="38" spans="1:7" ht="17.100000000000001" customHeight="1" x14ac:dyDescent="0.2">
      <c r="A38" s="8" t="s">
        <v>9</v>
      </c>
      <c r="B38" s="24">
        <v>85</v>
      </c>
      <c r="C38" s="24">
        <v>95</v>
      </c>
      <c r="D38" s="24">
        <v>68</v>
      </c>
      <c r="E38" s="24">
        <v>98</v>
      </c>
      <c r="F38" s="15"/>
    </row>
    <row r="39" spans="1:7" ht="17.100000000000001" customHeight="1" x14ac:dyDescent="0.2">
      <c r="A39" s="8" t="s">
        <v>10</v>
      </c>
      <c r="B39" s="24">
        <v>98</v>
      </c>
      <c r="C39" s="24">
        <v>133</v>
      </c>
      <c r="D39" s="24">
        <v>170</v>
      </c>
      <c r="E39" s="24">
        <v>57</v>
      </c>
      <c r="F39" s="15"/>
    </row>
    <row r="40" spans="1:7" ht="17.100000000000001" customHeight="1" x14ac:dyDescent="0.2">
      <c r="A40" s="8" t="s">
        <v>6</v>
      </c>
      <c r="B40" s="24">
        <v>4</v>
      </c>
      <c r="C40" s="24">
        <v>9</v>
      </c>
      <c r="D40" s="24">
        <v>0</v>
      </c>
      <c r="E40" s="24">
        <v>0</v>
      </c>
      <c r="F40" s="15"/>
    </row>
    <row r="41" spans="1:7" ht="17.100000000000001" customHeight="1" x14ac:dyDescent="0.2">
      <c r="A41" s="56"/>
      <c r="B41" s="57">
        <f>SUM(B37:B40)</f>
        <v>850</v>
      </c>
      <c r="C41" s="57">
        <f>SUM(C37:C40)</f>
        <v>964</v>
      </c>
      <c r="D41" s="57">
        <f>SUM(D37:D40)</f>
        <v>926</v>
      </c>
      <c r="E41" s="57">
        <f>SUM(E37:E40)</f>
        <v>864</v>
      </c>
      <c r="F41" s="17"/>
      <c r="G41" s="2"/>
    </row>
    <row r="42" spans="1:7" ht="17.100000000000001" customHeight="1" x14ac:dyDescent="0.25">
      <c r="A42" s="8"/>
      <c r="B42" s="29"/>
      <c r="C42" s="29"/>
      <c r="D42" s="29"/>
      <c r="E42" s="29"/>
      <c r="F42" s="18"/>
    </row>
    <row r="43" spans="1:7" ht="17.100000000000001" customHeight="1" x14ac:dyDescent="0.25">
      <c r="A43" s="35" t="s">
        <v>66</v>
      </c>
      <c r="B43" s="29"/>
      <c r="C43" s="29"/>
      <c r="D43" s="29"/>
      <c r="E43" s="29"/>
      <c r="F43" s="18"/>
    </row>
    <row r="44" spans="1:7" ht="17.100000000000001" customHeight="1" x14ac:dyDescent="0.25">
      <c r="A44" s="35"/>
      <c r="B44" s="29"/>
      <c r="C44" s="29"/>
      <c r="D44" s="29"/>
      <c r="E44" s="29"/>
      <c r="F44" s="2"/>
    </row>
    <row r="45" spans="1:7" ht="17.100000000000001" customHeight="1" x14ac:dyDescent="0.2">
      <c r="A45" s="8" t="s">
        <v>12</v>
      </c>
      <c r="B45" s="24">
        <v>1966</v>
      </c>
      <c r="C45" s="24">
        <v>1740</v>
      </c>
      <c r="D45" s="24">
        <v>1724</v>
      </c>
      <c r="E45" s="24">
        <v>1717</v>
      </c>
      <c r="F45" s="15"/>
    </row>
    <row r="46" spans="1:7" ht="17.100000000000001" customHeight="1" x14ac:dyDescent="0.2">
      <c r="A46" s="8" t="s">
        <v>19</v>
      </c>
      <c r="B46" s="24">
        <v>4</v>
      </c>
      <c r="C46" s="24">
        <v>45</v>
      </c>
      <c r="D46" s="24">
        <v>34</v>
      </c>
      <c r="E46" s="24">
        <v>28</v>
      </c>
      <c r="F46" s="15"/>
    </row>
    <row r="47" spans="1:7" ht="17.100000000000001" customHeight="1" x14ac:dyDescent="0.2">
      <c r="A47" s="8" t="s">
        <v>13</v>
      </c>
      <c r="B47" s="24">
        <v>0</v>
      </c>
      <c r="C47" s="24">
        <v>0</v>
      </c>
      <c r="D47" s="24">
        <v>0</v>
      </c>
      <c r="E47" s="24">
        <v>0</v>
      </c>
      <c r="F47" s="15"/>
    </row>
    <row r="48" spans="1:7" ht="17.100000000000001" customHeight="1" x14ac:dyDescent="0.2">
      <c r="A48" s="56"/>
      <c r="B48" s="57">
        <f>SUM(B45:B47)</f>
        <v>1970</v>
      </c>
      <c r="C48" s="57">
        <f>SUM(C45:C47)</f>
        <v>1785</v>
      </c>
      <c r="D48" s="57">
        <f>SUM(D45:D47)</f>
        <v>1758</v>
      </c>
      <c r="E48" s="57">
        <f>SUM(E45:E47)</f>
        <v>1745</v>
      </c>
      <c r="F48" s="17"/>
    </row>
    <row r="49" spans="1:6" ht="17.100000000000001" customHeight="1" x14ac:dyDescent="0.2">
      <c r="A49" s="8" t="s">
        <v>20</v>
      </c>
      <c r="B49" s="24">
        <v>970</v>
      </c>
      <c r="C49" s="24">
        <v>757</v>
      </c>
      <c r="D49" s="24">
        <v>743</v>
      </c>
      <c r="E49" s="24">
        <v>717</v>
      </c>
      <c r="F49" s="18"/>
    </row>
    <row r="50" spans="1:6" ht="17.100000000000001" customHeight="1" x14ac:dyDescent="0.2">
      <c r="A50" s="8" t="s">
        <v>14</v>
      </c>
      <c r="B50" s="24">
        <v>175</v>
      </c>
      <c r="C50" s="24">
        <v>185</v>
      </c>
      <c r="D50" s="24">
        <v>177</v>
      </c>
      <c r="E50" s="24">
        <v>171</v>
      </c>
      <c r="F50" s="15"/>
    </row>
    <row r="51" spans="1:6" ht="17.100000000000001" customHeight="1" x14ac:dyDescent="0.2">
      <c r="A51" s="8" t="s">
        <v>15</v>
      </c>
      <c r="B51" s="24">
        <v>118</v>
      </c>
      <c r="C51" s="24">
        <v>100</v>
      </c>
      <c r="D51" s="24">
        <v>159</v>
      </c>
      <c r="E51" s="24">
        <v>165</v>
      </c>
      <c r="F51" s="15"/>
    </row>
    <row r="52" spans="1:6" ht="17.100000000000001" customHeight="1" x14ac:dyDescent="0.2">
      <c r="A52" s="8" t="s">
        <v>16</v>
      </c>
      <c r="B52" s="24">
        <v>484</v>
      </c>
      <c r="C52" s="24">
        <v>419</v>
      </c>
      <c r="D52" s="24">
        <v>427</v>
      </c>
      <c r="E52" s="24">
        <v>402</v>
      </c>
      <c r="F52" s="15"/>
    </row>
    <row r="53" spans="1:6" ht="17.100000000000001" customHeight="1" x14ac:dyDescent="0.2">
      <c r="A53" s="8" t="s">
        <v>17</v>
      </c>
      <c r="B53" s="24">
        <v>0</v>
      </c>
      <c r="C53" s="24">
        <v>0</v>
      </c>
      <c r="D53" s="24">
        <v>0</v>
      </c>
      <c r="E53" s="24">
        <v>0</v>
      </c>
      <c r="F53" s="15"/>
    </row>
    <row r="54" spans="1:6" ht="17.100000000000001" customHeight="1" x14ac:dyDescent="0.2">
      <c r="A54" s="8" t="s">
        <v>18</v>
      </c>
      <c r="B54" s="24">
        <f>68+4</f>
        <v>72</v>
      </c>
      <c r="C54" s="24">
        <f>104+4</f>
        <v>108</v>
      </c>
      <c r="D54" s="24">
        <v>75</v>
      </c>
      <c r="E54" s="24">
        <f>89+3</f>
        <v>92</v>
      </c>
      <c r="F54" s="15"/>
    </row>
    <row r="55" spans="1:6" ht="17.100000000000001" customHeight="1" x14ac:dyDescent="0.2">
      <c r="A55" s="56"/>
      <c r="B55" s="57">
        <f>SUM(B49:B54)</f>
        <v>1819</v>
      </c>
      <c r="C55" s="57">
        <f>SUM(C49:C54)</f>
        <v>1569</v>
      </c>
      <c r="D55" s="57">
        <f>SUM(D49:D54)</f>
        <v>1581</v>
      </c>
      <c r="E55" s="57">
        <f>SUM(E49:E54)</f>
        <v>1547</v>
      </c>
      <c r="F55" s="17"/>
    </row>
    <row r="56" spans="1:6" ht="17.100000000000001" customHeight="1" x14ac:dyDescent="0.25">
      <c r="A56" s="8"/>
      <c r="B56" s="29"/>
      <c r="C56" s="29"/>
      <c r="D56" s="29"/>
      <c r="E56" s="29"/>
      <c r="F56" s="18"/>
    </row>
    <row r="57" spans="1:6" ht="17.100000000000001" customHeight="1" x14ac:dyDescent="0.2">
      <c r="A57" s="58" t="s">
        <v>56</v>
      </c>
      <c r="B57" s="57">
        <f>SUM(B48-B55)</f>
        <v>151</v>
      </c>
      <c r="C57" s="57">
        <f>SUM(C48-C55)</f>
        <v>216</v>
      </c>
      <c r="D57" s="57">
        <f>SUM(D48-D55)</f>
        <v>177</v>
      </c>
      <c r="E57" s="57">
        <f>SUM(E48-E55)</f>
        <v>198</v>
      </c>
      <c r="F57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>
    <tabColor rgb="FF92D050"/>
  </sheetPr>
  <dimension ref="A2:F55"/>
  <sheetViews>
    <sheetView topLeftCell="A21" workbookViewId="0">
      <selection activeCell="A27" sqref="A27:E53"/>
    </sheetView>
  </sheetViews>
  <sheetFormatPr baseColWidth="10" defaultRowHeight="12.75" x14ac:dyDescent="0.2"/>
  <cols>
    <col min="1" max="1" width="42.140625" style="33" bestFit="1" customWidth="1"/>
    <col min="2" max="16384" width="11.42578125" style="33"/>
  </cols>
  <sheetData>
    <row r="2" spans="1:6" x14ac:dyDescent="0.2">
      <c r="A2" s="33" t="s">
        <v>1</v>
      </c>
      <c r="B2" s="33">
        <f>$E$27</f>
        <v>2015</v>
      </c>
      <c r="C2" s="33">
        <f>$D$27</f>
        <v>2016</v>
      </c>
      <c r="D2" s="33">
        <f>$C$27</f>
        <v>2017</v>
      </c>
      <c r="E2" s="33">
        <f>$B$27</f>
        <v>2018</v>
      </c>
    </row>
    <row r="3" spans="1:6" x14ac:dyDescent="0.2">
      <c r="A3" s="14"/>
      <c r="B3" s="76">
        <f>E53</f>
        <v>8</v>
      </c>
      <c r="C3" s="76">
        <f>D53</f>
        <v>5</v>
      </c>
      <c r="D3" s="76">
        <f>C53</f>
        <v>-2</v>
      </c>
      <c r="E3" s="77">
        <f>B53</f>
        <v>11</v>
      </c>
    </row>
    <row r="5" spans="1:6" x14ac:dyDescent="0.2">
      <c r="A5" s="33" t="s">
        <v>0</v>
      </c>
      <c r="B5" s="33">
        <f>$E$27</f>
        <v>2015</v>
      </c>
      <c r="C5" s="33">
        <f>$D$27</f>
        <v>2016</v>
      </c>
      <c r="D5" s="33">
        <f>$C$27</f>
        <v>2017</v>
      </c>
      <c r="E5" s="33">
        <f>$B$27</f>
        <v>2018</v>
      </c>
    </row>
    <row r="6" spans="1:6" x14ac:dyDescent="0.2">
      <c r="B6" s="78">
        <f>E35/E39</f>
        <v>0.70370370370370372</v>
      </c>
      <c r="C6" s="78">
        <f>D35/D39</f>
        <v>0.75438596491228072</v>
      </c>
      <c r="D6" s="78">
        <f>C35/C39</f>
        <v>0.74545454545454548</v>
      </c>
      <c r="E6" s="78">
        <f>B35/B39</f>
        <v>0.75362318840579712</v>
      </c>
      <c r="F6" s="78"/>
    </row>
    <row r="26" spans="1:6" ht="17.100000000000001" customHeight="1" x14ac:dyDescent="0.25">
      <c r="B26" s="88"/>
    </row>
    <row r="27" spans="1:6" ht="17.100000000000001" customHeight="1" x14ac:dyDescent="0.25">
      <c r="A27" s="66"/>
      <c r="B27" s="67">
        <v>2018</v>
      </c>
      <c r="C27" s="67">
        <v>2017</v>
      </c>
      <c r="D27" s="67">
        <v>2016</v>
      </c>
      <c r="E27" s="67">
        <v>2015</v>
      </c>
    </row>
    <row r="28" spans="1:6" ht="17.100000000000001" customHeight="1" x14ac:dyDescent="0.25">
      <c r="A28" s="71" t="s">
        <v>2</v>
      </c>
    </row>
    <row r="29" spans="1:6" ht="17.100000000000001" customHeight="1" x14ac:dyDescent="0.2">
      <c r="A29" s="73" t="s">
        <v>48</v>
      </c>
      <c r="F29" s="79"/>
    </row>
    <row r="30" spans="1:6" ht="17.100000000000001" customHeight="1" x14ac:dyDescent="0.25">
      <c r="A30" s="74" t="s">
        <v>4</v>
      </c>
      <c r="B30" s="72">
        <v>7</v>
      </c>
      <c r="C30" s="72">
        <v>8</v>
      </c>
      <c r="D30" s="72">
        <v>5</v>
      </c>
      <c r="E30" s="72">
        <v>7</v>
      </c>
      <c r="F30" s="97"/>
    </row>
    <row r="31" spans="1:6" ht="17.100000000000001" customHeight="1" x14ac:dyDescent="0.25">
      <c r="A31" s="74" t="s">
        <v>5</v>
      </c>
      <c r="B31" s="72">
        <v>62</v>
      </c>
      <c r="C31" s="72">
        <v>47</v>
      </c>
      <c r="D31" s="72">
        <v>52</v>
      </c>
      <c r="E31" s="72">
        <v>47</v>
      </c>
      <c r="F31" s="97"/>
    </row>
    <row r="32" spans="1:6" ht="17.100000000000001" customHeight="1" x14ac:dyDescent="0.25">
      <c r="A32" s="74" t="s">
        <v>6</v>
      </c>
      <c r="B32" s="72">
        <v>0</v>
      </c>
      <c r="C32" s="72">
        <v>0</v>
      </c>
      <c r="D32" s="72">
        <v>0</v>
      </c>
      <c r="E32" s="72">
        <v>0</v>
      </c>
      <c r="F32" s="98"/>
    </row>
    <row r="33" spans="1:6" ht="17.100000000000001" customHeight="1" x14ac:dyDescent="0.2">
      <c r="A33" s="68"/>
      <c r="B33" s="67">
        <f>SUM(B30:B32)</f>
        <v>69</v>
      </c>
      <c r="C33" s="67">
        <f>SUM(C30:C32)</f>
        <v>55</v>
      </c>
      <c r="D33" s="67">
        <f>SUM(D30:D32)</f>
        <v>57</v>
      </c>
      <c r="E33" s="67">
        <f>SUM(E30:E32)</f>
        <v>54</v>
      </c>
      <c r="F33" s="104"/>
    </row>
    <row r="34" spans="1:6" ht="17.100000000000001" customHeight="1" x14ac:dyDescent="0.2">
      <c r="A34" s="73" t="s">
        <v>7</v>
      </c>
      <c r="F34" s="80"/>
    </row>
    <row r="35" spans="1:6" ht="17.100000000000001" customHeight="1" x14ac:dyDescent="0.25">
      <c r="A35" s="74" t="s">
        <v>8</v>
      </c>
      <c r="B35" s="72">
        <v>52</v>
      </c>
      <c r="C35" s="72">
        <v>41</v>
      </c>
      <c r="D35" s="72">
        <v>43</v>
      </c>
      <c r="E35" s="72">
        <v>38</v>
      </c>
      <c r="F35" s="97"/>
    </row>
    <row r="36" spans="1:6" ht="17.100000000000001" customHeight="1" x14ac:dyDescent="0.25">
      <c r="A36" s="74" t="s">
        <v>9</v>
      </c>
      <c r="B36" s="72">
        <v>1</v>
      </c>
      <c r="C36" s="72">
        <v>1</v>
      </c>
      <c r="D36" s="72">
        <v>1</v>
      </c>
      <c r="E36" s="72">
        <v>1</v>
      </c>
      <c r="F36" s="97"/>
    </row>
    <row r="37" spans="1:6" ht="17.100000000000001" customHeight="1" x14ac:dyDescent="0.25">
      <c r="A37" s="74" t="s">
        <v>10</v>
      </c>
      <c r="B37" s="72">
        <v>16</v>
      </c>
      <c r="C37" s="72">
        <v>13</v>
      </c>
      <c r="D37" s="72">
        <v>13</v>
      </c>
      <c r="E37" s="72">
        <v>15</v>
      </c>
      <c r="F37" s="97"/>
    </row>
    <row r="38" spans="1:6" ht="17.100000000000001" customHeight="1" x14ac:dyDescent="0.25">
      <c r="A38" s="74" t="s">
        <v>6</v>
      </c>
      <c r="B38" s="72">
        <v>0</v>
      </c>
      <c r="C38" s="72">
        <v>0</v>
      </c>
      <c r="D38" s="72">
        <v>0</v>
      </c>
      <c r="E38" s="72">
        <v>0</v>
      </c>
      <c r="F38" s="98"/>
    </row>
    <row r="39" spans="1:6" ht="17.100000000000001" customHeight="1" x14ac:dyDescent="0.2">
      <c r="A39" s="68"/>
      <c r="B39" s="69">
        <f>SUM(B35:B38)</f>
        <v>69</v>
      </c>
      <c r="C39" s="69">
        <f>SUM(C35:C38)</f>
        <v>55</v>
      </c>
      <c r="D39" s="69">
        <f>SUM(D35:D38)</f>
        <v>57</v>
      </c>
      <c r="E39" s="69">
        <f>SUM(E35:E38)</f>
        <v>54</v>
      </c>
      <c r="F39" s="104"/>
    </row>
    <row r="40" spans="1:6" ht="17.100000000000001" customHeight="1" x14ac:dyDescent="0.25">
      <c r="A40" s="71" t="s">
        <v>66</v>
      </c>
      <c r="B40" s="72"/>
      <c r="C40" s="72"/>
      <c r="D40" s="72"/>
      <c r="E40" s="72"/>
    </row>
    <row r="41" spans="1:6" ht="17.100000000000001" customHeight="1" x14ac:dyDescent="0.25">
      <c r="A41" s="74" t="s">
        <v>78</v>
      </c>
      <c r="B41" s="72">
        <v>213</v>
      </c>
      <c r="C41" s="72">
        <v>205</v>
      </c>
      <c r="D41" s="72">
        <v>205</v>
      </c>
      <c r="E41" s="72">
        <v>205</v>
      </c>
      <c r="F41" s="97"/>
    </row>
    <row r="42" spans="1:6" ht="17.100000000000001" customHeight="1" x14ac:dyDescent="0.25">
      <c r="A42" s="74" t="s">
        <v>19</v>
      </c>
      <c r="B42" s="72">
        <v>3</v>
      </c>
      <c r="C42" s="72">
        <v>4</v>
      </c>
      <c r="D42" s="72">
        <v>3</v>
      </c>
      <c r="E42" s="72">
        <v>3</v>
      </c>
      <c r="F42" s="97"/>
    </row>
    <row r="43" spans="1:6" ht="17.100000000000001" customHeight="1" x14ac:dyDescent="0.25">
      <c r="A43" s="74" t="s">
        <v>13</v>
      </c>
      <c r="B43" s="72">
        <v>0</v>
      </c>
      <c r="C43" s="72">
        <v>0</v>
      </c>
      <c r="D43" s="72">
        <v>0</v>
      </c>
      <c r="E43" s="72">
        <v>0</v>
      </c>
      <c r="F43" s="98"/>
    </row>
    <row r="44" spans="1:6" ht="17.100000000000001" customHeight="1" x14ac:dyDescent="0.2">
      <c r="A44" s="68"/>
      <c r="B44" s="105">
        <f>SUM(B41:B43)</f>
        <v>216</v>
      </c>
      <c r="C44" s="105">
        <f>SUM(C41:C43)</f>
        <v>209</v>
      </c>
      <c r="D44" s="105">
        <f>SUM(D41:D43)</f>
        <v>208</v>
      </c>
      <c r="E44" s="105">
        <f>SUM(E41:E43)</f>
        <v>208</v>
      </c>
      <c r="F44" s="104"/>
    </row>
    <row r="45" spans="1:6" ht="17.100000000000001" customHeight="1" x14ac:dyDescent="0.25">
      <c r="A45" s="74" t="s">
        <v>14</v>
      </c>
      <c r="B45" s="72">
        <v>187</v>
      </c>
      <c r="C45" s="72">
        <v>188</v>
      </c>
      <c r="D45" s="72">
        <v>184</v>
      </c>
      <c r="E45" s="72">
        <v>181</v>
      </c>
      <c r="F45" s="97"/>
    </row>
    <row r="46" spans="1:6" ht="17.100000000000001" customHeight="1" x14ac:dyDescent="0.25">
      <c r="A46" s="74" t="s">
        <v>20</v>
      </c>
      <c r="B46" s="72">
        <v>16</v>
      </c>
      <c r="C46" s="72">
        <v>21</v>
      </c>
      <c r="D46" s="72">
        <v>17</v>
      </c>
      <c r="E46" s="72">
        <v>17</v>
      </c>
      <c r="F46" s="97"/>
    </row>
    <row r="47" spans="1:6" ht="17.100000000000001" customHeight="1" x14ac:dyDescent="0.25">
      <c r="A47" s="74" t="s">
        <v>15</v>
      </c>
      <c r="B47" s="72">
        <v>2</v>
      </c>
      <c r="C47" s="72">
        <v>2</v>
      </c>
      <c r="D47" s="72">
        <v>2</v>
      </c>
      <c r="E47" s="72">
        <v>2</v>
      </c>
      <c r="F47" s="97"/>
    </row>
    <row r="48" spans="1:6" ht="17.100000000000001" customHeight="1" x14ac:dyDescent="0.25">
      <c r="A48" s="74" t="s">
        <v>16</v>
      </c>
      <c r="B48" s="72">
        <v>0</v>
      </c>
      <c r="C48" s="72">
        <v>0</v>
      </c>
      <c r="D48" s="72">
        <v>0</v>
      </c>
      <c r="E48" s="72">
        <v>0</v>
      </c>
      <c r="F48" s="97"/>
    </row>
    <row r="49" spans="1:6" ht="17.100000000000001" customHeight="1" x14ac:dyDescent="0.25">
      <c r="A49" s="74" t="s">
        <v>17</v>
      </c>
      <c r="B49" s="72">
        <v>0</v>
      </c>
      <c r="C49" s="72">
        <v>0</v>
      </c>
      <c r="D49" s="72">
        <v>0</v>
      </c>
      <c r="E49" s="72">
        <v>0</v>
      </c>
      <c r="F49" s="97"/>
    </row>
    <row r="50" spans="1:6" ht="17.100000000000001" customHeight="1" x14ac:dyDescent="0.25">
      <c r="A50" s="74" t="s">
        <v>18</v>
      </c>
      <c r="B50" s="72">
        <v>0</v>
      </c>
      <c r="C50" s="72">
        <v>0</v>
      </c>
      <c r="D50" s="72">
        <v>0</v>
      </c>
      <c r="E50" s="72">
        <v>0</v>
      </c>
      <c r="F50" s="98"/>
    </row>
    <row r="51" spans="1:6" ht="17.100000000000001" customHeight="1" x14ac:dyDescent="0.2">
      <c r="A51" s="68"/>
      <c r="B51" s="105">
        <f>SUM(B45:B50)</f>
        <v>205</v>
      </c>
      <c r="C51" s="105">
        <f>SUM(C45:C50)</f>
        <v>211</v>
      </c>
      <c r="D51" s="105">
        <f>SUM(D45:D50)</f>
        <v>203</v>
      </c>
      <c r="E51" s="105">
        <f>SUM(E45:E50)</f>
        <v>200</v>
      </c>
      <c r="F51" s="104"/>
    </row>
    <row r="52" spans="1:6" ht="17.100000000000001" customHeight="1" x14ac:dyDescent="0.25">
      <c r="A52" s="74"/>
      <c r="B52" s="72"/>
      <c r="C52" s="72"/>
      <c r="D52" s="72"/>
      <c r="E52" s="72"/>
      <c r="F52" s="80"/>
    </row>
    <row r="53" spans="1:6" ht="17.100000000000001" customHeight="1" x14ac:dyDescent="0.2">
      <c r="A53" s="70" t="s">
        <v>56</v>
      </c>
      <c r="B53" s="105">
        <f>SUM(B44-B51)</f>
        <v>11</v>
      </c>
      <c r="C53" s="105">
        <f>SUM(C44-C51)</f>
        <v>-2</v>
      </c>
      <c r="D53" s="105">
        <f>SUM(D44-D51)</f>
        <v>5</v>
      </c>
      <c r="E53" s="105">
        <f>SUM(E44-E51)</f>
        <v>8</v>
      </c>
      <c r="F53" s="92"/>
    </row>
    <row r="54" spans="1:6" ht="15.75" x14ac:dyDescent="0.25">
      <c r="A54" s="72"/>
      <c r="B54" s="72"/>
      <c r="C54" s="72"/>
      <c r="D54" s="72"/>
      <c r="E54" s="72"/>
    </row>
    <row r="55" spans="1:6" ht="15.75" x14ac:dyDescent="0.25">
      <c r="A55" s="72"/>
      <c r="B55" s="72"/>
      <c r="C55" s="72"/>
      <c r="D55" s="72"/>
      <c r="E55" s="7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>
    <tabColor rgb="FF92D050"/>
  </sheetPr>
  <dimension ref="A2:G59"/>
  <sheetViews>
    <sheetView workbookViewId="0">
      <selection activeCell="H7" sqref="H7:K8"/>
    </sheetView>
  </sheetViews>
  <sheetFormatPr baseColWidth="10" defaultRowHeight="12.75" x14ac:dyDescent="0.2"/>
  <cols>
    <col min="1" max="1" width="36.140625" style="1" customWidth="1"/>
    <col min="2" max="16384" width="11.42578125" style="1"/>
  </cols>
  <sheetData>
    <row r="2" spans="1:5" x14ac:dyDescent="0.2">
      <c r="A2" s="1" t="s">
        <v>1</v>
      </c>
      <c r="B2" s="1" t="str">
        <f>$E$27</f>
        <v>2014/2015</v>
      </c>
      <c r="C2" s="1" t="str">
        <f>$D$27</f>
        <v>2015/2016</v>
      </c>
      <c r="D2" s="1" t="str">
        <f>$C$27</f>
        <v>2016/2017</v>
      </c>
      <c r="E2" s="1" t="str">
        <f>$B$27</f>
        <v>2017/2018</v>
      </c>
    </row>
    <row r="3" spans="1:5" x14ac:dyDescent="0.2">
      <c r="A3" s="14"/>
      <c r="B3" s="2">
        <f>E56</f>
        <v>199</v>
      </c>
      <c r="C3" s="2">
        <f>D56</f>
        <v>15</v>
      </c>
      <c r="D3" s="2">
        <f>C56</f>
        <v>27</v>
      </c>
      <c r="E3" s="2">
        <f>B56</f>
        <v>344</v>
      </c>
    </row>
    <row r="5" spans="1:5" x14ac:dyDescent="0.2">
      <c r="A5" s="1" t="s">
        <v>0</v>
      </c>
      <c r="B5" s="1" t="str">
        <f>$E$27</f>
        <v>2014/2015</v>
      </c>
      <c r="C5" s="1" t="str">
        <f>$D$27</f>
        <v>2015/2016</v>
      </c>
      <c r="D5" s="1" t="str">
        <f>$C$27</f>
        <v>2016/2017</v>
      </c>
      <c r="E5" s="1" t="str">
        <f>$B$27</f>
        <v>2017/2018</v>
      </c>
    </row>
    <row r="6" spans="1:5" x14ac:dyDescent="0.2">
      <c r="B6" s="3">
        <f>E37/E41</f>
        <v>0.58801711840228243</v>
      </c>
      <c r="C6" s="3">
        <f>D37/D41</f>
        <v>0.56321215409658165</v>
      </c>
      <c r="D6" s="3">
        <f>C37/C41</f>
        <v>0.50944309927360776</v>
      </c>
      <c r="E6" s="3">
        <f>B37/B41</f>
        <v>0.68513853904282118</v>
      </c>
    </row>
    <row r="7" spans="1:5" x14ac:dyDescent="0.2">
      <c r="B7" s="13"/>
      <c r="C7" s="13"/>
      <c r="D7" s="13"/>
      <c r="E7" s="13"/>
    </row>
    <row r="26" spans="1:6" ht="17.100000000000001" customHeight="1" x14ac:dyDescent="0.25">
      <c r="B26" s="35"/>
    </row>
    <row r="27" spans="1:6" ht="17.100000000000001" customHeight="1" x14ac:dyDescent="0.25">
      <c r="A27" s="54"/>
      <c r="B27" s="55" t="s">
        <v>89</v>
      </c>
      <c r="C27" s="55" t="s">
        <v>86</v>
      </c>
      <c r="D27" s="55" t="s">
        <v>77</v>
      </c>
      <c r="E27" s="55" t="s">
        <v>76</v>
      </c>
    </row>
    <row r="28" spans="1:6" ht="17.100000000000001" customHeight="1" x14ac:dyDescent="0.25">
      <c r="A28" s="35" t="s">
        <v>2</v>
      </c>
    </row>
    <row r="29" spans="1:6" ht="17.100000000000001" customHeight="1" x14ac:dyDescent="0.2">
      <c r="A29" s="36" t="s">
        <v>48</v>
      </c>
      <c r="F29" s="11"/>
    </row>
    <row r="30" spans="1:6" ht="17.100000000000001" customHeight="1" x14ac:dyDescent="0.2">
      <c r="A30" s="36"/>
      <c r="F30" s="7"/>
    </row>
    <row r="31" spans="1:6" ht="17.100000000000001" customHeight="1" x14ac:dyDescent="0.2">
      <c r="A31" s="8" t="s">
        <v>4</v>
      </c>
      <c r="B31" s="7">
        <v>295</v>
      </c>
      <c r="C31" s="7">
        <v>180</v>
      </c>
      <c r="D31" s="7">
        <v>77</v>
      </c>
      <c r="E31" s="7">
        <v>64</v>
      </c>
      <c r="F31" s="20"/>
    </row>
    <row r="32" spans="1:6" ht="17.100000000000001" customHeight="1" x14ac:dyDescent="0.2">
      <c r="A32" s="8" t="s">
        <v>5</v>
      </c>
      <c r="B32" s="18">
        <v>3270</v>
      </c>
      <c r="C32" s="18">
        <v>3891</v>
      </c>
      <c r="D32" s="18">
        <f>13+33+3539</f>
        <v>3585</v>
      </c>
      <c r="E32" s="18">
        <f>21+266+3133</f>
        <v>3420</v>
      </c>
      <c r="F32" s="15"/>
    </row>
    <row r="33" spans="1:7" ht="17.100000000000001" customHeight="1" x14ac:dyDescent="0.2">
      <c r="A33" s="8" t="s">
        <v>6</v>
      </c>
      <c r="B33" s="103">
        <v>8</v>
      </c>
      <c r="C33" s="103">
        <v>59</v>
      </c>
      <c r="D33" s="103">
        <v>24</v>
      </c>
      <c r="E33" s="103">
        <v>21</v>
      </c>
      <c r="F33" s="20"/>
    </row>
    <row r="34" spans="1:7" ht="17.100000000000001" customHeight="1" x14ac:dyDescent="0.2">
      <c r="A34" s="56"/>
      <c r="B34" s="57">
        <f>SUM(B31:B33)</f>
        <v>3573</v>
      </c>
      <c r="C34" s="57">
        <f>SUM(C31:C33)</f>
        <v>4130</v>
      </c>
      <c r="D34" s="57">
        <f>SUM(D31:D33)</f>
        <v>3686</v>
      </c>
      <c r="E34" s="57">
        <f>SUM(E31:E33)</f>
        <v>3505</v>
      </c>
      <c r="F34" s="17"/>
    </row>
    <row r="35" spans="1:7" ht="17.100000000000001" customHeight="1" x14ac:dyDescent="0.2">
      <c r="A35" s="36" t="s">
        <v>7</v>
      </c>
      <c r="B35" s="18"/>
      <c r="C35" s="18"/>
      <c r="D35" s="18"/>
      <c r="E35" s="18"/>
      <c r="F35" s="18"/>
    </row>
    <row r="36" spans="1:7" ht="17.100000000000001" customHeight="1" x14ac:dyDescent="0.2">
      <c r="A36" s="36"/>
      <c r="B36" s="18"/>
      <c r="C36" s="18"/>
      <c r="D36" s="18"/>
      <c r="E36" s="18"/>
      <c r="F36" s="18"/>
    </row>
    <row r="37" spans="1:7" ht="17.100000000000001" customHeight="1" x14ac:dyDescent="0.2">
      <c r="A37" s="8" t="s">
        <v>8</v>
      </c>
      <c r="B37" s="18">
        <v>2448</v>
      </c>
      <c r="C37" s="18">
        <v>2104</v>
      </c>
      <c r="D37" s="18">
        <v>2076</v>
      </c>
      <c r="E37" s="18">
        <v>2061</v>
      </c>
      <c r="F37" s="15"/>
    </row>
    <row r="38" spans="1:7" ht="17.100000000000001" customHeight="1" x14ac:dyDescent="0.2">
      <c r="A38" s="8" t="s">
        <v>9</v>
      </c>
      <c r="B38" s="18">
        <v>832</v>
      </c>
      <c r="C38" s="18">
        <v>1626</v>
      </c>
      <c r="D38" s="7">
        <v>1493</v>
      </c>
      <c r="E38" s="7">
        <v>1273</v>
      </c>
      <c r="F38" s="20"/>
    </row>
    <row r="39" spans="1:7" ht="17.100000000000001" customHeight="1" x14ac:dyDescent="0.2">
      <c r="A39" s="8" t="s">
        <v>10</v>
      </c>
      <c r="B39" s="7">
        <v>243</v>
      </c>
      <c r="C39" s="7">
        <v>206</v>
      </c>
      <c r="D39" s="7">
        <v>112</v>
      </c>
      <c r="E39" s="7">
        <v>161</v>
      </c>
      <c r="F39" s="20"/>
    </row>
    <row r="40" spans="1:7" ht="17.100000000000001" customHeight="1" x14ac:dyDescent="0.2">
      <c r="A40" s="8" t="s">
        <v>6</v>
      </c>
      <c r="B40" s="7">
        <v>50</v>
      </c>
      <c r="C40" s="7">
        <v>194</v>
      </c>
      <c r="D40" s="7">
        <v>5</v>
      </c>
      <c r="E40" s="7">
        <v>10</v>
      </c>
      <c r="F40" s="20"/>
    </row>
    <row r="41" spans="1:7" ht="17.100000000000001" customHeight="1" x14ac:dyDescent="0.2">
      <c r="A41" s="56"/>
      <c r="B41" s="57">
        <f>SUM(B37:B40)</f>
        <v>3573</v>
      </c>
      <c r="C41" s="57">
        <f>SUM(C37:C40)</f>
        <v>4130</v>
      </c>
      <c r="D41" s="57">
        <f>SUM(D37:D40)</f>
        <v>3686</v>
      </c>
      <c r="E41" s="57">
        <f>SUM(E37:E40)</f>
        <v>3505</v>
      </c>
      <c r="F41" s="17"/>
      <c r="G41" s="110"/>
    </row>
    <row r="42" spans="1:7" ht="17.100000000000001" customHeight="1" x14ac:dyDescent="0.25">
      <c r="A42" s="35" t="s">
        <v>66</v>
      </c>
      <c r="B42" s="46"/>
      <c r="C42" s="46"/>
      <c r="D42" s="46"/>
      <c r="E42" s="46"/>
      <c r="F42" s="2"/>
      <c r="G42" s="110"/>
    </row>
    <row r="43" spans="1:7" ht="17.100000000000001" customHeight="1" x14ac:dyDescent="0.2">
      <c r="A43" s="8" t="s">
        <v>12</v>
      </c>
      <c r="B43" s="18">
        <v>2482</v>
      </c>
      <c r="C43" s="18">
        <v>2254</v>
      </c>
      <c r="D43" s="18">
        <v>2175</v>
      </c>
      <c r="E43" s="18">
        <v>2417</v>
      </c>
      <c r="F43" s="15"/>
      <c r="G43" s="18"/>
    </row>
    <row r="44" spans="1:7" ht="17.100000000000001" customHeight="1" x14ac:dyDescent="0.2">
      <c r="A44" s="8" t="s">
        <v>19</v>
      </c>
      <c r="B44" s="18">
        <v>5585</v>
      </c>
      <c r="C44" s="18">
        <v>4409</v>
      </c>
      <c r="D44" s="18">
        <v>3994</v>
      </c>
      <c r="E44" s="18">
        <v>3677</v>
      </c>
      <c r="F44" s="15"/>
      <c r="G44" s="129"/>
    </row>
    <row r="45" spans="1:7" ht="17.100000000000001" customHeight="1" x14ac:dyDescent="0.2">
      <c r="A45" s="8" t="s">
        <v>13</v>
      </c>
      <c r="B45" s="7">
        <v>0</v>
      </c>
      <c r="C45" s="7">
        <v>0</v>
      </c>
      <c r="D45" s="7">
        <v>1</v>
      </c>
      <c r="E45" s="7">
        <v>2</v>
      </c>
      <c r="F45" s="20"/>
      <c r="G45" s="129"/>
    </row>
    <row r="46" spans="1:7" ht="17.100000000000001" customHeight="1" x14ac:dyDescent="0.2">
      <c r="A46" s="56"/>
      <c r="B46" s="57">
        <f>SUM(B43:B45)</f>
        <v>8067</v>
      </c>
      <c r="C46" s="57">
        <f>SUM(C43:C45)</f>
        <v>6663</v>
      </c>
      <c r="D46" s="57">
        <f>SUM(D43:D45)</f>
        <v>6170</v>
      </c>
      <c r="E46" s="57">
        <f>SUM(E43:E45)</f>
        <v>6096</v>
      </c>
      <c r="F46" s="17"/>
      <c r="G46" s="109"/>
    </row>
    <row r="47" spans="1:7" ht="17.100000000000001" customHeight="1" x14ac:dyDescent="0.2">
      <c r="A47" s="8" t="s">
        <v>20</v>
      </c>
      <c r="B47" s="18">
        <v>1381</v>
      </c>
      <c r="C47" s="18">
        <v>873</v>
      </c>
      <c r="D47" s="18">
        <v>737</v>
      </c>
      <c r="E47" s="18">
        <v>793</v>
      </c>
      <c r="F47" s="20"/>
      <c r="G47" s="129"/>
    </row>
    <row r="48" spans="1:7" ht="17.100000000000001" customHeight="1" x14ac:dyDescent="0.2">
      <c r="A48" s="8" t="s">
        <v>14</v>
      </c>
      <c r="B48" s="18">
        <v>4627</v>
      </c>
      <c r="C48" s="18">
        <v>4288</v>
      </c>
      <c r="D48" s="18">
        <v>3859</v>
      </c>
      <c r="E48" s="18">
        <v>3451</v>
      </c>
      <c r="F48" s="20"/>
      <c r="G48" s="129"/>
    </row>
    <row r="49" spans="1:7" ht="17.100000000000001" customHeight="1" x14ac:dyDescent="0.2">
      <c r="A49" s="8" t="s">
        <v>15</v>
      </c>
      <c r="B49" s="7">
        <f>63+5</f>
        <v>68</v>
      </c>
      <c r="C49" s="7">
        <v>46</v>
      </c>
      <c r="D49" s="7">
        <v>35</v>
      </c>
      <c r="E49" s="7">
        <v>35</v>
      </c>
      <c r="F49" s="20"/>
      <c r="G49" s="129"/>
    </row>
    <row r="50" spans="1:7" ht="17.100000000000001" customHeight="1" x14ac:dyDescent="0.2">
      <c r="A50" s="8" t="s">
        <v>16</v>
      </c>
      <c r="B50" s="18">
        <v>1631</v>
      </c>
      <c r="C50" s="18">
        <v>1418</v>
      </c>
      <c r="D50" s="18">
        <v>1509</v>
      </c>
      <c r="E50" s="18">
        <v>1612</v>
      </c>
      <c r="F50" s="20"/>
      <c r="G50" s="129"/>
    </row>
    <row r="51" spans="1:7" ht="17.100000000000001" customHeight="1" x14ac:dyDescent="0.2">
      <c r="A51" s="8" t="s">
        <v>17</v>
      </c>
      <c r="B51" s="7">
        <v>12</v>
      </c>
      <c r="C51" s="7">
        <v>9</v>
      </c>
      <c r="D51" s="7">
        <v>8</v>
      </c>
      <c r="E51" s="7">
        <v>9</v>
      </c>
      <c r="F51" s="20"/>
      <c r="G51" s="129"/>
    </row>
    <row r="52" spans="1:7" ht="17.100000000000001" customHeight="1" x14ac:dyDescent="0.2">
      <c r="A52" s="8" t="s">
        <v>18</v>
      </c>
      <c r="B52" s="7">
        <v>4</v>
      </c>
      <c r="C52" s="7">
        <v>2</v>
      </c>
      <c r="D52" s="7">
        <v>6</v>
      </c>
      <c r="E52" s="7">
        <v>-3</v>
      </c>
      <c r="F52" s="20"/>
      <c r="G52" s="129"/>
    </row>
    <row r="53" spans="1:7" ht="17.100000000000001" customHeight="1" x14ac:dyDescent="0.2">
      <c r="A53" s="8" t="s">
        <v>55</v>
      </c>
      <c r="B53" s="7">
        <v>0</v>
      </c>
      <c r="C53" s="7">
        <v>0</v>
      </c>
      <c r="D53" s="7">
        <v>1</v>
      </c>
      <c r="E53" s="7">
        <v>0</v>
      </c>
      <c r="F53" s="20"/>
      <c r="G53" s="129"/>
    </row>
    <row r="54" spans="1:7" ht="17.100000000000001" customHeight="1" x14ac:dyDescent="0.2">
      <c r="A54" s="56"/>
      <c r="B54" s="57">
        <f>SUM(B47:B53)</f>
        <v>7723</v>
      </c>
      <c r="C54" s="57">
        <f>SUM(C47:C53)</f>
        <v>6636</v>
      </c>
      <c r="D54" s="57">
        <f>SUM(D47:D53)</f>
        <v>6155</v>
      </c>
      <c r="E54" s="57">
        <f>SUM(E47:E53)</f>
        <v>5897</v>
      </c>
      <c r="F54" s="17"/>
      <c r="G54" s="109"/>
    </row>
    <row r="55" spans="1:7" ht="17.100000000000001" customHeight="1" x14ac:dyDescent="0.2">
      <c r="A55" s="8"/>
      <c r="B55" s="18"/>
      <c r="C55" s="18"/>
      <c r="D55" s="18"/>
      <c r="E55" s="18"/>
      <c r="F55" s="18"/>
      <c r="G55" s="129"/>
    </row>
    <row r="56" spans="1:7" ht="17.100000000000001" customHeight="1" x14ac:dyDescent="0.2">
      <c r="A56" s="58" t="s">
        <v>56</v>
      </c>
      <c r="B56" s="57">
        <f>SUM(B46-B54)</f>
        <v>344</v>
      </c>
      <c r="C56" s="57">
        <f>SUM(C46-C54)</f>
        <v>27</v>
      </c>
      <c r="D56" s="57">
        <f>SUM(D46-D54)</f>
        <v>15</v>
      </c>
      <c r="E56" s="57">
        <f>SUM(E46-E54)</f>
        <v>199</v>
      </c>
      <c r="F56" s="109"/>
      <c r="G56" s="109"/>
    </row>
    <row r="57" spans="1:7" x14ac:dyDescent="0.2">
      <c r="G57" s="110"/>
    </row>
    <row r="58" spans="1:7" x14ac:dyDescent="0.2">
      <c r="G58" s="110"/>
    </row>
    <row r="59" spans="1:7" x14ac:dyDescent="0.2">
      <c r="G59" s="110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>
    <tabColor rgb="FF92D050"/>
  </sheetPr>
  <dimension ref="A2:F53"/>
  <sheetViews>
    <sheetView topLeftCell="A4" workbookViewId="0">
      <selection activeCell="H5" sqref="H5:K5"/>
    </sheetView>
  </sheetViews>
  <sheetFormatPr baseColWidth="10" defaultRowHeight="12.75" x14ac:dyDescent="0.2"/>
  <cols>
    <col min="1" max="1" width="36.140625" style="1" customWidth="1"/>
    <col min="2" max="16384" width="11.42578125" style="1"/>
  </cols>
  <sheetData>
    <row r="2" spans="1:5" x14ac:dyDescent="0.2">
      <c r="A2" s="1" t="s">
        <v>1</v>
      </c>
      <c r="B2" s="1" t="str">
        <f>$E$27</f>
        <v>2014/2015</v>
      </c>
      <c r="C2" s="1" t="str">
        <f>$D$27</f>
        <v>2015/2016</v>
      </c>
      <c r="D2" s="1" t="str">
        <f>$C$27</f>
        <v>2016/2017</v>
      </c>
      <c r="E2" s="1" t="str">
        <f>$B$27</f>
        <v>2017/2018</v>
      </c>
    </row>
    <row r="3" spans="1:5" x14ac:dyDescent="0.2">
      <c r="A3" s="14"/>
      <c r="B3" s="2">
        <f>E53</f>
        <v>155</v>
      </c>
      <c r="C3" s="2">
        <f>D53</f>
        <v>172</v>
      </c>
      <c r="D3" s="2">
        <f>C53</f>
        <v>10</v>
      </c>
      <c r="E3" s="2">
        <f>B53</f>
        <v>-274</v>
      </c>
    </row>
    <row r="5" spans="1:5" x14ac:dyDescent="0.2">
      <c r="A5" s="1" t="s">
        <v>0</v>
      </c>
      <c r="B5" s="1" t="str">
        <f>$E$27</f>
        <v>2014/2015</v>
      </c>
      <c r="C5" s="1" t="str">
        <f>$D$27</f>
        <v>2015/2016</v>
      </c>
      <c r="D5" s="1" t="str">
        <f>$C$27</f>
        <v>2016/2017</v>
      </c>
      <c r="E5" s="1" t="str">
        <f>$B$27</f>
        <v>2017/2018</v>
      </c>
    </row>
    <row r="6" spans="1:5" x14ac:dyDescent="0.2">
      <c r="B6" s="3">
        <f>E35/E39</f>
        <v>0.32453825857519791</v>
      </c>
      <c r="C6" s="3">
        <f>D35/D39</f>
        <v>0.33030106129521336</v>
      </c>
      <c r="D6" s="3">
        <f>C35/C39</f>
        <v>0.3481515082785212</v>
      </c>
      <c r="E6" s="3">
        <f>B35/B39</f>
        <v>0.37429504303947758</v>
      </c>
    </row>
    <row r="26" spans="1:6" ht="17.100000000000001" customHeight="1" x14ac:dyDescent="0.25">
      <c r="B26" s="35"/>
    </row>
    <row r="27" spans="1:6" ht="17.100000000000001" customHeight="1" x14ac:dyDescent="0.25">
      <c r="A27" s="54"/>
      <c r="B27" s="55" t="s">
        <v>89</v>
      </c>
      <c r="C27" s="55" t="s">
        <v>86</v>
      </c>
      <c r="D27" s="55" t="s">
        <v>77</v>
      </c>
      <c r="E27" s="55" t="s">
        <v>76</v>
      </c>
    </row>
    <row r="28" spans="1:6" ht="17.100000000000001" customHeight="1" x14ac:dyDescent="0.25">
      <c r="A28" s="35" t="s">
        <v>2</v>
      </c>
    </row>
    <row r="29" spans="1:6" ht="17.100000000000001" customHeight="1" x14ac:dyDescent="0.2">
      <c r="A29" s="36" t="s">
        <v>48</v>
      </c>
      <c r="F29" s="11"/>
    </row>
    <row r="30" spans="1:6" ht="17.100000000000001" customHeight="1" x14ac:dyDescent="0.2">
      <c r="A30" s="8" t="s">
        <v>4</v>
      </c>
      <c r="B30" s="24">
        <v>916</v>
      </c>
      <c r="C30" s="24">
        <v>927</v>
      </c>
      <c r="D30" s="24">
        <v>1005</v>
      </c>
      <c r="E30" s="24">
        <v>992</v>
      </c>
      <c r="F30" s="20"/>
    </row>
    <row r="31" spans="1:6" ht="17.100000000000001" customHeight="1" x14ac:dyDescent="0.2">
      <c r="A31" s="8" t="s">
        <v>5</v>
      </c>
      <c r="B31" s="24">
        <f>156+2085+51</f>
        <v>2292</v>
      </c>
      <c r="C31" s="24">
        <v>3301</v>
      </c>
      <c r="D31" s="24">
        <f>147+135+3113</f>
        <v>3395</v>
      </c>
      <c r="E31" s="24">
        <f>150+1876+1000</f>
        <v>3026</v>
      </c>
      <c r="F31" s="15"/>
    </row>
    <row r="32" spans="1:6" ht="17.100000000000001" customHeight="1" x14ac:dyDescent="0.2">
      <c r="A32" s="8" t="s">
        <v>6</v>
      </c>
      <c r="B32" s="24">
        <v>161</v>
      </c>
      <c r="C32" s="24">
        <v>181</v>
      </c>
      <c r="D32" s="24">
        <v>217</v>
      </c>
      <c r="E32" s="24">
        <v>151</v>
      </c>
      <c r="F32" s="20"/>
    </row>
    <row r="33" spans="1:6" ht="17.100000000000001" customHeight="1" x14ac:dyDescent="0.2">
      <c r="A33" s="56"/>
      <c r="B33" s="57">
        <f>SUM(B30:B32)</f>
        <v>3369</v>
      </c>
      <c r="C33" s="57">
        <f>SUM(C30:C32)</f>
        <v>4409</v>
      </c>
      <c r="D33" s="57">
        <f>SUM(D30:D32)</f>
        <v>4617</v>
      </c>
      <c r="E33" s="57">
        <f>SUM(E30:E32)</f>
        <v>4169</v>
      </c>
      <c r="F33" s="17"/>
    </row>
    <row r="34" spans="1:6" ht="17.100000000000001" customHeight="1" x14ac:dyDescent="0.2">
      <c r="A34" s="36" t="s">
        <v>7</v>
      </c>
      <c r="F34" s="18"/>
    </row>
    <row r="35" spans="1:6" ht="17.100000000000001" customHeight="1" x14ac:dyDescent="0.2">
      <c r="A35" s="8" t="s">
        <v>8</v>
      </c>
      <c r="B35" s="24">
        <v>1261</v>
      </c>
      <c r="C35" s="24">
        <v>1535</v>
      </c>
      <c r="D35" s="24">
        <v>1525</v>
      </c>
      <c r="E35" s="24">
        <v>1353</v>
      </c>
      <c r="F35" s="20"/>
    </row>
    <row r="36" spans="1:6" ht="17.100000000000001" customHeight="1" x14ac:dyDescent="0.2">
      <c r="A36" s="8" t="s">
        <v>9</v>
      </c>
      <c r="B36" s="24">
        <v>1233</v>
      </c>
      <c r="C36" s="24">
        <v>1556</v>
      </c>
      <c r="D36" s="24">
        <v>1688</v>
      </c>
      <c r="E36" s="24">
        <v>1356</v>
      </c>
      <c r="F36" s="15"/>
    </row>
    <row r="37" spans="1:6" ht="17.100000000000001" customHeight="1" x14ac:dyDescent="0.2">
      <c r="A37" s="8" t="s">
        <v>10</v>
      </c>
      <c r="B37" s="24">
        <v>501</v>
      </c>
      <c r="C37" s="24">
        <v>494</v>
      </c>
      <c r="D37" s="24">
        <v>539</v>
      </c>
      <c r="E37" s="24">
        <v>841</v>
      </c>
      <c r="F37" s="20"/>
    </row>
    <row r="38" spans="1:6" ht="17.100000000000001" customHeight="1" x14ac:dyDescent="0.2">
      <c r="A38" s="8" t="s">
        <v>6</v>
      </c>
      <c r="B38" s="24">
        <v>374</v>
      </c>
      <c r="C38" s="24">
        <v>824</v>
      </c>
      <c r="D38" s="24">
        <v>865</v>
      </c>
      <c r="E38" s="24">
        <v>619</v>
      </c>
      <c r="F38" s="20"/>
    </row>
    <row r="39" spans="1:6" ht="17.100000000000001" customHeight="1" x14ac:dyDescent="0.2">
      <c r="A39" s="56"/>
      <c r="B39" s="57">
        <f>SUM(B35:B38)</f>
        <v>3369</v>
      </c>
      <c r="C39" s="57">
        <f>SUM(C35:C38)</f>
        <v>4409</v>
      </c>
      <c r="D39" s="57">
        <f>SUM(D35:D38)</f>
        <v>4617</v>
      </c>
      <c r="E39" s="57">
        <f>SUM(E35:E38)</f>
        <v>4169</v>
      </c>
      <c r="F39" s="17"/>
    </row>
    <row r="40" spans="1:6" ht="17.100000000000001" customHeight="1" x14ac:dyDescent="0.25">
      <c r="A40" s="35" t="s">
        <v>66</v>
      </c>
      <c r="F40" s="2"/>
    </row>
    <row r="41" spans="1:6" ht="17.100000000000001" customHeight="1" x14ac:dyDescent="0.2">
      <c r="A41" s="8" t="s">
        <v>12</v>
      </c>
      <c r="B41" s="24">
        <v>2019</v>
      </c>
      <c r="C41" s="24">
        <v>2134</v>
      </c>
      <c r="D41" s="24">
        <v>1910</v>
      </c>
      <c r="E41" s="24">
        <v>1699</v>
      </c>
      <c r="F41" s="20"/>
    </row>
    <row r="42" spans="1:6" ht="17.100000000000001" customHeight="1" x14ac:dyDescent="0.2">
      <c r="A42" s="8" t="s">
        <v>19</v>
      </c>
      <c r="B42" s="24">
        <f>18950</f>
        <v>18950</v>
      </c>
      <c r="C42" s="24">
        <v>19122</v>
      </c>
      <c r="D42" s="24">
        <f>19123+1</f>
        <v>19124</v>
      </c>
      <c r="E42" s="24">
        <f>18434-4</f>
        <v>18430</v>
      </c>
      <c r="F42" s="15"/>
    </row>
    <row r="43" spans="1:6" ht="17.100000000000001" customHeight="1" x14ac:dyDescent="0.2">
      <c r="A43" s="8" t="s">
        <v>13</v>
      </c>
      <c r="B43" s="24">
        <v>0</v>
      </c>
      <c r="C43" s="24">
        <v>0</v>
      </c>
      <c r="D43" s="24">
        <v>1</v>
      </c>
      <c r="E43" s="24">
        <v>1</v>
      </c>
      <c r="F43" s="20"/>
    </row>
    <row r="44" spans="1:6" ht="17.100000000000001" customHeight="1" x14ac:dyDescent="0.2">
      <c r="A44" s="56"/>
      <c r="B44" s="57">
        <f>SUM(B41:B43)</f>
        <v>20969</v>
      </c>
      <c r="C44" s="57">
        <f>SUM(C41:C43)</f>
        <v>21256</v>
      </c>
      <c r="D44" s="57">
        <f>SUM(D41:D43)</f>
        <v>21035</v>
      </c>
      <c r="E44" s="57">
        <f>SUM(E41:E43)</f>
        <v>20130</v>
      </c>
      <c r="F44" s="17"/>
    </row>
    <row r="45" spans="1:6" ht="17.100000000000001" customHeight="1" x14ac:dyDescent="0.2">
      <c r="A45" s="8" t="s">
        <v>20</v>
      </c>
      <c r="B45" s="24">
        <v>2448</v>
      </c>
      <c r="C45" s="24">
        <v>2902</v>
      </c>
      <c r="D45" s="24">
        <v>2684</v>
      </c>
      <c r="E45" s="24">
        <v>2551</v>
      </c>
      <c r="F45" s="15"/>
    </row>
    <row r="46" spans="1:6" ht="17.100000000000001" customHeight="1" x14ac:dyDescent="0.2">
      <c r="A46" s="8" t="s">
        <v>14</v>
      </c>
      <c r="B46" s="24">
        <v>16624</v>
      </c>
      <c r="C46" s="24">
        <v>16114</v>
      </c>
      <c r="D46" s="24">
        <v>15468</v>
      </c>
      <c r="E46" s="24">
        <v>15187</v>
      </c>
      <c r="F46" s="15"/>
    </row>
    <row r="47" spans="1:6" ht="17.100000000000001" customHeight="1" x14ac:dyDescent="0.2">
      <c r="A47" s="8" t="s">
        <v>15</v>
      </c>
      <c r="B47" s="24">
        <v>249</v>
      </c>
      <c r="C47" s="24">
        <v>231</v>
      </c>
      <c r="D47" s="24">
        <v>223</v>
      </c>
      <c r="E47" s="24">
        <v>292</v>
      </c>
      <c r="F47" s="20"/>
    </row>
    <row r="48" spans="1:6" ht="17.100000000000001" customHeight="1" x14ac:dyDescent="0.2">
      <c r="A48" s="8" t="s">
        <v>16</v>
      </c>
      <c r="B48" s="24">
        <v>1912</v>
      </c>
      <c r="C48" s="24">
        <v>1996</v>
      </c>
      <c r="D48" s="24">
        <v>2486</v>
      </c>
      <c r="E48" s="24">
        <v>1944</v>
      </c>
      <c r="F48" s="15"/>
    </row>
    <row r="49" spans="1:6" ht="17.100000000000001" customHeight="1" x14ac:dyDescent="0.2">
      <c r="A49" s="8" t="s">
        <v>17</v>
      </c>
      <c r="B49" s="24">
        <v>9</v>
      </c>
      <c r="C49" s="24">
        <v>1</v>
      </c>
      <c r="D49" s="24">
        <v>0</v>
      </c>
      <c r="E49" s="24">
        <v>0</v>
      </c>
      <c r="F49" s="20"/>
    </row>
    <row r="50" spans="1:6" ht="17.100000000000001" customHeight="1" x14ac:dyDescent="0.2">
      <c r="A50" s="8" t="s">
        <v>18</v>
      </c>
      <c r="B50" s="24">
        <v>1</v>
      </c>
      <c r="C50" s="24">
        <v>2</v>
      </c>
      <c r="D50" s="24">
        <v>2</v>
      </c>
      <c r="E50" s="24">
        <v>1</v>
      </c>
      <c r="F50" s="20"/>
    </row>
    <row r="51" spans="1:6" ht="17.100000000000001" customHeight="1" x14ac:dyDescent="0.2">
      <c r="A51" s="56"/>
      <c r="B51" s="57">
        <f>SUM(B45:B50)</f>
        <v>21243</v>
      </c>
      <c r="C51" s="57">
        <f>SUM(C45:C50)</f>
        <v>21246</v>
      </c>
      <c r="D51" s="57">
        <f>SUM(D45:D50)</f>
        <v>20863</v>
      </c>
      <c r="E51" s="57">
        <f>SUM(E45:E50)</f>
        <v>19975</v>
      </c>
      <c r="F51" s="17"/>
    </row>
    <row r="52" spans="1:6" ht="17.100000000000001" customHeight="1" x14ac:dyDescent="0.2">
      <c r="A52" s="8"/>
      <c r="F52" s="18"/>
    </row>
    <row r="53" spans="1:6" ht="17.100000000000001" customHeight="1" x14ac:dyDescent="0.2">
      <c r="A53" s="58" t="s">
        <v>56</v>
      </c>
      <c r="B53" s="57">
        <f>SUM(B44-B51)</f>
        <v>-274</v>
      </c>
      <c r="C53" s="57">
        <f>SUM(C44-C51)</f>
        <v>10</v>
      </c>
      <c r="D53" s="57">
        <f>SUM(D44-D51)</f>
        <v>172</v>
      </c>
      <c r="E53" s="57">
        <f>SUM(E44-E51)</f>
        <v>155</v>
      </c>
      <c r="F53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>
    <tabColor rgb="FF92D050"/>
  </sheetPr>
  <dimension ref="A2:K97"/>
  <sheetViews>
    <sheetView workbookViewId="0">
      <selection activeCell="A31" sqref="A31"/>
    </sheetView>
  </sheetViews>
  <sheetFormatPr baseColWidth="10" defaultRowHeight="15.75" x14ac:dyDescent="0.25"/>
  <cols>
    <col min="1" max="1" width="36.42578125" style="1" customWidth="1"/>
    <col min="2" max="2" width="11.42578125" style="29"/>
    <col min="3" max="16384" width="11.42578125" style="1"/>
  </cols>
  <sheetData>
    <row r="2" spans="1:6" ht="12.75" x14ac:dyDescent="0.2">
      <c r="A2" s="1" t="s">
        <v>45</v>
      </c>
      <c r="B2" s="1">
        <f>$E$31</f>
        <v>2015</v>
      </c>
      <c r="C2" s="1">
        <f>$D$31</f>
        <v>2016</v>
      </c>
      <c r="D2" s="1">
        <f>$C$31</f>
        <v>2017</v>
      </c>
      <c r="E2" s="1">
        <f>$B$31</f>
        <v>2018</v>
      </c>
    </row>
    <row r="3" spans="1:6" ht="12.75" x14ac:dyDescent="0.2">
      <c r="B3" s="2">
        <f>E61</f>
        <v>356</v>
      </c>
      <c r="C3" s="2">
        <f>D61</f>
        <v>384</v>
      </c>
      <c r="D3" s="2">
        <f>C61</f>
        <v>396</v>
      </c>
      <c r="E3" s="2">
        <f>B61</f>
        <v>139</v>
      </c>
    </row>
    <row r="4" spans="1:6" ht="12.75" x14ac:dyDescent="0.2">
      <c r="B4" s="1"/>
    </row>
    <row r="5" spans="1:6" ht="12.75" x14ac:dyDescent="0.2">
      <c r="A5" s="1" t="s">
        <v>0</v>
      </c>
      <c r="B5" s="1">
        <f>$E$31</f>
        <v>2015</v>
      </c>
      <c r="C5" s="1">
        <f>$D$31</f>
        <v>2016</v>
      </c>
      <c r="D5" s="1">
        <f>$C$31</f>
        <v>2017</v>
      </c>
      <c r="E5" s="1">
        <f>$B$31</f>
        <v>2018</v>
      </c>
    </row>
    <row r="6" spans="1:6" ht="12.75" x14ac:dyDescent="0.2">
      <c r="B6" s="3">
        <f>E41/E45</f>
        <v>0.46973803071364045</v>
      </c>
      <c r="C6" s="3">
        <f>D41/D45</f>
        <v>0.42207792207792205</v>
      </c>
      <c r="D6" s="3">
        <f>C41/C45</f>
        <v>0.40154440154440152</v>
      </c>
      <c r="E6" s="3">
        <f>B41/B45</f>
        <v>0.53553038105046347</v>
      </c>
    </row>
    <row r="9" spans="1:6" x14ac:dyDescent="0.25">
      <c r="A9" s="14"/>
      <c r="B9" s="72"/>
      <c r="C9" s="2"/>
      <c r="D9" s="2"/>
      <c r="E9" s="2"/>
      <c r="F9" s="2"/>
    </row>
    <row r="10" spans="1:6" x14ac:dyDescent="0.25">
      <c r="C10" s="26"/>
      <c r="D10" s="26"/>
      <c r="E10" s="26"/>
      <c r="F10" s="26"/>
    </row>
    <row r="11" spans="1:6" x14ac:dyDescent="0.25">
      <c r="C11" s="13"/>
      <c r="D11" s="13"/>
      <c r="E11" s="13"/>
      <c r="F11" s="13"/>
    </row>
    <row r="12" spans="1:6" x14ac:dyDescent="0.25">
      <c r="C12" s="3"/>
      <c r="D12" s="3"/>
      <c r="E12" s="3"/>
      <c r="F12" s="3"/>
    </row>
    <row r="28" spans="1:6" ht="17.100000000000001" customHeight="1" x14ac:dyDescent="0.25">
      <c r="A28" s="35" t="s">
        <v>68</v>
      </c>
      <c r="B28" s="35"/>
    </row>
    <row r="29" spans="1:6" ht="17.100000000000001" customHeight="1" x14ac:dyDescent="0.25">
      <c r="A29" s="5"/>
      <c r="B29" s="35"/>
    </row>
    <row r="30" spans="1:6" ht="17.100000000000001" customHeight="1" x14ac:dyDescent="0.25">
      <c r="A30" s="5"/>
      <c r="B30" s="35"/>
    </row>
    <row r="31" spans="1:6" ht="17.100000000000001" customHeight="1" x14ac:dyDescent="0.25">
      <c r="A31" s="54"/>
      <c r="B31" s="55">
        <v>2018</v>
      </c>
      <c r="C31" s="55">
        <v>2017</v>
      </c>
      <c r="D31" s="55">
        <v>2016</v>
      </c>
      <c r="E31" s="55">
        <v>2015</v>
      </c>
      <c r="F31" s="123"/>
    </row>
    <row r="32" spans="1:6" ht="17.100000000000001" customHeight="1" x14ac:dyDescent="0.25">
      <c r="A32" s="35" t="s">
        <v>2</v>
      </c>
      <c r="C32" s="29"/>
      <c r="D32" s="29"/>
      <c r="E32" s="29"/>
      <c r="F32" s="35"/>
    </row>
    <row r="33" spans="1:7" ht="17.100000000000001" customHeight="1" x14ac:dyDescent="0.25">
      <c r="A33" s="36" t="s">
        <v>48</v>
      </c>
      <c r="C33" s="29"/>
      <c r="D33" s="29"/>
      <c r="E33" s="29"/>
      <c r="F33" s="37"/>
      <c r="G33" s="11"/>
    </row>
    <row r="34" spans="1:7" ht="17.100000000000001" customHeight="1" x14ac:dyDescent="0.25">
      <c r="A34" s="8" t="s">
        <v>4</v>
      </c>
      <c r="B34" s="29">
        <v>184</v>
      </c>
      <c r="C34" s="29">
        <v>166</v>
      </c>
      <c r="D34" s="29">
        <v>84</v>
      </c>
      <c r="E34" s="29">
        <v>95</v>
      </c>
      <c r="F34" s="24"/>
      <c r="G34" s="20"/>
    </row>
    <row r="35" spans="1:7" ht="17.100000000000001" customHeight="1" x14ac:dyDescent="0.25">
      <c r="A35" s="8" t="s">
        <v>5</v>
      </c>
      <c r="B35" s="46">
        <v>786</v>
      </c>
      <c r="C35" s="46">
        <f>1125</f>
        <v>1125</v>
      </c>
      <c r="D35" s="46">
        <v>1142</v>
      </c>
      <c r="E35" s="46">
        <v>1011</v>
      </c>
      <c r="F35" s="24"/>
      <c r="G35" s="15"/>
    </row>
    <row r="36" spans="1:7" ht="17.100000000000001" customHeight="1" x14ac:dyDescent="0.25">
      <c r="A36" s="8" t="s">
        <v>6</v>
      </c>
      <c r="B36" s="29">
        <v>1</v>
      </c>
      <c r="C36" s="29">
        <v>4</v>
      </c>
      <c r="D36" s="29">
        <v>6</v>
      </c>
      <c r="E36" s="29">
        <v>1</v>
      </c>
      <c r="F36" s="24"/>
      <c r="G36" s="20"/>
    </row>
    <row r="37" spans="1:7" ht="17.100000000000001" customHeight="1" x14ac:dyDescent="0.25">
      <c r="A37" s="8" t="s">
        <v>29</v>
      </c>
      <c r="B37" s="29">
        <v>0</v>
      </c>
      <c r="C37" s="29">
        <v>0</v>
      </c>
      <c r="D37" s="29">
        <v>0</v>
      </c>
      <c r="E37" s="29">
        <v>0</v>
      </c>
      <c r="F37" s="24"/>
      <c r="G37" s="20"/>
    </row>
    <row r="38" spans="1:7" ht="17.100000000000001" customHeight="1" x14ac:dyDescent="0.2">
      <c r="A38" s="56"/>
      <c r="B38" s="57">
        <f>SUM(B34:B37)</f>
        <v>971</v>
      </c>
      <c r="C38" s="57">
        <f>SUM(C34:C37)</f>
        <v>1295</v>
      </c>
      <c r="D38" s="57">
        <f>SUM(D34:D37)</f>
        <v>1232</v>
      </c>
      <c r="E38" s="57">
        <f>SUM(E34:E37)</f>
        <v>1107</v>
      </c>
      <c r="F38" s="109"/>
      <c r="G38" s="17"/>
    </row>
    <row r="39" spans="1:7" ht="17.100000000000001" customHeight="1" x14ac:dyDescent="0.25">
      <c r="A39" s="36" t="s">
        <v>7</v>
      </c>
      <c r="B39" s="144"/>
      <c r="C39" s="144"/>
      <c r="D39" s="29"/>
      <c r="E39" s="29"/>
      <c r="F39" s="42"/>
      <c r="G39" s="18"/>
    </row>
    <row r="40" spans="1:7" ht="17.100000000000001" customHeight="1" x14ac:dyDescent="0.25">
      <c r="A40" s="36"/>
      <c r="B40" s="144"/>
      <c r="C40" s="144"/>
      <c r="D40" s="29"/>
      <c r="E40" s="29"/>
      <c r="F40" s="42"/>
      <c r="G40" s="18"/>
    </row>
    <row r="41" spans="1:7" ht="17.100000000000001" customHeight="1" x14ac:dyDescent="0.25">
      <c r="A41" s="8" t="s">
        <v>8</v>
      </c>
      <c r="B41" s="29">
        <v>520</v>
      </c>
      <c r="C41" s="29">
        <v>520</v>
      </c>
      <c r="D41" s="29">
        <v>520</v>
      </c>
      <c r="E41" s="29">
        <v>520</v>
      </c>
      <c r="F41" s="24"/>
      <c r="G41" s="15"/>
    </row>
    <row r="42" spans="1:7" ht="17.100000000000001" customHeight="1" x14ac:dyDescent="0.25">
      <c r="A42" s="8" t="s">
        <v>9</v>
      </c>
      <c r="B42" s="29">
        <v>116</v>
      </c>
      <c r="C42" s="29">
        <v>133</v>
      </c>
      <c r="D42" s="29">
        <v>108</v>
      </c>
      <c r="E42" s="29">
        <v>71</v>
      </c>
      <c r="F42" s="24"/>
      <c r="G42" s="20"/>
    </row>
    <row r="43" spans="1:7" ht="17.100000000000001" customHeight="1" x14ac:dyDescent="0.25">
      <c r="A43" s="8" t="s">
        <v>10</v>
      </c>
      <c r="B43" s="29">
        <v>335</v>
      </c>
      <c r="C43" s="29">
        <v>641</v>
      </c>
      <c r="D43" s="29">
        <v>603</v>
      </c>
      <c r="E43" s="29">
        <v>515</v>
      </c>
      <c r="F43" s="24"/>
      <c r="G43" s="20"/>
    </row>
    <row r="44" spans="1:7" ht="17.100000000000001" customHeight="1" x14ac:dyDescent="0.25">
      <c r="A44" s="8" t="s">
        <v>6</v>
      </c>
      <c r="B44" s="29">
        <v>0</v>
      </c>
      <c r="C44" s="29">
        <v>1</v>
      </c>
      <c r="D44" s="29">
        <v>1</v>
      </c>
      <c r="E44" s="29">
        <v>1</v>
      </c>
      <c r="F44" s="24"/>
      <c r="G44" s="20"/>
    </row>
    <row r="45" spans="1:7" ht="17.100000000000001" customHeight="1" x14ac:dyDescent="0.2">
      <c r="A45" s="56"/>
      <c r="B45" s="57">
        <f>SUM(B41:B44)</f>
        <v>971</v>
      </c>
      <c r="C45" s="57">
        <f>SUM(C41:C44)</f>
        <v>1295</v>
      </c>
      <c r="D45" s="57">
        <f>SUM(D41:D44)</f>
        <v>1232</v>
      </c>
      <c r="E45" s="57">
        <f>SUM(E41:E44)</f>
        <v>1107</v>
      </c>
      <c r="F45" s="109"/>
      <c r="G45" s="17"/>
    </row>
    <row r="46" spans="1:7" ht="17.100000000000001" customHeight="1" x14ac:dyDescent="0.25">
      <c r="A46" s="35" t="s">
        <v>66</v>
      </c>
      <c r="B46" s="144"/>
      <c r="C46" s="144"/>
      <c r="D46" s="29"/>
      <c r="E46" s="29"/>
      <c r="F46" s="8"/>
      <c r="G46" s="18"/>
    </row>
    <row r="47" spans="1:7" ht="17.100000000000001" customHeight="1" x14ac:dyDescent="0.25">
      <c r="B47" s="144"/>
      <c r="C47" s="144"/>
      <c r="D47" s="29"/>
      <c r="E47" s="29"/>
      <c r="F47" s="65"/>
      <c r="G47" s="18"/>
    </row>
    <row r="48" spans="1:7" ht="17.100000000000001" customHeight="1" x14ac:dyDescent="0.25">
      <c r="A48" s="8" t="s">
        <v>12</v>
      </c>
      <c r="B48" s="46">
        <v>1615</v>
      </c>
      <c r="C48" s="46">
        <v>2008</v>
      </c>
      <c r="D48" s="46">
        <v>2067</v>
      </c>
      <c r="E48" s="46">
        <v>1872</v>
      </c>
      <c r="F48" s="24"/>
      <c r="G48" s="18"/>
    </row>
    <row r="49" spans="1:11" ht="17.100000000000001" customHeight="1" x14ac:dyDescent="0.25">
      <c r="A49" s="8" t="s">
        <v>19</v>
      </c>
      <c r="B49" s="29">
        <v>30</v>
      </c>
      <c r="C49" s="29">
        <v>24</v>
      </c>
      <c r="D49" s="29">
        <v>18</v>
      </c>
      <c r="E49" s="29">
        <v>23</v>
      </c>
      <c r="F49" s="24"/>
      <c r="G49" s="15"/>
    </row>
    <row r="50" spans="1:11" ht="17.100000000000001" customHeight="1" x14ac:dyDescent="0.25">
      <c r="A50" s="8" t="s">
        <v>13</v>
      </c>
      <c r="B50" s="29">
        <v>0</v>
      </c>
      <c r="C50" s="29">
        <v>0</v>
      </c>
      <c r="D50" s="29">
        <v>0</v>
      </c>
      <c r="E50" s="29">
        <v>0</v>
      </c>
      <c r="F50" s="24"/>
      <c r="G50" s="15"/>
    </row>
    <row r="51" spans="1:11" ht="17.100000000000001" customHeight="1" x14ac:dyDescent="0.2">
      <c r="A51" s="56"/>
      <c r="B51" s="57">
        <f>SUM(B48:B50)</f>
        <v>1645</v>
      </c>
      <c r="C51" s="57">
        <f>SUM(C48:C50)</f>
        <v>2032</v>
      </c>
      <c r="D51" s="57">
        <f>SUM(D48:D50)</f>
        <v>2085</v>
      </c>
      <c r="E51" s="57">
        <f>SUM(E48:E50)</f>
        <v>1895</v>
      </c>
      <c r="F51" s="109"/>
      <c r="G51" s="15"/>
    </row>
    <row r="52" spans="1:11" ht="17.100000000000001" customHeight="1" x14ac:dyDescent="0.25">
      <c r="A52" s="8"/>
      <c r="C52" s="29"/>
      <c r="D52" s="29"/>
      <c r="E52" s="29"/>
      <c r="F52" s="24"/>
      <c r="G52" s="17"/>
    </row>
    <row r="53" spans="1:11" ht="17.100000000000001" customHeight="1" x14ac:dyDescent="0.25">
      <c r="A53" s="8" t="s">
        <v>20</v>
      </c>
      <c r="B53" s="46">
        <v>961</v>
      </c>
      <c r="C53" s="46">
        <v>1034</v>
      </c>
      <c r="D53" s="46">
        <v>1086</v>
      </c>
      <c r="E53" s="46">
        <v>989</v>
      </c>
      <c r="F53" s="24"/>
      <c r="G53" s="8"/>
      <c r="H53" s="46"/>
      <c r="I53" s="46"/>
      <c r="J53" s="46"/>
      <c r="K53" s="46"/>
    </row>
    <row r="54" spans="1:11" ht="17.100000000000001" customHeight="1" x14ac:dyDescent="0.25">
      <c r="A54" s="8" t="s">
        <v>14</v>
      </c>
      <c r="B54" s="46">
        <f>48+12</f>
        <v>60</v>
      </c>
      <c r="C54" s="46">
        <f>66+14</f>
        <v>80</v>
      </c>
      <c r="D54" s="46">
        <v>122</v>
      </c>
      <c r="E54" s="46">
        <v>79</v>
      </c>
      <c r="F54" s="24"/>
      <c r="G54" s="15"/>
    </row>
    <row r="55" spans="1:11" ht="17.100000000000001" customHeight="1" x14ac:dyDescent="0.25">
      <c r="A55" s="8" t="s">
        <v>15</v>
      </c>
      <c r="B55" s="29">
        <v>59</v>
      </c>
      <c r="C55" s="29">
        <v>25</v>
      </c>
      <c r="D55" s="29">
        <v>21</v>
      </c>
      <c r="E55" s="29">
        <v>18</v>
      </c>
      <c r="F55" s="24"/>
      <c r="G55" s="15"/>
    </row>
    <row r="56" spans="1:11" ht="17.100000000000001" customHeight="1" x14ac:dyDescent="0.25">
      <c r="A56" s="8" t="s">
        <v>16</v>
      </c>
      <c r="B56" s="29">
        <v>403</v>
      </c>
      <c r="C56" s="29">
        <v>417</v>
      </c>
      <c r="D56" s="29">
        <v>391</v>
      </c>
      <c r="E56" s="29">
        <v>379</v>
      </c>
      <c r="F56" s="24"/>
      <c r="G56" s="15"/>
    </row>
    <row r="57" spans="1:11" ht="17.100000000000001" customHeight="1" x14ac:dyDescent="0.25">
      <c r="A57" s="8" t="s">
        <v>17</v>
      </c>
      <c r="B57" s="29">
        <v>0</v>
      </c>
      <c r="C57" s="29">
        <v>2</v>
      </c>
      <c r="D57" s="29">
        <v>2</v>
      </c>
      <c r="E57" s="29">
        <v>4</v>
      </c>
      <c r="F57" s="24"/>
      <c r="G57" s="15"/>
    </row>
    <row r="58" spans="1:11" ht="17.100000000000001" customHeight="1" x14ac:dyDescent="0.25">
      <c r="A58" s="8" t="s">
        <v>18</v>
      </c>
      <c r="B58" s="29">
        <f>23</f>
        <v>23</v>
      </c>
      <c r="C58" s="29">
        <v>78</v>
      </c>
      <c r="D58" s="29">
        <v>79</v>
      </c>
      <c r="E58" s="29">
        <v>70</v>
      </c>
      <c r="F58" s="24"/>
      <c r="G58" s="15"/>
    </row>
    <row r="59" spans="1:11" ht="17.100000000000001" customHeight="1" x14ac:dyDescent="0.2">
      <c r="A59" s="56"/>
      <c r="B59" s="57">
        <f>SUM(B53:B58)</f>
        <v>1506</v>
      </c>
      <c r="C59" s="57">
        <f>SUM(C53:C58)</f>
        <v>1636</v>
      </c>
      <c r="D59" s="57">
        <f>SUM(D53:D58)</f>
        <v>1701</v>
      </c>
      <c r="E59" s="57">
        <f>SUM(E53:E58)</f>
        <v>1539</v>
      </c>
      <c r="F59" s="109"/>
      <c r="G59" s="15"/>
    </row>
    <row r="60" spans="1:11" ht="17.100000000000001" customHeight="1" x14ac:dyDescent="0.25">
      <c r="A60" s="8"/>
      <c r="C60" s="29"/>
      <c r="D60" s="29"/>
      <c r="E60" s="29"/>
      <c r="F60" s="24"/>
      <c r="G60" s="17"/>
    </row>
    <row r="61" spans="1:11" ht="17.100000000000001" customHeight="1" x14ac:dyDescent="0.2">
      <c r="A61" s="58" t="s">
        <v>56</v>
      </c>
      <c r="B61" s="57">
        <f>SUM(B51-B59)</f>
        <v>139</v>
      </c>
      <c r="C61" s="57">
        <f>SUM(C51-C59)</f>
        <v>396</v>
      </c>
      <c r="D61" s="57">
        <f>SUM(D51-D59)</f>
        <v>384</v>
      </c>
      <c r="E61" s="57">
        <f>SUM(E51-E59)</f>
        <v>356</v>
      </c>
      <c r="F61" s="109"/>
      <c r="G61" s="18"/>
    </row>
    <row r="62" spans="1:11" ht="17.100000000000001" customHeight="1" x14ac:dyDescent="0.2">
      <c r="A62" s="38"/>
      <c r="B62" s="38"/>
      <c r="C62" s="38"/>
      <c r="D62" s="41"/>
      <c r="E62" s="41"/>
      <c r="F62" s="17"/>
    </row>
    <row r="63" spans="1:11" x14ac:dyDescent="0.25">
      <c r="A63" s="29"/>
      <c r="C63" s="29"/>
      <c r="D63" s="29"/>
      <c r="E63" s="29"/>
    </row>
    <row r="64" spans="1:11" s="102" customFormat="1" x14ac:dyDescent="0.25">
      <c r="A64" s="101" t="s">
        <v>2</v>
      </c>
      <c r="B64" s="100"/>
      <c r="C64" s="100"/>
      <c r="D64" s="100"/>
      <c r="E64" s="100"/>
    </row>
    <row r="65" spans="1:5" x14ac:dyDescent="0.25">
      <c r="A65" s="29" t="s">
        <v>69</v>
      </c>
      <c r="C65" s="29"/>
      <c r="D65" s="29"/>
      <c r="E65" s="29"/>
    </row>
    <row r="67" spans="1:5" x14ac:dyDescent="0.2">
      <c r="A67" s="107"/>
      <c r="B67" s="55">
        <v>2018</v>
      </c>
      <c r="C67" s="55">
        <v>2017</v>
      </c>
      <c r="D67" s="55">
        <v>2016</v>
      </c>
      <c r="E67" s="55">
        <v>2015</v>
      </c>
    </row>
    <row r="68" spans="1:5" x14ac:dyDescent="0.25">
      <c r="A68" s="36" t="s">
        <v>48</v>
      </c>
      <c r="C68" s="29"/>
      <c r="D68" s="29"/>
      <c r="E68" s="29"/>
    </row>
    <row r="69" spans="1:5" x14ac:dyDescent="0.25">
      <c r="A69" s="8" t="s">
        <v>4</v>
      </c>
      <c r="B69" s="29">
        <v>0</v>
      </c>
      <c r="C69" s="29">
        <v>0</v>
      </c>
      <c r="D69" s="29">
        <v>0</v>
      </c>
      <c r="E69" s="29">
        <v>0</v>
      </c>
    </row>
    <row r="70" spans="1:5" x14ac:dyDescent="0.25">
      <c r="A70" s="8" t="s">
        <v>5</v>
      </c>
      <c r="B70" s="29">
        <v>71</v>
      </c>
      <c r="C70" s="29">
        <v>68</v>
      </c>
      <c r="D70" s="29">
        <v>66</v>
      </c>
      <c r="E70" s="29">
        <v>64</v>
      </c>
    </row>
    <row r="71" spans="1:5" x14ac:dyDescent="0.25">
      <c r="A71" s="8" t="s">
        <v>6</v>
      </c>
      <c r="B71" s="29">
        <v>0</v>
      </c>
      <c r="C71" s="29">
        <v>0</v>
      </c>
      <c r="D71" s="29">
        <v>0</v>
      </c>
      <c r="E71" s="29">
        <v>0</v>
      </c>
    </row>
    <row r="72" spans="1:5" x14ac:dyDescent="0.25">
      <c r="A72" s="8" t="s">
        <v>29</v>
      </c>
      <c r="B72" s="29">
        <v>0</v>
      </c>
      <c r="C72" s="29">
        <v>0</v>
      </c>
      <c r="D72" s="29">
        <v>0</v>
      </c>
      <c r="E72" s="29">
        <v>0</v>
      </c>
    </row>
    <row r="73" spans="1:5" x14ac:dyDescent="0.2">
      <c r="A73" s="56"/>
      <c r="B73" s="57">
        <f>SUM(B69:B72)</f>
        <v>71</v>
      </c>
      <c r="C73" s="57">
        <f>SUM(C69:C72)</f>
        <v>68</v>
      </c>
      <c r="D73" s="57">
        <f>SUM(D69:D72)</f>
        <v>66</v>
      </c>
      <c r="E73" s="57">
        <f>SUM(E69:E72)</f>
        <v>64</v>
      </c>
    </row>
    <row r="74" spans="1:5" x14ac:dyDescent="0.25">
      <c r="A74" s="36" t="s">
        <v>7</v>
      </c>
      <c r="B74" s="144"/>
      <c r="C74" s="144"/>
      <c r="D74" s="29"/>
      <c r="E74" s="29"/>
    </row>
    <row r="75" spans="1:5" x14ac:dyDescent="0.25">
      <c r="A75" s="36"/>
      <c r="B75" s="144"/>
      <c r="C75" s="144"/>
      <c r="D75" s="29"/>
      <c r="E75" s="29"/>
    </row>
    <row r="76" spans="1:5" x14ac:dyDescent="0.25">
      <c r="A76" s="8" t="s">
        <v>8</v>
      </c>
      <c r="B76" s="29">
        <v>70</v>
      </c>
      <c r="C76" s="29">
        <v>67</v>
      </c>
      <c r="D76" s="29">
        <v>65</v>
      </c>
      <c r="E76" s="29">
        <v>63</v>
      </c>
    </row>
    <row r="77" spans="1:5" x14ac:dyDescent="0.25">
      <c r="A77" s="8" t="s">
        <v>9</v>
      </c>
      <c r="B77" s="29">
        <v>1</v>
      </c>
      <c r="C77" s="29">
        <v>1</v>
      </c>
      <c r="D77" s="29">
        <v>1</v>
      </c>
      <c r="E77" s="29">
        <v>1</v>
      </c>
    </row>
    <row r="78" spans="1:5" x14ac:dyDescent="0.25">
      <c r="A78" s="8" t="s">
        <v>10</v>
      </c>
      <c r="B78" s="29">
        <v>0</v>
      </c>
      <c r="C78" s="29">
        <v>0</v>
      </c>
      <c r="D78" s="29">
        <v>0</v>
      </c>
      <c r="E78" s="29">
        <v>0</v>
      </c>
    </row>
    <row r="79" spans="1:5" x14ac:dyDescent="0.25">
      <c r="A79" s="8" t="s">
        <v>6</v>
      </c>
      <c r="B79" s="29">
        <v>0</v>
      </c>
      <c r="C79" s="29">
        <v>0</v>
      </c>
      <c r="D79" s="29">
        <v>0</v>
      </c>
      <c r="E79" s="29">
        <v>0</v>
      </c>
    </row>
    <row r="80" spans="1:5" x14ac:dyDescent="0.2">
      <c r="A80" s="56"/>
      <c r="B80" s="57">
        <f>SUM(B76:B79)</f>
        <v>71</v>
      </c>
      <c r="C80" s="57">
        <f>SUM(C76:C79)</f>
        <v>68</v>
      </c>
      <c r="D80" s="57">
        <f>SUM(D76:D79)</f>
        <v>66</v>
      </c>
      <c r="E80" s="57">
        <f>SUM(E76:E79)</f>
        <v>64</v>
      </c>
    </row>
    <row r="81" spans="1:5" x14ac:dyDescent="0.25">
      <c r="A81" s="35" t="s">
        <v>66</v>
      </c>
      <c r="B81" s="144"/>
      <c r="C81" s="144"/>
      <c r="D81" s="29"/>
      <c r="E81" s="29"/>
    </row>
    <row r="82" spans="1:5" x14ac:dyDescent="0.25">
      <c r="B82" s="144"/>
      <c r="C82" s="144"/>
      <c r="D82" s="29"/>
      <c r="E82" s="29"/>
    </row>
    <row r="83" spans="1:5" x14ac:dyDescent="0.25">
      <c r="A83" s="8" t="s">
        <v>12</v>
      </c>
      <c r="B83" s="29">
        <v>3</v>
      </c>
      <c r="C83" s="29">
        <v>3</v>
      </c>
      <c r="D83" s="29">
        <v>3</v>
      </c>
      <c r="E83" s="29">
        <v>0</v>
      </c>
    </row>
    <row r="84" spans="1:5" x14ac:dyDescent="0.25">
      <c r="A84" s="8" t="s">
        <v>19</v>
      </c>
      <c r="B84" s="29">
        <v>0</v>
      </c>
      <c r="C84" s="29">
        <v>0</v>
      </c>
      <c r="D84" s="29">
        <v>0</v>
      </c>
      <c r="E84" s="29">
        <v>3</v>
      </c>
    </row>
    <row r="85" spans="1:5" x14ac:dyDescent="0.25">
      <c r="A85" s="8" t="s">
        <v>13</v>
      </c>
      <c r="B85" s="29">
        <v>0</v>
      </c>
      <c r="C85" s="29">
        <v>0</v>
      </c>
      <c r="D85" s="29">
        <v>0</v>
      </c>
      <c r="E85" s="29">
        <v>0</v>
      </c>
    </row>
    <row r="86" spans="1:5" x14ac:dyDescent="0.2">
      <c r="A86" s="56"/>
      <c r="B86" s="57">
        <f>SUM(B83:B85)</f>
        <v>3</v>
      </c>
      <c r="C86" s="57">
        <f>SUM(C83:C85)</f>
        <v>3</v>
      </c>
      <c r="D86" s="57">
        <f>SUM(D83:D85)</f>
        <v>3</v>
      </c>
      <c r="E86" s="57">
        <f>SUM(E83:E85)</f>
        <v>3</v>
      </c>
    </row>
    <row r="87" spans="1:5" x14ac:dyDescent="0.25">
      <c r="A87" s="8"/>
      <c r="B87" s="144"/>
      <c r="C87" s="144"/>
      <c r="D87" s="29"/>
      <c r="E87" s="29"/>
    </row>
    <row r="88" spans="1:5" x14ac:dyDescent="0.2">
      <c r="A88" s="8" t="s">
        <v>14</v>
      </c>
      <c r="B88" s="24">
        <v>0</v>
      </c>
      <c r="C88" s="24">
        <v>0</v>
      </c>
      <c r="D88" s="24">
        <v>0</v>
      </c>
      <c r="E88" s="24">
        <v>0</v>
      </c>
    </row>
    <row r="89" spans="1:5" x14ac:dyDescent="0.2">
      <c r="A89" s="8" t="s">
        <v>20</v>
      </c>
      <c r="B89" s="24">
        <v>0</v>
      </c>
      <c r="C89" s="24">
        <v>0</v>
      </c>
      <c r="D89" s="24">
        <v>0</v>
      </c>
      <c r="E89" s="24">
        <v>0</v>
      </c>
    </row>
    <row r="90" spans="1:5" x14ac:dyDescent="0.2">
      <c r="A90" s="8" t="s">
        <v>15</v>
      </c>
      <c r="B90" s="24">
        <v>0</v>
      </c>
      <c r="C90" s="24">
        <v>0</v>
      </c>
      <c r="D90" s="24">
        <v>0</v>
      </c>
      <c r="E90" s="24">
        <v>0</v>
      </c>
    </row>
    <row r="91" spans="1:5" x14ac:dyDescent="0.2">
      <c r="A91" s="8" t="s">
        <v>16</v>
      </c>
      <c r="B91" s="24">
        <v>1</v>
      </c>
      <c r="C91" s="24">
        <v>0</v>
      </c>
      <c r="D91" s="24">
        <v>0</v>
      </c>
      <c r="E91" s="24">
        <v>0</v>
      </c>
    </row>
    <row r="92" spans="1:5" x14ac:dyDescent="0.2">
      <c r="A92" s="8" t="s">
        <v>17</v>
      </c>
      <c r="B92" s="24">
        <v>0</v>
      </c>
      <c r="C92" s="24">
        <v>0</v>
      </c>
      <c r="D92" s="24">
        <v>0</v>
      </c>
      <c r="E92" s="24">
        <v>0</v>
      </c>
    </row>
    <row r="93" spans="1:5" x14ac:dyDescent="0.2">
      <c r="A93" s="8" t="s">
        <v>18</v>
      </c>
      <c r="B93" s="24">
        <v>0</v>
      </c>
      <c r="C93" s="24">
        <v>1</v>
      </c>
      <c r="D93" s="24">
        <v>1</v>
      </c>
      <c r="E93" s="24">
        <v>1</v>
      </c>
    </row>
    <row r="94" spans="1:5" x14ac:dyDescent="0.2">
      <c r="A94" s="56"/>
      <c r="B94" s="57">
        <f>SUM(B88:B93)</f>
        <v>1</v>
      </c>
      <c r="C94" s="57">
        <f>SUM(C88:C93)</f>
        <v>1</v>
      </c>
      <c r="D94" s="57">
        <f>SUM(D88:D93)</f>
        <v>1</v>
      </c>
      <c r="E94" s="57">
        <f>SUM(E88:E93)</f>
        <v>1</v>
      </c>
    </row>
    <row r="95" spans="1:5" x14ac:dyDescent="0.25">
      <c r="A95" s="8"/>
      <c r="C95" s="29"/>
      <c r="D95" s="29"/>
      <c r="E95" s="29"/>
    </row>
    <row r="96" spans="1:5" x14ac:dyDescent="0.2">
      <c r="A96" s="58" t="s">
        <v>56</v>
      </c>
      <c r="B96" s="57">
        <f>SUM(B86-B94)</f>
        <v>2</v>
      </c>
      <c r="C96" s="57">
        <f>SUM(C86-C94)</f>
        <v>2</v>
      </c>
      <c r="D96" s="57">
        <f>SUM(D86-D94)</f>
        <v>2</v>
      </c>
      <c r="E96" s="57">
        <f>SUM(E86-E94)</f>
        <v>2</v>
      </c>
    </row>
    <row r="97" spans="1:5" x14ac:dyDescent="0.2">
      <c r="A97" s="12"/>
      <c r="B97" s="38"/>
      <c r="C97" s="17"/>
      <c r="D97" s="17"/>
      <c r="E97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rgb="FF92D050"/>
  </sheetPr>
  <dimension ref="A2:G57"/>
  <sheetViews>
    <sheetView topLeftCell="A23" workbookViewId="0">
      <selection activeCell="A29" sqref="A29"/>
    </sheetView>
  </sheetViews>
  <sheetFormatPr baseColWidth="10" defaultRowHeight="12.75" x14ac:dyDescent="0.2"/>
  <cols>
    <col min="1" max="1" width="36.42578125" style="1" customWidth="1"/>
    <col min="2" max="16384" width="11.42578125" style="1"/>
  </cols>
  <sheetData>
    <row r="2" spans="1:5" x14ac:dyDescent="0.2">
      <c r="A2" s="1" t="s">
        <v>1</v>
      </c>
      <c r="B2" s="1">
        <f>$E$29</f>
        <v>2015</v>
      </c>
      <c r="C2" s="1">
        <f>$D$29</f>
        <v>2016</v>
      </c>
      <c r="D2" s="1">
        <f>$C$29</f>
        <v>2017</v>
      </c>
      <c r="E2" s="1">
        <f>$B$29</f>
        <v>2018</v>
      </c>
    </row>
    <row r="3" spans="1:5" x14ac:dyDescent="0.2">
      <c r="A3" s="14"/>
      <c r="B3" s="2">
        <f>E57</f>
        <v>773</v>
      </c>
      <c r="C3" s="2">
        <f>D57</f>
        <v>1008</v>
      </c>
      <c r="D3" s="2">
        <f>C57</f>
        <v>1085</v>
      </c>
      <c r="E3" s="2">
        <f>B57</f>
        <v>775</v>
      </c>
    </row>
    <row r="5" spans="1:5" x14ac:dyDescent="0.2">
      <c r="A5" s="1" t="s">
        <v>0</v>
      </c>
      <c r="B5" s="1">
        <f>$E$29</f>
        <v>2015</v>
      </c>
      <c r="C5" s="1">
        <f>$D$29</f>
        <v>2016</v>
      </c>
      <c r="D5" s="1">
        <f>$C$29</f>
        <v>2017</v>
      </c>
      <c r="E5" s="1">
        <f>$B$29</f>
        <v>2018</v>
      </c>
    </row>
    <row r="6" spans="1:5" x14ac:dyDescent="0.2">
      <c r="B6" s="3">
        <f>E39/E43</f>
        <v>0.24008195194635873</v>
      </c>
      <c r="C6" s="3">
        <f>D39/D43</f>
        <v>0.2665167762020062</v>
      </c>
      <c r="D6" s="3">
        <f>C39/C43</f>
        <v>0.29150481337611889</v>
      </c>
      <c r="E6" s="3">
        <f>B39/B43</f>
        <v>0.29459635416666669</v>
      </c>
    </row>
    <row r="7" spans="1:5" x14ac:dyDescent="0.2">
      <c r="E7" s="1" t="s">
        <v>52</v>
      </c>
    </row>
    <row r="29" spans="1:6" ht="15.75" x14ac:dyDescent="0.25">
      <c r="A29" s="61"/>
      <c r="B29" s="55">
        <v>2018</v>
      </c>
      <c r="C29" s="55">
        <v>2017</v>
      </c>
      <c r="D29" s="55">
        <v>2016</v>
      </c>
      <c r="E29" s="55">
        <v>2015</v>
      </c>
    </row>
    <row r="30" spans="1:6" ht="17.100000000000001" customHeight="1" x14ac:dyDescent="0.25">
      <c r="A30" s="35" t="s">
        <v>2</v>
      </c>
      <c r="B30" s="35"/>
      <c r="C30" s="35"/>
      <c r="D30" s="35"/>
      <c r="E30" s="35"/>
    </row>
    <row r="31" spans="1:6" ht="17.100000000000001" customHeight="1" x14ac:dyDescent="0.25">
      <c r="A31" s="36" t="s">
        <v>48</v>
      </c>
      <c r="B31" s="29"/>
      <c r="C31" s="29"/>
      <c r="D31" s="29"/>
      <c r="E31" s="29"/>
      <c r="F31" s="11"/>
    </row>
    <row r="32" spans="1:6" ht="17.100000000000001" customHeight="1" x14ac:dyDescent="0.2">
      <c r="A32" s="36"/>
      <c r="B32" s="36"/>
      <c r="C32" s="36"/>
      <c r="D32" s="36"/>
      <c r="E32" s="36"/>
      <c r="F32" s="7"/>
    </row>
    <row r="33" spans="1:7" ht="17.100000000000001" customHeight="1" x14ac:dyDescent="0.2">
      <c r="A33" s="8" t="s">
        <v>4</v>
      </c>
      <c r="B33" s="24">
        <v>4617</v>
      </c>
      <c r="C33" s="24">
        <v>2631</v>
      </c>
      <c r="D33" s="24">
        <v>3073</v>
      </c>
      <c r="E33" s="24">
        <v>3500</v>
      </c>
      <c r="F33" s="15"/>
    </row>
    <row r="34" spans="1:7" ht="17.100000000000001" customHeight="1" x14ac:dyDescent="0.2">
      <c r="A34" s="8" t="s">
        <v>5</v>
      </c>
      <c r="B34" s="24">
        <v>1284</v>
      </c>
      <c r="C34" s="24">
        <v>3014</v>
      </c>
      <c r="D34" s="24">
        <v>2399</v>
      </c>
      <c r="E34" s="24">
        <v>1530</v>
      </c>
      <c r="F34" s="15"/>
    </row>
    <row r="35" spans="1:7" ht="17.100000000000001" customHeight="1" x14ac:dyDescent="0.2">
      <c r="A35" s="8" t="s">
        <v>6</v>
      </c>
      <c r="B35" s="24">
        <v>243</v>
      </c>
      <c r="C35" s="24">
        <v>276</v>
      </c>
      <c r="D35" s="24">
        <v>310</v>
      </c>
      <c r="E35" s="24">
        <v>339</v>
      </c>
      <c r="F35" s="15"/>
    </row>
    <row r="36" spans="1:7" ht="17.100000000000001" customHeight="1" x14ac:dyDescent="0.2">
      <c r="A36" s="56"/>
      <c r="B36" s="57">
        <f t="shared" ref="B36" si="0">SUM(B33:B35)</f>
        <v>6144</v>
      </c>
      <c r="C36" s="57">
        <f t="shared" ref="C36:E36" si="1">SUM(C33:C35)</f>
        <v>5921</v>
      </c>
      <c r="D36" s="57">
        <f t="shared" si="1"/>
        <v>5782</v>
      </c>
      <c r="E36" s="57">
        <f t="shared" si="1"/>
        <v>5369</v>
      </c>
      <c r="F36" s="17"/>
    </row>
    <row r="37" spans="1:7" ht="17.100000000000001" customHeight="1" x14ac:dyDescent="0.2">
      <c r="A37" s="36" t="s">
        <v>7</v>
      </c>
      <c r="B37" s="42"/>
      <c r="C37" s="42"/>
      <c r="D37" s="42"/>
      <c r="E37" s="42"/>
      <c r="F37" s="18"/>
    </row>
    <row r="38" spans="1:7" ht="17.100000000000001" customHeight="1" x14ac:dyDescent="0.2">
      <c r="A38" s="36"/>
      <c r="B38" s="42"/>
      <c r="C38" s="42"/>
      <c r="D38" s="42"/>
      <c r="E38" s="42"/>
      <c r="F38" s="18"/>
    </row>
    <row r="39" spans="1:7" ht="17.100000000000001" customHeight="1" x14ac:dyDescent="0.2">
      <c r="A39" s="8" t="s">
        <v>8</v>
      </c>
      <c r="B39" s="24">
        <v>1810</v>
      </c>
      <c r="C39" s="24">
        <v>1726</v>
      </c>
      <c r="D39" s="24">
        <v>1541</v>
      </c>
      <c r="E39" s="24">
        <v>1289</v>
      </c>
      <c r="F39" s="15"/>
    </row>
    <row r="40" spans="1:7" ht="17.100000000000001" customHeight="1" x14ac:dyDescent="0.2">
      <c r="A40" s="8" t="s">
        <v>9</v>
      </c>
      <c r="B40" s="24">
        <v>3310</v>
      </c>
      <c r="C40" s="24">
        <v>2899</v>
      </c>
      <c r="D40" s="24">
        <v>2397</v>
      </c>
      <c r="E40" s="24">
        <v>1969</v>
      </c>
      <c r="F40" s="15"/>
    </row>
    <row r="41" spans="1:7" ht="17.100000000000001" customHeight="1" x14ac:dyDescent="0.2">
      <c r="A41" s="8" t="s">
        <v>10</v>
      </c>
      <c r="B41" s="24">
        <v>1024</v>
      </c>
      <c r="C41" s="24">
        <v>1296</v>
      </c>
      <c r="D41" s="24">
        <v>1844</v>
      </c>
      <c r="E41" s="24">
        <v>2111</v>
      </c>
      <c r="F41" s="15"/>
    </row>
    <row r="42" spans="1:7" ht="17.100000000000001" customHeight="1" x14ac:dyDescent="0.2">
      <c r="A42" s="8" t="s">
        <v>6</v>
      </c>
      <c r="B42" s="24">
        <v>0</v>
      </c>
      <c r="C42" s="24">
        <v>0</v>
      </c>
      <c r="D42" s="24">
        <v>0</v>
      </c>
      <c r="E42" s="24">
        <v>0</v>
      </c>
      <c r="F42" s="15"/>
    </row>
    <row r="43" spans="1:7" ht="17.100000000000001" customHeight="1" x14ac:dyDescent="0.2">
      <c r="A43" s="56"/>
      <c r="B43" s="57">
        <f t="shared" ref="B43" si="2">SUM(B39:B42)</f>
        <v>6144</v>
      </c>
      <c r="C43" s="57">
        <f t="shared" ref="C43:E43" si="3">SUM(C39:C42)</f>
        <v>5921</v>
      </c>
      <c r="D43" s="57">
        <f t="shared" si="3"/>
        <v>5782</v>
      </c>
      <c r="E43" s="57">
        <f t="shared" si="3"/>
        <v>5369</v>
      </c>
      <c r="F43" s="17"/>
      <c r="G43" s="2"/>
    </row>
    <row r="44" spans="1:7" ht="17.100000000000001" customHeight="1" x14ac:dyDescent="0.25">
      <c r="A44" s="35" t="s">
        <v>66</v>
      </c>
      <c r="B44" s="65"/>
      <c r="C44" s="65"/>
      <c r="D44" s="65"/>
      <c r="E44" s="65"/>
      <c r="F44" s="2"/>
    </row>
    <row r="45" spans="1:7" ht="17.100000000000001" customHeight="1" x14ac:dyDescent="0.2">
      <c r="A45" s="8" t="s">
        <v>12</v>
      </c>
      <c r="B45" s="24">
        <v>5784</v>
      </c>
      <c r="C45" s="24">
        <v>5526</v>
      </c>
      <c r="D45" s="24">
        <v>6946</v>
      </c>
      <c r="E45" s="24">
        <v>4858</v>
      </c>
      <c r="F45" s="15"/>
    </row>
    <row r="46" spans="1:7" ht="17.100000000000001" customHeight="1" x14ac:dyDescent="0.2">
      <c r="A46" s="8" t="s">
        <v>19</v>
      </c>
      <c r="B46" s="24">
        <f>190+2</f>
        <v>192</v>
      </c>
      <c r="C46" s="24">
        <f>19+6</f>
        <v>25</v>
      </c>
      <c r="D46" s="24">
        <v>10</v>
      </c>
      <c r="E46" s="24">
        <v>609</v>
      </c>
      <c r="F46" s="15"/>
    </row>
    <row r="47" spans="1:7" ht="17.100000000000001" customHeight="1" x14ac:dyDescent="0.2">
      <c r="A47" s="8" t="s">
        <v>13</v>
      </c>
      <c r="B47" s="24">
        <v>165</v>
      </c>
      <c r="C47" s="24">
        <v>0</v>
      </c>
      <c r="D47" s="24">
        <v>120</v>
      </c>
      <c r="E47" s="24">
        <f>104+11</f>
        <v>115</v>
      </c>
      <c r="F47" s="15"/>
    </row>
    <row r="48" spans="1:7" ht="17.100000000000001" customHeight="1" x14ac:dyDescent="0.2">
      <c r="A48" s="56"/>
      <c r="B48" s="57">
        <f t="shared" ref="B48" si="4">SUM(B45:B47)</f>
        <v>6141</v>
      </c>
      <c r="C48" s="57">
        <f t="shared" ref="C48:E48" si="5">SUM(C45:C47)</f>
        <v>5551</v>
      </c>
      <c r="D48" s="57">
        <f t="shared" si="5"/>
        <v>7076</v>
      </c>
      <c r="E48" s="57">
        <f t="shared" si="5"/>
        <v>5582</v>
      </c>
      <c r="F48" s="17"/>
    </row>
    <row r="49" spans="1:6" ht="17.100000000000001" customHeight="1" x14ac:dyDescent="0.2">
      <c r="A49" s="8" t="s">
        <v>20</v>
      </c>
      <c r="B49" s="24">
        <v>1492</v>
      </c>
      <c r="C49" s="24">
        <v>1202</v>
      </c>
      <c r="D49" s="24">
        <v>2557</v>
      </c>
      <c r="E49" s="24">
        <v>1449</v>
      </c>
      <c r="F49" s="15"/>
    </row>
    <row r="50" spans="1:6" ht="17.100000000000001" customHeight="1" x14ac:dyDescent="0.2">
      <c r="A50" s="8" t="s">
        <v>14</v>
      </c>
      <c r="B50" s="24">
        <v>1333</v>
      </c>
      <c r="C50" s="24">
        <v>1252</v>
      </c>
      <c r="D50" s="24">
        <v>1217</v>
      </c>
      <c r="E50" s="24">
        <v>1217</v>
      </c>
      <c r="F50" s="15"/>
    </row>
    <row r="51" spans="1:6" ht="17.100000000000001" customHeight="1" x14ac:dyDescent="0.2">
      <c r="A51" s="8" t="s">
        <v>15</v>
      </c>
      <c r="B51" s="24">
        <v>556</v>
      </c>
      <c r="C51" s="24">
        <v>450</v>
      </c>
      <c r="D51" s="24">
        <v>513</v>
      </c>
      <c r="E51" s="24">
        <v>482</v>
      </c>
      <c r="F51" s="15"/>
    </row>
    <row r="52" spans="1:6" ht="17.100000000000001" customHeight="1" x14ac:dyDescent="0.2">
      <c r="A52" s="8" t="s">
        <v>16</v>
      </c>
      <c r="B52" s="24">
        <v>1261</v>
      </c>
      <c r="C52" s="24">
        <v>798</v>
      </c>
      <c r="D52" s="24">
        <v>1105</v>
      </c>
      <c r="E52" s="24">
        <v>1166</v>
      </c>
      <c r="F52" s="15"/>
    </row>
    <row r="53" spans="1:6" ht="17.100000000000001" customHeight="1" x14ac:dyDescent="0.2">
      <c r="A53" s="8" t="s">
        <v>17</v>
      </c>
      <c r="B53" s="24">
        <v>208</v>
      </c>
      <c r="C53" s="24">
        <v>130</v>
      </c>
      <c r="D53" s="24">
        <v>150</v>
      </c>
      <c r="E53" s="24">
        <v>130</v>
      </c>
      <c r="F53" s="15"/>
    </row>
    <row r="54" spans="1:6" ht="17.100000000000001" customHeight="1" x14ac:dyDescent="0.2">
      <c r="A54" s="8" t="s">
        <v>18</v>
      </c>
      <c r="B54" s="24">
        <f>501+15</f>
        <v>516</v>
      </c>
      <c r="C54" s="24">
        <f>618+16</f>
        <v>634</v>
      </c>
      <c r="D54" s="24">
        <v>526</v>
      </c>
      <c r="E54" s="24">
        <f>349+16</f>
        <v>365</v>
      </c>
      <c r="F54" s="15"/>
    </row>
    <row r="55" spans="1:6" ht="17.100000000000001" customHeight="1" x14ac:dyDescent="0.2">
      <c r="A55" s="56"/>
      <c r="B55" s="57">
        <f>SUM(B49:B54)</f>
        <v>5366</v>
      </c>
      <c r="C55" s="57">
        <f>SUM(C49:C54)</f>
        <v>4466</v>
      </c>
      <c r="D55" s="57">
        <f>SUM(D49:D54)</f>
        <v>6068</v>
      </c>
      <c r="E55" s="57">
        <f>SUM(E49:E54)</f>
        <v>4809</v>
      </c>
      <c r="F55" s="17"/>
    </row>
    <row r="56" spans="1:6" ht="17.100000000000001" customHeight="1" x14ac:dyDescent="0.2">
      <c r="A56" s="8"/>
      <c r="B56" s="24"/>
      <c r="C56" s="24"/>
      <c r="D56" s="24"/>
      <c r="E56" s="24"/>
      <c r="F56" s="18"/>
    </row>
    <row r="57" spans="1:6" ht="17.100000000000001" customHeight="1" x14ac:dyDescent="0.2">
      <c r="A57" s="58" t="s">
        <v>56</v>
      </c>
      <c r="B57" s="57">
        <f>SUM(B48-B55)</f>
        <v>775</v>
      </c>
      <c r="C57" s="57">
        <f>SUM(C48-C55)</f>
        <v>1085</v>
      </c>
      <c r="D57" s="57">
        <f>SUM(D48-D55)</f>
        <v>1008</v>
      </c>
      <c r="E57" s="57">
        <f>SUM(E48-E55)</f>
        <v>773</v>
      </c>
      <c r="F57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2:F55"/>
  <sheetViews>
    <sheetView topLeftCell="A21" workbookViewId="0">
      <selection activeCell="A28" sqref="A28:E55"/>
    </sheetView>
  </sheetViews>
  <sheetFormatPr baseColWidth="10" defaultRowHeight="12.75" x14ac:dyDescent="0.2"/>
  <cols>
    <col min="1" max="1" width="36.85546875" style="1" bestFit="1" customWidth="1"/>
    <col min="2" max="16384" width="11.42578125" style="1"/>
  </cols>
  <sheetData>
    <row r="2" spans="1:6" x14ac:dyDescent="0.2">
      <c r="A2" s="1" t="s">
        <v>1</v>
      </c>
      <c r="B2" s="1">
        <f>$E$28</f>
        <v>2015</v>
      </c>
      <c r="C2" s="1">
        <f>$D$28</f>
        <v>2016</v>
      </c>
      <c r="D2" s="1">
        <f>$C$28</f>
        <v>2017</v>
      </c>
      <c r="E2" s="1">
        <f>$B$28</f>
        <v>2018</v>
      </c>
    </row>
    <row r="3" spans="1:6" x14ac:dyDescent="0.2">
      <c r="A3" s="33"/>
      <c r="B3" s="1">
        <f>E55</f>
        <v>1</v>
      </c>
      <c r="C3" s="1">
        <f>D55</f>
        <v>1</v>
      </c>
      <c r="D3" s="1">
        <f>C55</f>
        <v>1</v>
      </c>
      <c r="E3" s="1">
        <f>B55</f>
        <v>1</v>
      </c>
    </row>
    <row r="5" spans="1:6" x14ac:dyDescent="0.2">
      <c r="A5" s="1" t="s">
        <v>0</v>
      </c>
      <c r="B5" s="1">
        <f>$E$28</f>
        <v>2015</v>
      </c>
      <c r="C5" s="1">
        <f>$D$28</f>
        <v>2016</v>
      </c>
      <c r="D5" s="1">
        <f>$C$28</f>
        <v>2017</v>
      </c>
      <c r="E5" s="1">
        <f>$B$28</f>
        <v>2018</v>
      </c>
    </row>
    <row r="6" spans="1:6" x14ac:dyDescent="0.2">
      <c r="B6" s="3">
        <f>E38/E42</f>
        <v>0.93181818181818177</v>
      </c>
      <c r="C6" s="3">
        <f>D38/D42</f>
        <v>0.93478260869565222</v>
      </c>
      <c r="D6" s="3">
        <f>C38/C42</f>
        <v>0.87755102040816324</v>
      </c>
      <c r="E6" s="3">
        <f>B38/B42</f>
        <v>0.91666666666666663</v>
      </c>
      <c r="F6" s="3"/>
    </row>
    <row r="27" spans="1:6" ht="17.100000000000001" customHeight="1" x14ac:dyDescent="0.25">
      <c r="B27" s="35"/>
    </row>
    <row r="28" spans="1:6" s="29" customFormat="1" ht="17.100000000000001" customHeight="1" x14ac:dyDescent="0.25">
      <c r="A28" s="54"/>
      <c r="B28" s="55">
        <v>2018</v>
      </c>
      <c r="C28" s="55">
        <v>2017</v>
      </c>
      <c r="D28" s="55">
        <v>2016</v>
      </c>
      <c r="E28" s="55">
        <v>2015</v>
      </c>
    </row>
    <row r="29" spans="1:6" s="29" customFormat="1" ht="17.100000000000001" customHeight="1" x14ac:dyDescent="0.25">
      <c r="A29" s="35" t="s">
        <v>2</v>
      </c>
    </row>
    <row r="30" spans="1:6" s="29" customFormat="1" ht="17.100000000000001" customHeight="1" x14ac:dyDescent="0.25">
      <c r="A30" s="36" t="s">
        <v>48</v>
      </c>
      <c r="F30" s="37"/>
    </row>
    <row r="31" spans="1:6" s="29" customFormat="1" ht="17.100000000000001" customHeight="1" x14ac:dyDescent="0.25">
      <c r="A31" s="36"/>
      <c r="F31" s="7"/>
    </row>
    <row r="32" spans="1:6" s="29" customFormat="1" ht="17.100000000000001" customHeight="1" x14ac:dyDescent="0.25">
      <c r="A32" s="8" t="s">
        <v>4</v>
      </c>
      <c r="B32" s="50">
        <v>0</v>
      </c>
      <c r="C32" s="50">
        <v>0</v>
      </c>
      <c r="D32" s="50">
        <v>0</v>
      </c>
      <c r="E32" s="50">
        <v>0</v>
      </c>
      <c r="F32" s="7"/>
    </row>
    <row r="33" spans="1:6" s="29" customFormat="1" ht="17.100000000000001" customHeight="1" x14ac:dyDescent="0.25">
      <c r="A33" s="8" t="s">
        <v>5</v>
      </c>
      <c r="B33" s="50">
        <v>48</v>
      </c>
      <c r="C33" s="50">
        <v>49</v>
      </c>
      <c r="D33" s="50">
        <v>46</v>
      </c>
      <c r="E33" s="50">
        <v>44</v>
      </c>
      <c r="F33" s="7"/>
    </row>
    <row r="34" spans="1:6" s="29" customFormat="1" ht="17.100000000000001" customHeight="1" x14ac:dyDescent="0.25">
      <c r="A34" s="8" t="s">
        <v>6</v>
      </c>
      <c r="B34" s="50"/>
      <c r="C34" s="50"/>
      <c r="D34" s="50">
        <v>0</v>
      </c>
      <c r="E34" s="50">
        <v>0</v>
      </c>
      <c r="F34" s="7"/>
    </row>
    <row r="35" spans="1:6" s="29" customFormat="1" ht="17.100000000000001" customHeight="1" x14ac:dyDescent="0.25">
      <c r="A35" s="56"/>
      <c r="B35" s="55">
        <f t="shared" ref="B35:C35" si="0">SUM(B32:B34)</f>
        <v>48</v>
      </c>
      <c r="C35" s="55">
        <f t="shared" si="0"/>
        <v>49</v>
      </c>
      <c r="D35" s="55">
        <f t="shared" ref="D35:E35" si="1">SUM(D32:D34)</f>
        <v>46</v>
      </c>
      <c r="E35" s="55">
        <f t="shared" si="1"/>
        <v>44</v>
      </c>
      <c r="F35" s="37"/>
    </row>
    <row r="36" spans="1:6" s="29" customFormat="1" ht="17.100000000000001" customHeight="1" x14ac:dyDescent="0.25">
      <c r="A36" s="36" t="s">
        <v>7</v>
      </c>
      <c r="B36" s="50"/>
      <c r="C36" s="50"/>
      <c r="D36" s="50"/>
      <c r="E36" s="50"/>
      <c r="F36" s="7"/>
    </row>
    <row r="37" spans="1:6" s="29" customFormat="1" ht="17.100000000000001" customHeight="1" x14ac:dyDescent="0.25">
      <c r="A37" s="36"/>
      <c r="B37" s="50"/>
      <c r="C37" s="50"/>
      <c r="D37" s="50"/>
      <c r="E37" s="50"/>
      <c r="F37" s="7"/>
    </row>
    <row r="38" spans="1:6" s="29" customFormat="1" ht="17.100000000000001" customHeight="1" x14ac:dyDescent="0.25">
      <c r="A38" s="8" t="s">
        <v>8</v>
      </c>
      <c r="B38" s="50">
        <v>44</v>
      </c>
      <c r="C38" s="50">
        <v>43</v>
      </c>
      <c r="D38" s="50">
        <v>43</v>
      </c>
      <c r="E38" s="50">
        <v>41</v>
      </c>
      <c r="F38" s="7"/>
    </row>
    <row r="39" spans="1:6" s="29" customFormat="1" ht="17.100000000000001" customHeight="1" x14ac:dyDescent="0.25">
      <c r="A39" s="8" t="s">
        <v>9</v>
      </c>
      <c r="B39" s="50">
        <v>3</v>
      </c>
      <c r="C39" s="50">
        <v>4</v>
      </c>
      <c r="D39" s="50">
        <v>3</v>
      </c>
      <c r="E39" s="50">
        <v>3</v>
      </c>
      <c r="F39" s="7"/>
    </row>
    <row r="40" spans="1:6" s="29" customFormat="1" ht="17.100000000000001" customHeight="1" x14ac:dyDescent="0.25">
      <c r="A40" s="8" t="s">
        <v>10</v>
      </c>
      <c r="B40" s="50">
        <v>1</v>
      </c>
      <c r="C40" s="50">
        <v>2</v>
      </c>
      <c r="D40" s="50">
        <v>0</v>
      </c>
      <c r="E40" s="50">
        <v>0</v>
      </c>
      <c r="F40" s="7"/>
    </row>
    <row r="41" spans="1:6" s="29" customFormat="1" ht="17.100000000000001" customHeight="1" x14ac:dyDescent="0.25">
      <c r="A41" s="8" t="s">
        <v>6</v>
      </c>
      <c r="B41" s="50">
        <v>0</v>
      </c>
      <c r="C41" s="50">
        <v>0</v>
      </c>
      <c r="D41" s="50">
        <v>0</v>
      </c>
      <c r="E41" s="50">
        <v>0</v>
      </c>
      <c r="F41" s="7"/>
    </row>
    <row r="42" spans="1:6" s="29" customFormat="1" ht="17.100000000000001" customHeight="1" x14ac:dyDescent="0.25">
      <c r="A42" s="56"/>
      <c r="B42" s="55">
        <f t="shared" ref="B42:C42" si="2">SUM(B38:B41)</f>
        <v>48</v>
      </c>
      <c r="C42" s="55">
        <f t="shared" si="2"/>
        <v>49</v>
      </c>
      <c r="D42" s="55">
        <f t="shared" ref="D42:E42" si="3">SUM(D38:D41)</f>
        <v>46</v>
      </c>
      <c r="E42" s="55">
        <f t="shared" si="3"/>
        <v>44</v>
      </c>
      <c r="F42" s="37"/>
    </row>
    <row r="43" spans="1:6" s="29" customFormat="1" ht="17.100000000000001" customHeight="1" x14ac:dyDescent="0.25">
      <c r="A43" s="35" t="s">
        <v>66</v>
      </c>
      <c r="B43" s="50"/>
      <c r="C43" s="50"/>
      <c r="D43" s="50"/>
      <c r="E43" s="50"/>
    </row>
    <row r="44" spans="1:6" s="29" customFormat="1" ht="17.100000000000001" customHeight="1" x14ac:dyDescent="0.25">
      <c r="A44" s="8" t="s">
        <v>12</v>
      </c>
      <c r="B44" s="50">
        <v>4</v>
      </c>
      <c r="C44" s="50">
        <v>6</v>
      </c>
      <c r="D44" s="50">
        <v>3</v>
      </c>
      <c r="E44" s="50">
        <v>3</v>
      </c>
      <c r="F44" s="7"/>
    </row>
    <row r="45" spans="1:6" s="29" customFormat="1" ht="17.100000000000001" customHeight="1" x14ac:dyDescent="0.25">
      <c r="A45" s="8" t="s">
        <v>19</v>
      </c>
      <c r="B45" s="50">
        <v>1</v>
      </c>
      <c r="C45" s="50">
        <v>1</v>
      </c>
      <c r="D45" s="50">
        <v>1</v>
      </c>
      <c r="E45" s="50">
        <v>1</v>
      </c>
      <c r="F45" s="7"/>
    </row>
    <row r="46" spans="1:6" s="29" customFormat="1" ht="17.100000000000001" customHeight="1" x14ac:dyDescent="0.25">
      <c r="A46" s="8" t="s">
        <v>13</v>
      </c>
      <c r="B46" s="50">
        <v>0</v>
      </c>
      <c r="C46" s="50">
        <v>0</v>
      </c>
      <c r="D46" s="50">
        <v>0</v>
      </c>
      <c r="E46" s="50">
        <v>0</v>
      </c>
      <c r="F46" s="7"/>
    </row>
    <row r="47" spans="1:6" s="29" customFormat="1" ht="17.100000000000001" customHeight="1" x14ac:dyDescent="0.25">
      <c r="A47" s="56"/>
      <c r="B47" s="55">
        <f t="shared" ref="B47:C47" si="4">SUM(B44:B46)</f>
        <v>5</v>
      </c>
      <c r="C47" s="55">
        <f t="shared" si="4"/>
        <v>7</v>
      </c>
      <c r="D47" s="55">
        <f t="shared" ref="D47:E47" si="5">SUM(D44:D46)</f>
        <v>4</v>
      </c>
      <c r="E47" s="55">
        <f t="shared" si="5"/>
        <v>4</v>
      </c>
      <c r="F47" s="37"/>
    </row>
    <row r="48" spans="1:6" s="29" customFormat="1" ht="17.100000000000001" customHeight="1" x14ac:dyDescent="0.25">
      <c r="A48" s="8" t="s">
        <v>20</v>
      </c>
      <c r="B48" s="50">
        <v>0</v>
      </c>
      <c r="C48" s="50">
        <v>0</v>
      </c>
      <c r="D48" s="50">
        <v>0</v>
      </c>
      <c r="E48" s="50">
        <v>0</v>
      </c>
      <c r="F48" s="7"/>
    </row>
    <row r="49" spans="1:6" s="29" customFormat="1" ht="17.100000000000001" customHeight="1" x14ac:dyDescent="0.25">
      <c r="A49" s="8" t="s">
        <v>14</v>
      </c>
      <c r="B49" s="50">
        <v>0</v>
      </c>
      <c r="C49" s="50">
        <v>0</v>
      </c>
      <c r="D49" s="50">
        <v>0</v>
      </c>
      <c r="E49" s="50">
        <v>0</v>
      </c>
      <c r="F49" s="7"/>
    </row>
    <row r="50" spans="1:6" s="29" customFormat="1" ht="17.100000000000001" customHeight="1" x14ac:dyDescent="0.25">
      <c r="A50" s="8" t="s">
        <v>16</v>
      </c>
      <c r="B50" s="50">
        <v>4</v>
      </c>
      <c r="C50" s="50">
        <v>5</v>
      </c>
      <c r="D50" s="50">
        <v>3</v>
      </c>
      <c r="E50" s="50">
        <v>3</v>
      </c>
      <c r="F50" s="7"/>
    </row>
    <row r="51" spans="1:6" s="29" customFormat="1" ht="17.100000000000001" customHeight="1" x14ac:dyDescent="0.25">
      <c r="A51" s="8" t="s">
        <v>17</v>
      </c>
      <c r="B51" s="50">
        <v>0</v>
      </c>
      <c r="C51" s="50">
        <v>0</v>
      </c>
      <c r="D51" s="50">
        <v>0</v>
      </c>
      <c r="E51" s="50">
        <v>0</v>
      </c>
      <c r="F51" s="7"/>
    </row>
    <row r="52" spans="1:6" s="29" customFormat="1" ht="17.100000000000001" customHeight="1" x14ac:dyDescent="0.25">
      <c r="A52" s="8" t="s">
        <v>18</v>
      </c>
      <c r="B52" s="50">
        <v>0</v>
      </c>
      <c r="C52" s="50">
        <v>1</v>
      </c>
      <c r="D52" s="50">
        <v>0</v>
      </c>
      <c r="E52" s="50">
        <v>0</v>
      </c>
      <c r="F52" s="7"/>
    </row>
    <row r="53" spans="1:6" s="29" customFormat="1" ht="17.100000000000001" customHeight="1" x14ac:dyDescent="0.25">
      <c r="A53" s="56"/>
      <c r="B53" s="55">
        <f>SUM(B48:B52)</f>
        <v>4</v>
      </c>
      <c r="C53" s="55">
        <f>SUM(C48:C52)</f>
        <v>6</v>
      </c>
      <c r="D53" s="55">
        <f>SUM(D48:D52)</f>
        <v>3</v>
      </c>
      <c r="E53" s="55">
        <f>SUM(E48:E52)</f>
        <v>3</v>
      </c>
      <c r="F53" s="37"/>
    </row>
    <row r="54" spans="1:6" s="29" customFormat="1" ht="17.100000000000001" customHeight="1" x14ac:dyDescent="0.25">
      <c r="A54" s="8"/>
      <c r="B54" s="50"/>
      <c r="C54" s="50"/>
      <c r="D54" s="50"/>
      <c r="E54" s="50"/>
      <c r="F54" s="7"/>
    </row>
    <row r="55" spans="1:6" s="29" customFormat="1" ht="17.100000000000001" customHeight="1" x14ac:dyDescent="0.25">
      <c r="A55" s="58" t="s">
        <v>56</v>
      </c>
      <c r="B55" s="55">
        <f>SUM(B47-B53)</f>
        <v>1</v>
      </c>
      <c r="C55" s="55">
        <f>SUM(C47-C53)</f>
        <v>1</v>
      </c>
      <c r="D55" s="55">
        <f>SUM(D47-D53)</f>
        <v>1</v>
      </c>
      <c r="E55" s="55">
        <f>SUM(E47-E53)</f>
        <v>1</v>
      </c>
      <c r="F55" s="3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2:F55"/>
  <sheetViews>
    <sheetView topLeftCell="A21" workbookViewId="0">
      <selection activeCell="A27" sqref="A27:E55"/>
    </sheetView>
  </sheetViews>
  <sheetFormatPr baseColWidth="10" defaultRowHeight="12.75" x14ac:dyDescent="0.2"/>
  <cols>
    <col min="1" max="1" width="36.85546875" style="1" bestFit="1" customWidth="1"/>
    <col min="2" max="16384" width="11.42578125" style="1"/>
  </cols>
  <sheetData>
    <row r="2" spans="1:5" x14ac:dyDescent="0.2">
      <c r="A2" s="1" t="s">
        <v>1</v>
      </c>
      <c r="B2" s="1">
        <f>$E$27</f>
        <v>2015</v>
      </c>
      <c r="C2" s="1">
        <f>$D$27</f>
        <v>2016</v>
      </c>
      <c r="D2" s="1">
        <f>$C$27</f>
        <v>2017</v>
      </c>
      <c r="E2" s="1">
        <f>$B$27</f>
        <v>2018</v>
      </c>
    </row>
    <row r="3" spans="1:5" x14ac:dyDescent="0.2">
      <c r="A3" s="14"/>
      <c r="B3" s="2">
        <f>E55</f>
        <v>70</v>
      </c>
      <c r="C3" s="2">
        <f>D55</f>
        <v>63</v>
      </c>
      <c r="D3" s="2">
        <f>C55</f>
        <v>6</v>
      </c>
      <c r="E3" s="2">
        <f>B55</f>
        <v>40</v>
      </c>
    </row>
    <row r="5" spans="1:5" x14ac:dyDescent="0.2">
      <c r="A5" s="1" t="s">
        <v>0</v>
      </c>
      <c r="B5" s="1">
        <f>$E$27</f>
        <v>2015</v>
      </c>
      <c r="C5" s="1">
        <f>$D$27</f>
        <v>2016</v>
      </c>
      <c r="D5" s="1">
        <f>$C$27</f>
        <v>2017</v>
      </c>
      <c r="E5" s="1">
        <f>$B$27</f>
        <v>2018</v>
      </c>
    </row>
    <row r="6" spans="1:5" x14ac:dyDescent="0.2">
      <c r="B6" s="3">
        <f>E37/E41</f>
        <v>0.56200846944948579</v>
      </c>
      <c r="C6" s="3">
        <f>D37/D41</f>
        <v>0.62987307343608345</v>
      </c>
      <c r="D6" s="3">
        <f>C37/C41</f>
        <v>0.71189542483660129</v>
      </c>
      <c r="E6" s="3">
        <f>B37/B41</f>
        <v>0.83112183353437874</v>
      </c>
    </row>
    <row r="26" spans="1:6" ht="17.100000000000001" customHeight="1" x14ac:dyDescent="0.25">
      <c r="B26" s="35"/>
    </row>
    <row r="27" spans="1:6" ht="17.100000000000001" customHeight="1" x14ac:dyDescent="0.25">
      <c r="A27" s="54"/>
      <c r="B27" s="55">
        <v>2018</v>
      </c>
      <c r="C27" s="55">
        <v>2017</v>
      </c>
      <c r="D27" s="55">
        <v>2016</v>
      </c>
      <c r="E27" s="55">
        <v>2015</v>
      </c>
    </row>
    <row r="28" spans="1:6" ht="17.100000000000001" customHeight="1" x14ac:dyDescent="0.25">
      <c r="A28" s="35" t="s">
        <v>2</v>
      </c>
    </row>
    <row r="29" spans="1:6" ht="17.100000000000001" customHeight="1" x14ac:dyDescent="0.2">
      <c r="A29" s="36" t="s">
        <v>48</v>
      </c>
      <c r="F29" s="6"/>
    </row>
    <row r="30" spans="1:6" ht="17.100000000000001" customHeight="1" x14ac:dyDescent="0.2">
      <c r="A30" s="36"/>
      <c r="F30" s="7"/>
    </row>
    <row r="31" spans="1:6" ht="17.100000000000001" customHeight="1" x14ac:dyDescent="0.2">
      <c r="A31" s="8" t="s">
        <v>4</v>
      </c>
      <c r="B31" s="51">
        <v>2360</v>
      </c>
      <c r="C31" s="51">
        <v>2680</v>
      </c>
      <c r="D31" s="51">
        <v>2968</v>
      </c>
      <c r="E31" s="51">
        <v>2719</v>
      </c>
      <c r="F31" s="15"/>
    </row>
    <row r="32" spans="1:6" ht="17.100000000000001" customHeight="1" x14ac:dyDescent="0.2">
      <c r="A32" s="8" t="s">
        <v>5</v>
      </c>
      <c r="B32" s="51">
        <v>956</v>
      </c>
      <c r="C32" s="51">
        <v>1145</v>
      </c>
      <c r="D32" s="51">
        <v>1444</v>
      </c>
      <c r="E32" s="51">
        <v>2240</v>
      </c>
      <c r="F32" s="15"/>
    </row>
    <row r="33" spans="1:6" ht="17.100000000000001" customHeight="1" x14ac:dyDescent="0.2">
      <c r="A33" s="8" t="s">
        <v>6</v>
      </c>
      <c r="B33" s="51">
        <v>0</v>
      </c>
      <c r="C33" s="51">
        <v>0</v>
      </c>
      <c r="D33" s="51">
        <v>0</v>
      </c>
      <c r="E33" s="51">
        <v>0</v>
      </c>
      <c r="F33" s="15"/>
    </row>
    <row r="34" spans="1:6" ht="17.100000000000001" customHeight="1" x14ac:dyDescent="0.2">
      <c r="A34" s="56"/>
      <c r="B34" s="57">
        <f>SUM(B31:B33)</f>
        <v>3316</v>
      </c>
      <c r="C34" s="57">
        <f>SUM(C31:C33)</f>
        <v>3825</v>
      </c>
      <c r="D34" s="57">
        <f>SUM(D31:D33)</f>
        <v>4412</v>
      </c>
      <c r="E34" s="57">
        <f>SUM(E31:E33)</f>
        <v>4959</v>
      </c>
      <c r="F34" s="17"/>
    </row>
    <row r="35" spans="1:6" ht="17.100000000000001" customHeight="1" x14ac:dyDescent="0.2">
      <c r="A35" s="36" t="s">
        <v>7</v>
      </c>
      <c r="B35" s="51"/>
      <c r="C35" s="51"/>
      <c r="D35" s="51"/>
      <c r="E35" s="51"/>
      <c r="F35" s="18"/>
    </row>
    <row r="36" spans="1:6" ht="17.100000000000001" customHeight="1" x14ac:dyDescent="0.2">
      <c r="A36" s="36"/>
      <c r="B36" s="51"/>
      <c r="C36" s="51"/>
      <c r="D36" s="51"/>
      <c r="E36" s="51"/>
      <c r="F36" s="18"/>
    </row>
    <row r="37" spans="1:6" ht="17.100000000000001" customHeight="1" x14ac:dyDescent="0.2">
      <c r="A37" s="8" t="s">
        <v>8</v>
      </c>
      <c r="B37" s="51">
        <v>2756</v>
      </c>
      <c r="C37" s="51">
        <v>2723</v>
      </c>
      <c r="D37" s="51">
        <v>2779</v>
      </c>
      <c r="E37" s="51">
        <v>2787</v>
      </c>
      <c r="F37" s="15"/>
    </row>
    <row r="38" spans="1:6" ht="17.100000000000001" customHeight="1" x14ac:dyDescent="0.2">
      <c r="A38" s="8" t="s">
        <v>9</v>
      </c>
      <c r="B38" s="51">
        <v>554</v>
      </c>
      <c r="C38" s="51">
        <v>1060</v>
      </c>
      <c r="D38" s="51">
        <v>1532</v>
      </c>
      <c r="E38" s="51">
        <v>2034</v>
      </c>
      <c r="F38" s="15"/>
    </row>
    <row r="39" spans="1:6" ht="17.100000000000001" customHeight="1" x14ac:dyDescent="0.2">
      <c r="A39" s="8" t="s">
        <v>10</v>
      </c>
      <c r="B39" s="51">
        <v>6</v>
      </c>
      <c r="C39" s="51">
        <v>42</v>
      </c>
      <c r="D39" s="51">
        <v>101</v>
      </c>
      <c r="E39" s="51">
        <v>138</v>
      </c>
      <c r="F39" s="15"/>
    </row>
    <row r="40" spans="1:6" ht="17.100000000000001" customHeight="1" x14ac:dyDescent="0.2">
      <c r="A40" s="8" t="s">
        <v>6</v>
      </c>
      <c r="B40" s="51">
        <v>0</v>
      </c>
      <c r="C40" s="51">
        <v>0</v>
      </c>
      <c r="D40" s="51">
        <v>0</v>
      </c>
      <c r="E40" s="51">
        <v>0</v>
      </c>
      <c r="F40" s="15"/>
    </row>
    <row r="41" spans="1:6" ht="17.100000000000001" customHeight="1" x14ac:dyDescent="0.2">
      <c r="A41" s="56"/>
      <c r="B41" s="57">
        <f>SUM(B37:B40)</f>
        <v>3316</v>
      </c>
      <c r="C41" s="57">
        <f>SUM(C37:C40)</f>
        <v>3825</v>
      </c>
      <c r="D41" s="57">
        <f>SUM(D37:D40)</f>
        <v>4412</v>
      </c>
      <c r="E41" s="57">
        <f>SUM(E37:E40)</f>
        <v>4959</v>
      </c>
      <c r="F41" s="17"/>
    </row>
    <row r="42" spans="1:6" ht="17.100000000000001" customHeight="1" x14ac:dyDescent="0.25">
      <c r="A42" s="35" t="s">
        <v>66</v>
      </c>
      <c r="B42" s="51"/>
      <c r="C42" s="51"/>
      <c r="D42" s="51"/>
      <c r="E42" s="51"/>
      <c r="F42" s="2"/>
    </row>
    <row r="43" spans="1:6" ht="17.100000000000001" customHeight="1" x14ac:dyDescent="0.2">
      <c r="A43" s="8" t="s">
        <v>12</v>
      </c>
      <c r="B43" s="51">
        <v>432</v>
      </c>
      <c r="C43" s="51">
        <v>382</v>
      </c>
      <c r="D43" s="51">
        <v>709</v>
      </c>
      <c r="E43" s="51">
        <v>390</v>
      </c>
      <c r="F43" s="15"/>
    </row>
    <row r="44" spans="1:6" ht="17.100000000000001" customHeight="1" x14ac:dyDescent="0.2">
      <c r="A44" s="8" t="s">
        <v>19</v>
      </c>
      <c r="B44" s="51">
        <v>4</v>
      </c>
      <c r="C44" s="51">
        <v>1</v>
      </c>
      <c r="D44" s="51">
        <v>1</v>
      </c>
      <c r="E44" s="51">
        <v>0</v>
      </c>
      <c r="F44" s="15"/>
    </row>
    <row r="45" spans="1:6" ht="17.100000000000001" customHeight="1" x14ac:dyDescent="0.2">
      <c r="A45" s="8" t="s">
        <v>13</v>
      </c>
      <c r="B45" s="51">
        <v>0</v>
      </c>
      <c r="C45" s="51">
        <v>0</v>
      </c>
      <c r="D45" s="51">
        <v>24</v>
      </c>
      <c r="E45" s="51">
        <v>1</v>
      </c>
      <c r="F45" s="15"/>
    </row>
    <row r="46" spans="1:6" ht="17.100000000000001" customHeight="1" x14ac:dyDescent="0.2">
      <c r="A46" s="56"/>
      <c r="B46" s="57">
        <f>SUM(B43:B45)</f>
        <v>436</v>
      </c>
      <c r="C46" s="57">
        <f>SUM(C43:C45)</f>
        <v>383</v>
      </c>
      <c r="D46" s="57">
        <f>SUM(D43:D45)</f>
        <v>734</v>
      </c>
      <c r="E46" s="57">
        <f>SUM(E43:E45)</f>
        <v>391</v>
      </c>
      <c r="F46" s="17"/>
    </row>
    <row r="47" spans="1:6" ht="17.100000000000001" customHeight="1" x14ac:dyDescent="0.2">
      <c r="A47" s="8" t="s">
        <v>20</v>
      </c>
      <c r="B47" s="51">
        <v>0</v>
      </c>
      <c r="C47" s="51">
        <v>0</v>
      </c>
      <c r="D47" s="51">
        <v>0</v>
      </c>
      <c r="E47" s="51">
        <v>0</v>
      </c>
      <c r="F47" s="15"/>
    </row>
    <row r="48" spans="1:6" ht="17.100000000000001" customHeight="1" x14ac:dyDescent="0.2">
      <c r="A48" s="8" t="s">
        <v>14</v>
      </c>
      <c r="B48" s="51">
        <v>0</v>
      </c>
      <c r="C48" s="51">
        <v>0</v>
      </c>
      <c r="D48" s="51">
        <v>0</v>
      </c>
      <c r="E48" s="51">
        <v>0</v>
      </c>
      <c r="F48" s="15"/>
    </row>
    <row r="49" spans="1:6" ht="17.100000000000001" customHeight="1" x14ac:dyDescent="0.2">
      <c r="A49" s="8" t="s">
        <v>15</v>
      </c>
      <c r="B49" s="51">
        <v>319</v>
      </c>
      <c r="C49" s="51">
        <v>289</v>
      </c>
      <c r="D49" s="51">
        <v>573</v>
      </c>
      <c r="E49" s="51">
        <v>255</v>
      </c>
      <c r="F49" s="15"/>
    </row>
    <row r="50" spans="1:6" ht="17.100000000000001" customHeight="1" x14ac:dyDescent="0.2">
      <c r="A50" s="8" t="s">
        <v>16</v>
      </c>
      <c r="B50" s="51">
        <v>56</v>
      </c>
      <c r="C50" s="51">
        <v>56</v>
      </c>
      <c r="D50" s="51">
        <v>60</v>
      </c>
      <c r="E50" s="51">
        <v>48</v>
      </c>
      <c r="F50" s="15"/>
    </row>
    <row r="51" spans="1:6" ht="17.100000000000001" customHeight="1" x14ac:dyDescent="0.2">
      <c r="A51" s="8" t="s">
        <v>17</v>
      </c>
      <c r="B51" s="51">
        <v>7</v>
      </c>
      <c r="C51" s="51">
        <v>18</v>
      </c>
      <c r="D51" s="51">
        <v>0</v>
      </c>
      <c r="E51" s="51">
        <v>0</v>
      </c>
      <c r="F51" s="15"/>
    </row>
    <row r="52" spans="1:6" ht="17.100000000000001" customHeight="1" x14ac:dyDescent="0.2">
      <c r="A52" s="8" t="s">
        <v>18</v>
      </c>
      <c r="B52" s="51">
        <f>14</f>
        <v>14</v>
      </c>
      <c r="C52" s="51">
        <v>14</v>
      </c>
      <c r="D52" s="51">
        <f>28+10</f>
        <v>38</v>
      </c>
      <c r="E52" s="51">
        <v>18</v>
      </c>
      <c r="F52" s="15"/>
    </row>
    <row r="53" spans="1:6" ht="17.100000000000001" customHeight="1" x14ac:dyDescent="0.2">
      <c r="A53" s="56"/>
      <c r="B53" s="57">
        <f>SUM(B47:B52)</f>
        <v>396</v>
      </c>
      <c r="C53" s="57">
        <f>SUM(C47:C52)</f>
        <v>377</v>
      </c>
      <c r="D53" s="57">
        <f>SUM(D47:D52)</f>
        <v>671</v>
      </c>
      <c r="E53" s="57">
        <f>SUM(E47:E52)</f>
        <v>321</v>
      </c>
      <c r="F53" s="17"/>
    </row>
    <row r="54" spans="1:6" ht="17.100000000000001" customHeight="1" x14ac:dyDescent="0.2">
      <c r="A54" s="8"/>
      <c r="B54" s="51"/>
      <c r="C54" s="51"/>
      <c r="D54" s="51"/>
      <c r="E54" s="51"/>
      <c r="F54" s="18"/>
    </row>
    <row r="55" spans="1:6" ht="17.100000000000001" customHeight="1" x14ac:dyDescent="0.2">
      <c r="A55" s="58" t="s">
        <v>56</v>
      </c>
      <c r="B55" s="57">
        <f>SUM(B46-B53)</f>
        <v>40</v>
      </c>
      <c r="C55" s="57">
        <f>SUM(C46-C53)</f>
        <v>6</v>
      </c>
      <c r="D55" s="57">
        <f>SUM(D46-D53)</f>
        <v>63</v>
      </c>
      <c r="E55" s="57">
        <f>SUM(E46-E53)</f>
        <v>70</v>
      </c>
      <c r="F55" s="1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64</vt:i4>
      </vt:variant>
    </vt:vector>
  </HeadingPairs>
  <TitlesOfParts>
    <vt:vector size="64" baseType="lpstr">
      <vt:lpstr>WSW Konzern</vt:lpstr>
      <vt:lpstr>WSW GmbH</vt:lpstr>
      <vt:lpstr>GWH</vt:lpstr>
      <vt:lpstr>Neue Effizienz</vt:lpstr>
      <vt:lpstr>BEG Ents.</vt:lpstr>
      <vt:lpstr>GKR</vt:lpstr>
      <vt:lpstr>DBV</vt:lpstr>
      <vt:lpstr>DGV Verw. mbH</vt:lpstr>
      <vt:lpstr>DGV mbh &amp; Co. KG</vt:lpstr>
      <vt:lpstr>WSW AG</vt:lpstr>
      <vt:lpstr>WSW Netz </vt:lpstr>
      <vt:lpstr>NBG</vt:lpstr>
      <vt:lpstr>EDW</vt:lpstr>
      <vt:lpstr>BTV</vt:lpstr>
      <vt:lpstr>WSW345</vt:lpstr>
      <vt:lpstr>WSW Energielösungen</vt:lpstr>
      <vt:lpstr>GDF SUEZ Kraftwerk. </vt:lpstr>
      <vt:lpstr>ENGIE Windpark GmbH</vt:lpstr>
      <vt:lpstr>ENGIE Windpark GmbH &amp; Co. KG</vt:lpstr>
      <vt:lpstr>Binnenwind</vt:lpstr>
      <vt:lpstr>Binnenwind Verw GmbH</vt:lpstr>
      <vt:lpstr>Kahlenberg II</vt:lpstr>
      <vt:lpstr>Kahlenberg III</vt:lpstr>
      <vt:lpstr>WSW mobil</vt:lpstr>
      <vt:lpstr>Regiobahn</vt:lpstr>
      <vt:lpstr>VSG</vt:lpstr>
      <vt:lpstr>GKE</vt:lpstr>
      <vt:lpstr>AWG</vt:lpstr>
      <vt:lpstr>WVW</vt:lpstr>
      <vt:lpstr>WLG</vt:lpstr>
      <vt:lpstr>ESW</vt:lpstr>
      <vt:lpstr>WAW</vt:lpstr>
      <vt:lpstr>GWG Konzern</vt:lpstr>
      <vt:lpstr>GWG GmbH</vt:lpstr>
      <vt:lpstr>GWG SPE</vt:lpstr>
      <vt:lpstr>GMW</vt:lpstr>
      <vt:lpstr>Stadthalle</vt:lpstr>
      <vt:lpstr>Stadth.Service GmbH</vt:lpstr>
      <vt:lpstr>BSWG</vt:lpstr>
      <vt:lpstr>Delphin GmbH &amp; Co. KG</vt:lpstr>
      <vt:lpstr>Delphin GmbH</vt:lpstr>
      <vt:lpstr>WF AöR</vt:lpstr>
      <vt:lpstr>Wtec</vt:lpstr>
      <vt:lpstr>Marketing </vt:lpstr>
      <vt:lpstr>WQG</vt:lpstr>
      <vt:lpstr>NRW Urban</vt:lpstr>
      <vt:lpstr>PD</vt:lpstr>
      <vt:lpstr>d_NRW</vt:lpstr>
      <vt:lpstr>APH</vt:lpstr>
      <vt:lpstr>APH Service</vt:lpstr>
      <vt:lpstr>KiJu</vt:lpstr>
      <vt:lpstr>VHS</vt:lpstr>
      <vt:lpstr>Jobcenter Wuppertal AöR</vt:lpstr>
      <vt:lpstr>CVUA RRW</vt:lpstr>
      <vt:lpstr>HELIOS</vt:lpstr>
      <vt:lpstr>MVZ</vt:lpstr>
      <vt:lpstr>DGU</vt:lpstr>
      <vt:lpstr>Bildungsakademie</vt:lpstr>
      <vt:lpstr>MVZ Gastro</vt:lpstr>
      <vt:lpstr>Wendepunkt</vt:lpstr>
      <vt:lpstr>Pina Bausch</vt:lpstr>
      <vt:lpstr>Bühnen</vt:lpstr>
      <vt:lpstr>Lokalfunk</vt:lpstr>
      <vt:lpstr>Tabelle1</vt:lpstr>
    </vt:vector>
  </TitlesOfParts>
  <Company>Stadt Wuppertal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SchrammS</dc:creator>
  <cp:lastModifiedBy>szlagowskid</cp:lastModifiedBy>
  <cp:lastPrinted>2017-07-25T13:03:17Z</cp:lastPrinted>
  <dcterms:created xsi:type="dcterms:W3CDTF">2009-01-26T10:56:26Z</dcterms:created>
  <dcterms:modified xsi:type="dcterms:W3CDTF">2021-05-10T15:32:42Z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fficeID">
    <vt:lpwstr>{813EF931-21CB-4B90-A675-09BE6E048509}</vt:lpwstr>
  </property>
</Properties>
</file>