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720" yWindow="15" windowWidth="10350" windowHeight="3750" tabRatio="756" activeTab="2"/>
  </bookViews>
  <sheets>
    <sheet name="Doc" sheetId="99" r:id="rId1"/>
    <sheet name="MB-A" sheetId="164" r:id="rId2"/>
    <sheet name="MB-H" sheetId="131" r:id="rId3"/>
    <sheet name="Summary" sheetId="162" r:id="rId4"/>
    <sheet name="Import" sheetId="163" r:id="rId5"/>
  </sheets>
  <externalReferences>
    <externalReference r:id="rId6"/>
  </externalReferences>
  <definedNames>
    <definedName name="desired_cell_to_view_the_contents_of_that_particular__comment_box_.">Doc!$A$102</definedName>
    <definedName name="eh">Summary!$A$114</definedName>
    <definedName name="Footing_Type">Summary!$7:$28</definedName>
    <definedName name="_xlnm.Print_Area" localSheetId="0">Doc!$A$1:$J$102</definedName>
    <definedName name="_xlnm.Print_Area" localSheetId="1">'MB-A'!$B$1:$K$110</definedName>
    <definedName name="_xlnm.Print_Area" localSheetId="2">'MB-H'!$B$1:$K$110</definedName>
    <definedName name="_xlnm.Print_Area" localSheetId="3">Summary!$A$1:$J$114</definedName>
  </definedNames>
  <calcPr calcId="125725"/>
</workbook>
</file>

<file path=xl/calcChain.xml><?xml version="1.0" encoding="utf-8"?>
<calcChain xmlns="http://schemas.openxmlformats.org/spreadsheetml/2006/main">
  <c r="P55" i="164"/>
  <c r="C31"/>
  <c r="W30"/>
  <c r="V30"/>
  <c r="U30"/>
  <c r="T30"/>
  <c r="S30"/>
  <c r="R30"/>
  <c r="Q21"/>
  <c r="C30"/>
  <c r="P19" s="1"/>
  <c r="BM29"/>
  <c r="BL29"/>
  <c r="C29"/>
  <c r="BM28"/>
  <c r="BL28"/>
  <c r="W28"/>
  <c r="V28"/>
  <c r="U28"/>
  <c r="T28"/>
  <c r="S28"/>
  <c r="R28"/>
  <c r="BO11"/>
  <c r="C28"/>
  <c r="BP9" s="1"/>
  <c r="BM27"/>
  <c r="BL27"/>
  <c r="BN10"/>
  <c r="C27"/>
  <c r="BM8" s="1"/>
  <c r="BM26"/>
  <c r="BL26"/>
  <c r="W25"/>
  <c r="V25"/>
  <c r="U25"/>
  <c r="T25"/>
  <c r="S25"/>
  <c r="R25"/>
  <c r="K25"/>
  <c r="J24"/>
  <c r="I24"/>
  <c r="H24"/>
  <c r="G24"/>
  <c r="F24"/>
  <c r="E24"/>
  <c r="D24"/>
  <c r="C24"/>
  <c r="BP23"/>
  <c r="BO23"/>
  <c r="BN23"/>
  <c r="BM23"/>
  <c r="BL23"/>
  <c r="W23"/>
  <c r="V23"/>
  <c r="U23"/>
  <c r="T23"/>
  <c r="S23"/>
  <c r="R23"/>
  <c r="BP22"/>
  <c r="BO22"/>
  <c r="BN22"/>
  <c r="BM22"/>
  <c r="BL22"/>
  <c r="BP21"/>
  <c r="BO21"/>
  <c r="BN21"/>
  <c r="BM21"/>
  <c r="BL21"/>
  <c r="W21"/>
  <c r="V21"/>
  <c r="U21"/>
  <c r="T21"/>
  <c r="S21"/>
  <c r="R21"/>
  <c r="BP20"/>
  <c r="BO20"/>
  <c r="BN20"/>
  <c r="BM20"/>
  <c r="BL20"/>
  <c r="BP19"/>
  <c r="BO19"/>
  <c r="BN19"/>
  <c r="BM19"/>
  <c r="BL19"/>
  <c r="W19"/>
  <c r="V19"/>
  <c r="U19"/>
  <c r="T19"/>
  <c r="S19"/>
  <c r="R19"/>
  <c r="D19"/>
  <c r="BP18"/>
  <c r="BO18"/>
  <c r="BN18"/>
  <c r="BM18"/>
  <c r="BL18"/>
  <c r="D18"/>
  <c r="BP17"/>
  <c r="BO17"/>
  <c r="BN17"/>
  <c r="BM17"/>
  <c r="BL17"/>
  <c r="W17"/>
  <c r="V17"/>
  <c r="U17"/>
  <c r="T17"/>
  <c r="S17"/>
  <c r="R17"/>
  <c r="D17"/>
  <c r="BP16"/>
  <c r="BO16"/>
  <c r="BN16"/>
  <c r="BM16"/>
  <c r="BL16"/>
  <c r="W16"/>
  <c r="V16"/>
  <c r="U16"/>
  <c r="T16"/>
  <c r="S16"/>
  <c r="R16"/>
  <c r="D16"/>
  <c r="BP15"/>
  <c r="BO15"/>
  <c r="BN15"/>
  <c r="BM15"/>
  <c r="BL15"/>
  <c r="W15"/>
  <c r="V15"/>
  <c r="U15"/>
  <c r="T15"/>
  <c r="S15"/>
  <c r="R15"/>
  <c r="D15"/>
  <c r="BP14"/>
  <c r="BO14"/>
  <c r="BN14"/>
  <c r="BM14"/>
  <c r="BL14"/>
  <c r="W14"/>
  <c r="V14"/>
  <c r="U14"/>
  <c r="T14"/>
  <c r="S14"/>
  <c r="R14"/>
  <c r="D14"/>
  <c r="BP13"/>
  <c r="BO13"/>
  <c r="BN13"/>
  <c r="BM13"/>
  <c r="BL13"/>
  <c r="D13"/>
  <c r="BP12"/>
  <c r="BO12"/>
  <c r="BN12"/>
  <c r="BM12"/>
  <c r="BL12"/>
  <c r="D12"/>
  <c r="BM7" s="1"/>
  <c r="BM11"/>
  <c r="D11"/>
  <c r="BM6" s="1"/>
  <c r="BP10"/>
  <c r="BO10"/>
  <c r="BM10"/>
  <c r="BL10"/>
  <c r="P5"/>
  <c r="Q15" s="1"/>
  <c r="P4"/>
  <c r="Q14" s="1"/>
  <c r="C30" i="131"/>
  <c r="D31"/>
  <c r="D28"/>
  <c r="D29"/>
  <c r="D30"/>
  <c r="D27"/>
  <c r="C28"/>
  <c r="C29"/>
  <c r="C31"/>
  <c r="C27"/>
  <c r="D12"/>
  <c r="D13"/>
  <c r="D14"/>
  <c r="D15"/>
  <c r="D16"/>
  <c r="D17"/>
  <c r="D18"/>
  <c r="D19"/>
  <c r="D11"/>
  <c r="A1" i="163"/>
  <c r="B1"/>
  <c r="C1"/>
  <c r="A2"/>
  <c r="B2"/>
  <c r="C2"/>
  <c r="D20" i="162" s="1"/>
  <c r="A3" i="163"/>
  <c r="D10" i="162" s="1"/>
  <c r="B3" i="163"/>
  <c r="C3"/>
  <c r="A4"/>
  <c r="G10" i="162" s="1"/>
  <c r="B4" i="163"/>
  <c r="C4"/>
  <c r="A5"/>
  <c r="B5"/>
  <c r="C5"/>
  <c r="A6"/>
  <c r="B6"/>
  <c r="C6"/>
  <c r="A7"/>
  <c r="B7"/>
  <c r="C7"/>
  <c r="A8"/>
  <c r="B8"/>
  <c r="C8"/>
  <c r="A9"/>
  <c r="B9"/>
  <c r="C9"/>
  <c r="A10"/>
  <c r="B10"/>
  <c r="C10"/>
  <c r="A11"/>
  <c r="B11"/>
  <c r="C11"/>
  <c r="A12"/>
  <c r="B12"/>
  <c r="C12"/>
  <c r="A13"/>
  <c r="B13"/>
  <c r="C13"/>
  <c r="A14"/>
  <c r="B14"/>
  <c r="C14"/>
  <c r="A15"/>
  <c r="B15"/>
  <c r="C15"/>
  <c r="A16"/>
  <c r="B16"/>
  <c r="C16"/>
  <c r="A17"/>
  <c r="B17"/>
  <c r="C17"/>
  <c r="A18"/>
  <c r="B18"/>
  <c r="C18"/>
  <c r="A19"/>
  <c r="B19"/>
  <c r="C19"/>
  <c r="A20"/>
  <c r="B20"/>
  <c r="C20"/>
  <c r="A21"/>
  <c r="B21"/>
  <c r="C21"/>
  <c r="A22"/>
  <c r="B22"/>
  <c r="C22"/>
  <c r="A23"/>
  <c r="B23"/>
  <c r="C23"/>
  <c r="A24"/>
  <c r="B24"/>
  <c r="C24"/>
  <c r="A25"/>
  <c r="B25"/>
  <c r="C25"/>
  <c r="A26"/>
  <c r="B26"/>
  <c r="C26"/>
  <c r="A27"/>
  <c r="B27"/>
  <c r="C27"/>
  <c r="A28"/>
  <c r="B28"/>
  <c r="C28"/>
  <c r="A29"/>
  <c r="B29"/>
  <c r="C29"/>
  <c r="A30"/>
  <c r="B30"/>
  <c r="C30"/>
  <c r="A31"/>
  <c r="B31"/>
  <c r="C31"/>
  <c r="A32"/>
  <c r="B32"/>
  <c r="C32"/>
  <c r="A33"/>
  <c r="B33"/>
  <c r="C33"/>
  <c r="A34"/>
  <c r="B34"/>
  <c r="C34"/>
  <c r="A35"/>
  <c r="B35"/>
  <c r="C35"/>
  <c r="A36"/>
  <c r="B36"/>
  <c r="C36"/>
  <c r="A37"/>
  <c r="B37"/>
  <c r="C37"/>
  <c r="A38"/>
  <c r="B38"/>
  <c r="C38"/>
  <c r="A39"/>
  <c r="B39"/>
  <c r="C39"/>
  <c r="A40"/>
  <c r="B40"/>
  <c r="C40"/>
  <c r="A41"/>
  <c r="B41"/>
  <c r="C41"/>
  <c r="A42"/>
  <c r="B42"/>
  <c r="C42"/>
  <c r="A43"/>
  <c r="B43"/>
  <c r="C43"/>
  <c r="A44"/>
  <c r="B44"/>
  <c r="C44"/>
  <c r="A45"/>
  <c r="B45"/>
  <c r="C45"/>
  <c r="A46"/>
  <c r="B46"/>
  <c r="C46"/>
  <c r="A47"/>
  <c r="B47"/>
  <c r="C47"/>
  <c r="A48"/>
  <c r="B48"/>
  <c r="C48"/>
  <c r="A49"/>
  <c r="B49"/>
  <c r="C49"/>
  <c r="A50"/>
  <c r="B50"/>
  <c r="C50"/>
  <c r="A51"/>
  <c r="B51"/>
  <c r="C51"/>
  <c r="A52"/>
  <c r="B52"/>
  <c r="C52"/>
  <c r="A53"/>
  <c r="B53"/>
  <c r="C53"/>
  <c r="A54"/>
  <c r="B54"/>
  <c r="C54"/>
  <c r="A55"/>
  <c r="B55"/>
  <c r="C55"/>
  <c r="A56"/>
  <c r="B56"/>
  <c r="C56"/>
  <c r="A57"/>
  <c r="B57"/>
  <c r="C57"/>
  <c r="A58"/>
  <c r="B58"/>
  <c r="C58"/>
  <c r="A59"/>
  <c r="B59"/>
  <c r="C59"/>
  <c r="A60"/>
  <c r="B60"/>
  <c r="C60"/>
  <c r="A61"/>
  <c r="B61"/>
  <c r="C61"/>
  <c r="F10" i="162"/>
  <c r="D11"/>
  <c r="H11"/>
  <c r="F12"/>
  <c r="D13"/>
  <c r="H13"/>
  <c r="F14"/>
  <c r="D15"/>
  <c r="H15"/>
  <c r="F16"/>
  <c r="D17"/>
  <c r="H17"/>
  <c r="E20"/>
  <c r="F20"/>
  <c r="D21"/>
  <c r="H21"/>
  <c r="F22"/>
  <c r="D25"/>
  <c r="H25"/>
  <c r="F26"/>
  <c r="D27"/>
  <c r="H27"/>
  <c r="F28"/>
  <c r="BO6" i="164" l="1"/>
  <c r="BN6"/>
  <c r="P21"/>
  <c r="P22" s="1"/>
  <c r="P58" s="1"/>
  <c r="P59" s="1"/>
  <c r="BO8"/>
  <c r="BO9"/>
  <c r="BN8"/>
  <c r="BN9"/>
  <c r="BO7"/>
  <c r="P9"/>
  <c r="P10"/>
  <c r="Q16"/>
  <c r="Q17" s="1"/>
  <c r="BM9"/>
  <c r="P16"/>
  <c r="P52"/>
  <c r="E75" s="1"/>
  <c r="Q19"/>
  <c r="P20" s="1"/>
  <c r="P53"/>
  <c r="C76" s="1"/>
  <c r="P50"/>
  <c r="C73" s="1"/>
  <c r="BP8"/>
  <c r="BL8"/>
  <c r="BN11"/>
  <c r="C78"/>
  <c r="BA29" s="1"/>
  <c r="D78"/>
  <c r="BP7"/>
  <c r="BL7"/>
  <c r="P30"/>
  <c r="E78"/>
  <c r="BL11"/>
  <c r="P25"/>
  <c r="Q30"/>
  <c r="BP6"/>
  <c r="BL6"/>
  <c r="P7"/>
  <c r="Q25"/>
  <c r="BN7"/>
  <c r="BP11"/>
  <c r="P14"/>
  <c r="P15"/>
  <c r="BL9"/>
  <c r="G28" i="162"/>
  <c r="E27"/>
  <c r="I25"/>
  <c r="G22"/>
  <c r="E21"/>
  <c r="I17"/>
  <c r="G16"/>
  <c r="E15"/>
  <c r="I13"/>
  <c r="G12"/>
  <c r="E11"/>
  <c r="I28"/>
  <c r="E28"/>
  <c r="G27"/>
  <c r="I26"/>
  <c r="E26"/>
  <c r="G25"/>
  <c r="I22"/>
  <c r="E22"/>
  <c r="G21"/>
  <c r="I20"/>
  <c r="G17"/>
  <c r="I16"/>
  <c r="E16"/>
  <c r="G15"/>
  <c r="I14"/>
  <c r="E14"/>
  <c r="G13"/>
  <c r="I12"/>
  <c r="E12"/>
  <c r="G11"/>
  <c r="I10"/>
  <c r="E10"/>
  <c r="I27"/>
  <c r="G26"/>
  <c r="E25"/>
  <c r="I21"/>
  <c r="G20"/>
  <c r="E17"/>
  <c r="I15"/>
  <c r="G14"/>
  <c r="E13"/>
  <c r="I11"/>
  <c r="H28"/>
  <c r="D28"/>
  <c r="F27"/>
  <c r="H26"/>
  <c r="D26"/>
  <c r="F25"/>
  <c r="H22"/>
  <c r="D22"/>
  <c r="F21"/>
  <c r="H20"/>
  <c r="F17"/>
  <c r="H16"/>
  <c r="D16"/>
  <c r="F15"/>
  <c r="H14"/>
  <c r="D14"/>
  <c r="F13"/>
  <c r="H12"/>
  <c r="D12"/>
  <c r="F11"/>
  <c r="H10"/>
  <c r="C82" i="164" l="1"/>
  <c r="P8"/>
  <c r="P11"/>
  <c r="P17"/>
  <c r="P28" s="1"/>
  <c r="D75"/>
  <c r="C75"/>
  <c r="BA28" s="1"/>
  <c r="C83"/>
  <c r="BA31" s="1"/>
  <c r="D83"/>
  <c r="E83"/>
  <c r="Q28"/>
  <c r="Q23"/>
  <c r="BN8" i="131"/>
  <c r="K25"/>
  <c r="P55"/>
  <c r="C78" s="1"/>
  <c r="BA29" s="1"/>
  <c r="J24"/>
  <c r="I24"/>
  <c r="H24"/>
  <c r="G24"/>
  <c r="F24"/>
  <c r="P4"/>
  <c r="P14" s="1"/>
  <c r="P5"/>
  <c r="P15" s="1"/>
  <c r="BL9"/>
  <c r="BM9"/>
  <c r="BN9"/>
  <c r="BO9"/>
  <c r="BP9"/>
  <c r="BL10"/>
  <c r="BM10"/>
  <c r="BN10"/>
  <c r="BO10"/>
  <c r="BP10"/>
  <c r="BL11"/>
  <c r="BM11"/>
  <c r="BN11"/>
  <c r="BO11"/>
  <c r="BP11"/>
  <c r="BL12"/>
  <c r="BM12"/>
  <c r="BN12"/>
  <c r="BO12"/>
  <c r="BP12"/>
  <c r="BL13"/>
  <c r="BM13"/>
  <c r="BN13"/>
  <c r="BO13"/>
  <c r="BP13"/>
  <c r="Q14"/>
  <c r="R14"/>
  <c r="S14"/>
  <c r="T14"/>
  <c r="U14"/>
  <c r="V14"/>
  <c r="W14"/>
  <c r="BL14"/>
  <c r="BM14"/>
  <c r="BN14"/>
  <c r="BO14"/>
  <c r="BP14"/>
  <c r="Q15"/>
  <c r="R15"/>
  <c r="S15"/>
  <c r="T15"/>
  <c r="U15"/>
  <c r="V15"/>
  <c r="W15"/>
  <c r="BL15"/>
  <c r="BM15"/>
  <c r="BN15"/>
  <c r="BO15"/>
  <c r="BP15"/>
  <c r="R16"/>
  <c r="S16"/>
  <c r="T16"/>
  <c r="U16"/>
  <c r="V16"/>
  <c r="W16"/>
  <c r="BL16"/>
  <c r="BM16"/>
  <c r="BN16"/>
  <c r="BO16"/>
  <c r="BP16"/>
  <c r="R17"/>
  <c r="S17"/>
  <c r="T17"/>
  <c r="U17"/>
  <c r="V17"/>
  <c r="W17"/>
  <c r="BL17"/>
  <c r="BM17"/>
  <c r="BN17"/>
  <c r="BO17"/>
  <c r="BP17"/>
  <c r="BL18"/>
  <c r="BM18"/>
  <c r="BN18"/>
  <c r="BO18"/>
  <c r="BP18"/>
  <c r="P19"/>
  <c r="Q19"/>
  <c r="R19"/>
  <c r="S19"/>
  <c r="T19"/>
  <c r="U19"/>
  <c r="V19"/>
  <c r="W19"/>
  <c r="BL19"/>
  <c r="BM19"/>
  <c r="BN19"/>
  <c r="BO19"/>
  <c r="BP19"/>
  <c r="BL20"/>
  <c r="BM20"/>
  <c r="BN20"/>
  <c r="BO20"/>
  <c r="BP20"/>
  <c r="P21"/>
  <c r="Q21"/>
  <c r="R21"/>
  <c r="S21"/>
  <c r="T21"/>
  <c r="U21"/>
  <c r="V21"/>
  <c r="W21"/>
  <c r="BL21"/>
  <c r="BM21"/>
  <c r="BN21"/>
  <c r="BO21"/>
  <c r="BP21"/>
  <c r="BL22"/>
  <c r="BM22"/>
  <c r="BN22"/>
  <c r="BO22"/>
  <c r="BP22"/>
  <c r="R23"/>
  <c r="S23"/>
  <c r="T23"/>
  <c r="U23"/>
  <c r="V23"/>
  <c r="W23"/>
  <c r="BL23"/>
  <c r="BM23"/>
  <c r="BN23"/>
  <c r="BO23"/>
  <c r="BP23"/>
  <c r="C24"/>
  <c r="D24"/>
  <c r="E24"/>
  <c r="R25"/>
  <c r="S25"/>
  <c r="T25"/>
  <c r="U25"/>
  <c r="V25"/>
  <c r="W25"/>
  <c r="BL26"/>
  <c r="BM26"/>
  <c r="BL27"/>
  <c r="BM27"/>
  <c r="R28"/>
  <c r="S28"/>
  <c r="T28"/>
  <c r="U28"/>
  <c r="V28"/>
  <c r="W28"/>
  <c r="BL28"/>
  <c r="BM28"/>
  <c r="BL29"/>
  <c r="BM29"/>
  <c r="R30"/>
  <c r="S30"/>
  <c r="T30"/>
  <c r="U30"/>
  <c r="V30"/>
  <c r="W30"/>
  <c r="P18" i="164" l="1"/>
  <c r="P38" s="1"/>
  <c r="C60" s="1"/>
  <c r="P23"/>
  <c r="P24" s="1"/>
  <c r="P29"/>
  <c r="BP8" i="131"/>
  <c r="BO8"/>
  <c r="BL8"/>
  <c r="BM8"/>
  <c r="BO7"/>
  <c r="BM6"/>
  <c r="P22"/>
  <c r="P58" s="1"/>
  <c r="C82" s="1"/>
  <c r="P20"/>
  <c r="E78"/>
  <c r="D78"/>
  <c r="P40" i="164" l="1"/>
  <c r="Q31" s="1"/>
  <c r="P57"/>
  <c r="C81" s="1"/>
  <c r="P54"/>
  <c r="C77" s="1"/>
  <c r="P51"/>
  <c r="C74" s="1"/>
  <c r="P41"/>
  <c r="W26" s="1"/>
  <c r="R31"/>
  <c r="Q16" i="131"/>
  <c r="Q17" s="1"/>
  <c r="P30"/>
  <c r="Q30"/>
  <c r="Q25"/>
  <c r="P16"/>
  <c r="BO6"/>
  <c r="BP6"/>
  <c r="BL6"/>
  <c r="BN6"/>
  <c r="P53"/>
  <c r="C76" s="1"/>
  <c r="P25"/>
  <c r="P10"/>
  <c r="BN7"/>
  <c r="BL7"/>
  <c r="P7"/>
  <c r="BM7"/>
  <c r="P9"/>
  <c r="P50"/>
  <c r="C73" s="1"/>
  <c r="BP7"/>
  <c r="P95" i="164" l="1"/>
  <c r="R99"/>
  <c r="P84"/>
  <c r="E61"/>
  <c r="P89"/>
  <c r="Q84"/>
  <c r="S78"/>
  <c r="V31"/>
  <c r="S62"/>
  <c r="P77"/>
  <c r="P106"/>
  <c r="P81"/>
  <c r="P113"/>
  <c r="P111"/>
  <c r="P79"/>
  <c r="T31"/>
  <c r="P109"/>
  <c r="P65"/>
  <c r="P92"/>
  <c r="P76"/>
  <c r="P103"/>
  <c r="P94"/>
  <c r="P78"/>
  <c r="W31"/>
  <c r="P114"/>
  <c r="P102"/>
  <c r="C86"/>
  <c r="P62"/>
  <c r="P91"/>
  <c r="AW34" s="1"/>
  <c r="P86"/>
  <c r="P73"/>
  <c r="C89" s="1"/>
  <c r="S31"/>
  <c r="S93"/>
  <c r="Q91"/>
  <c r="P88"/>
  <c r="P63"/>
  <c r="P82"/>
  <c r="B89"/>
  <c r="P115"/>
  <c r="P66"/>
  <c r="S86"/>
  <c r="P101"/>
  <c r="S63"/>
  <c r="S92"/>
  <c r="T26"/>
  <c r="C65"/>
  <c r="P26"/>
  <c r="U31"/>
  <c r="C87"/>
  <c r="S85"/>
  <c r="P105"/>
  <c r="C61"/>
  <c r="BL24" s="1"/>
  <c r="P80"/>
  <c r="P87"/>
  <c r="P110"/>
  <c r="P64"/>
  <c r="P85"/>
  <c r="P93"/>
  <c r="D61"/>
  <c r="D91"/>
  <c r="V26"/>
  <c r="U26"/>
  <c r="P72"/>
  <c r="C88" s="1"/>
  <c r="D62"/>
  <c r="Q26"/>
  <c r="S26"/>
  <c r="C62"/>
  <c r="BL25" s="1"/>
  <c r="C66"/>
  <c r="P31"/>
  <c r="P69"/>
  <c r="S70" s="1"/>
  <c r="C95" s="1"/>
  <c r="E100" s="1"/>
  <c r="B88"/>
  <c r="P107"/>
  <c r="R26"/>
  <c r="S79"/>
  <c r="P68"/>
  <c r="P70" s="1"/>
  <c r="C96" s="1"/>
  <c r="C100" s="1"/>
  <c r="E62"/>
  <c r="AU36"/>
  <c r="AK34"/>
  <c r="AO33"/>
  <c r="AU32"/>
  <c r="AA32"/>
  <c r="AA31"/>
  <c r="AE30"/>
  <c r="AL29"/>
  <c r="AP28"/>
  <c r="AV27"/>
  <c r="AB27"/>
  <c r="AB26"/>
  <c r="AF25"/>
  <c r="AT34"/>
  <c r="AX33"/>
  <c r="AD33"/>
  <c r="AJ32"/>
  <c r="AJ31"/>
  <c r="AN30"/>
  <c r="AQ29"/>
  <c r="AQ28"/>
  <c r="AX36"/>
  <c r="AJ34"/>
  <c r="AJ33"/>
  <c r="AP32"/>
  <c r="AX31"/>
  <c r="Z31"/>
  <c r="AH30"/>
  <c r="AO29"/>
  <c r="AS28"/>
  <c r="Y28"/>
  <c r="AE27"/>
  <c r="AE26"/>
  <c r="AI25"/>
  <c r="AM24"/>
  <c r="AM23"/>
  <c r="AT22"/>
  <c r="Z22"/>
  <c r="AD21"/>
  <c r="AK20"/>
  <c r="AS19"/>
  <c r="AW18"/>
  <c r="AC18"/>
  <c r="AL17"/>
  <c r="AP16"/>
  <c r="AX15"/>
  <c r="AD15"/>
  <c r="AH14"/>
  <c r="AP13"/>
  <c r="AX12"/>
  <c r="Z12"/>
  <c r="AH11"/>
  <c r="AM10"/>
  <c r="AQ9"/>
  <c r="AA9"/>
  <c r="AI8"/>
  <c r="AQ7"/>
  <c r="AA7"/>
  <c r="AI6"/>
  <c r="AQ33"/>
  <c r="AO31"/>
  <c r="AB29"/>
  <c r="AD27"/>
  <c r="Z26"/>
  <c r="AT24"/>
  <c r="Y24"/>
  <c r="AG23"/>
  <c r="AM22"/>
  <c r="AN21"/>
  <c r="AR20"/>
  <c r="AT19"/>
  <c r="AT18"/>
  <c r="AV17"/>
  <c r="AA17"/>
  <c r="AF16"/>
  <c r="AK15"/>
  <c r="AQ14"/>
  <c r="AV13"/>
  <c r="AA13"/>
  <c r="AG12"/>
  <c r="AM11"/>
  <c r="AP10"/>
  <c r="AV9"/>
  <c r="Z9"/>
  <c r="AF8"/>
  <c r="AK7"/>
  <c r="AP6"/>
  <c r="AW5"/>
  <c r="AG5"/>
  <c r="AP27"/>
  <c r="AL26"/>
  <c r="AH25"/>
  <c r="AL24"/>
  <c r="AJ23"/>
  <c r="AO22"/>
  <c r="AV21"/>
  <c r="AA21"/>
  <c r="AV19"/>
  <c r="AL18"/>
  <c r="AC17"/>
  <c r="AC15"/>
  <c r="AU12"/>
  <c r="AU11"/>
  <c r="AX10"/>
  <c r="AS9"/>
  <c r="AX7"/>
  <c r="AC6"/>
  <c r="AS36"/>
  <c r="AW32"/>
  <c r="AO30"/>
  <c r="AR28"/>
  <c r="AG27"/>
  <c r="AC26"/>
  <c r="Y25"/>
  <c r="AF24"/>
  <c r="AN23"/>
  <c r="AN22"/>
  <c r="AO21"/>
  <c r="AT20"/>
  <c r="AU19"/>
  <c r="Z19"/>
  <c r="AE18"/>
  <c r="AM17"/>
  <c r="AR16"/>
  <c r="AW15"/>
  <c r="AB15"/>
  <c r="AG14"/>
  <c r="AM13"/>
  <c r="AN12"/>
  <c r="AN11"/>
  <c r="AR10"/>
  <c r="AW9"/>
  <c r="AB9"/>
  <c r="AG8"/>
  <c r="AL7"/>
  <c r="AR6"/>
  <c r="AX5"/>
  <c r="AH5"/>
  <c r="AM34"/>
  <c r="AG31"/>
  <c r="AV28"/>
  <c r="AJ11"/>
  <c r="AX8"/>
  <c r="AN7"/>
  <c r="AH6"/>
  <c r="AA5"/>
  <c r="AO32"/>
  <c r="AG30"/>
  <c r="AK27"/>
  <c r="AG26"/>
  <c r="AC25"/>
  <c r="AH24"/>
  <c r="AK23"/>
  <c r="AQ22"/>
  <c r="AW21"/>
  <c r="AB21"/>
  <c r="AF20"/>
  <c r="AM19"/>
  <c r="AR18"/>
  <c r="AU17"/>
  <c r="Y17"/>
  <c r="AE16"/>
  <c r="AJ15"/>
  <c r="AO14"/>
  <c r="AE14"/>
  <c r="AU13"/>
  <c r="AJ13"/>
  <c r="Y13"/>
  <c r="AQ12"/>
  <c r="AF12"/>
  <c r="AV11"/>
  <c r="AK11"/>
  <c r="AA11"/>
  <c r="AO10"/>
  <c r="AD10"/>
  <c r="AT9"/>
  <c r="AJ9"/>
  <c r="Y9"/>
  <c r="AO8"/>
  <c r="AD8"/>
  <c r="AT7"/>
  <c r="AJ7"/>
  <c r="Y7"/>
  <c r="AO6"/>
  <c r="AD6"/>
  <c r="AV5"/>
  <c r="AN5"/>
  <c r="AF5"/>
  <c r="AB24"/>
  <c r="Z20"/>
  <c r="AF19"/>
  <c r="AA18"/>
  <c r="AS16"/>
  <c r="AS15"/>
  <c r="AS14"/>
  <c r="AS13"/>
  <c r="P99"/>
  <c r="C91" s="1"/>
  <c r="P8" i="131"/>
  <c r="Q23"/>
  <c r="Q28"/>
  <c r="P17"/>
  <c r="P28" s="1"/>
  <c r="P11"/>
  <c r="AI13" i="164" l="1"/>
  <c r="AI15"/>
  <c r="AI17"/>
  <c r="AQ19"/>
  <c r="AB5"/>
  <c r="AR5"/>
  <c r="AJ6"/>
  <c r="AD7"/>
  <c r="Y8"/>
  <c r="AT8"/>
  <c r="AO9"/>
  <c r="AJ10"/>
  <c r="AF11"/>
  <c r="AA12"/>
  <c r="AV12"/>
  <c r="AO13"/>
  <c r="AJ14"/>
  <c r="AE15"/>
  <c r="Y16"/>
  <c r="AU16"/>
  <c r="AO17"/>
  <c r="AM18"/>
  <c r="AH19"/>
  <c r="AA20"/>
  <c r="AV20"/>
  <c r="AR21"/>
  <c r="AK22"/>
  <c r="AF23"/>
  <c r="AC24"/>
  <c r="AX24"/>
  <c r="Y26"/>
  <c r="AC27"/>
  <c r="AN29"/>
  <c r="Y32"/>
  <c r="AQ34"/>
  <c r="Y6"/>
  <c r="AC7"/>
  <c r="AS8"/>
  <c r="AS10"/>
  <c r="AF28"/>
  <c r="AS30"/>
  <c r="AI33"/>
  <c r="AD5"/>
  <c r="AT5"/>
  <c r="AL6"/>
  <c r="AG7"/>
  <c r="AB8"/>
  <c r="AW8"/>
  <c r="AR9"/>
  <c r="AL10"/>
  <c r="AI11"/>
  <c r="AI12"/>
  <c r="AG13"/>
  <c r="AB14"/>
  <c r="AW14"/>
  <c r="AR15"/>
  <c r="AM16"/>
  <c r="AG17"/>
  <c r="Z18"/>
  <c r="AU18"/>
  <c r="AP19"/>
  <c r="AN20"/>
  <c r="AJ21"/>
  <c r="AI22"/>
  <c r="AH23"/>
  <c r="Z24"/>
  <c r="AV24"/>
  <c r="AW25"/>
  <c r="Y27"/>
  <c r="AB28"/>
  <c r="Y30"/>
  <c r="AG32"/>
  <c r="AI34"/>
  <c r="AU5"/>
  <c r="AS7"/>
  <c r="AN9"/>
  <c r="AN10"/>
  <c r="AO11"/>
  <c r="AO12"/>
  <c r="AN14"/>
  <c r="AN16"/>
  <c r="AF18"/>
  <c r="AL19"/>
  <c r="AP20"/>
  <c r="AQ21"/>
  <c r="AJ22"/>
  <c r="AD23"/>
  <c r="AG24"/>
  <c r="Z25"/>
  <c r="AD26"/>
  <c r="AH27"/>
  <c r="AC5"/>
  <c r="AS5"/>
  <c r="AK6"/>
  <c r="AF7"/>
  <c r="Z8"/>
  <c r="AV8"/>
  <c r="AP9"/>
  <c r="AK10"/>
  <c r="AG11"/>
  <c r="AB12"/>
  <c r="AW12"/>
  <c r="AQ13"/>
  <c r="AK14"/>
  <c r="AF15"/>
  <c r="AA16"/>
  <c r="AV16"/>
  <c r="AQ17"/>
  <c r="AN18"/>
  <c r="AN19"/>
  <c r="AM20"/>
  <c r="AI21"/>
  <c r="AG22"/>
  <c r="AB23"/>
  <c r="AW23"/>
  <c r="AO24"/>
  <c r="AT25"/>
  <c r="AX26"/>
  <c r="AN28"/>
  <c r="Y31"/>
  <c r="AA33"/>
  <c r="AE6"/>
  <c r="AU6"/>
  <c r="AM7"/>
  <c r="AE8"/>
  <c r="AU8"/>
  <c r="AM9"/>
  <c r="AE10"/>
  <c r="AD11"/>
  <c r="AX11"/>
  <c r="AP12"/>
  <c r="AL13"/>
  <c r="AD14"/>
  <c r="AX14"/>
  <c r="AT15"/>
  <c r="AL16"/>
  <c r="AD17"/>
  <c r="Y18"/>
  <c r="AS18"/>
  <c r="AK19"/>
  <c r="AG20"/>
  <c r="Z21"/>
  <c r="AT21"/>
  <c r="AP22"/>
  <c r="AI23"/>
  <c r="AE24"/>
  <c r="AE25"/>
  <c r="AA26"/>
  <c r="AU26"/>
  <c r="AU27"/>
  <c r="AO28"/>
  <c r="AG29"/>
  <c r="AD30"/>
  <c r="AX30"/>
  <c r="AP31"/>
  <c r="AL32"/>
  <c r="AF33"/>
  <c r="AB34"/>
  <c r="AT36"/>
  <c r="AM28"/>
  <c r="AI29"/>
  <c r="AJ30"/>
  <c r="AF31"/>
  <c r="AB32"/>
  <c r="Z33"/>
  <c r="AT33"/>
  <c r="AL34"/>
  <c r="AB25"/>
  <c r="AV25"/>
  <c r="AR26"/>
  <c r="AR27"/>
  <c r="AL28"/>
  <c r="AD29"/>
  <c r="AA30"/>
  <c r="AU30"/>
  <c r="AQ31"/>
  <c r="AQ32"/>
  <c r="AK33"/>
  <c r="AC34"/>
  <c r="AQ36"/>
  <c r="O97"/>
  <c r="AU15"/>
  <c r="AJ17"/>
  <c r="AX19"/>
  <c r="AM21"/>
  <c r="Z23"/>
  <c r="AS25"/>
  <c r="AK31"/>
  <c r="AQ5"/>
  <c r="AN8"/>
  <c r="AH10"/>
  <c r="AC13"/>
  <c r="AC30"/>
  <c r="AK32"/>
  <c r="Z5"/>
  <c r="AG6"/>
  <c r="AB7"/>
  <c r="AW7"/>
  <c r="AR8"/>
  <c r="AL9"/>
  <c r="AG10"/>
  <c r="AC11"/>
  <c r="AC12"/>
  <c r="AB13"/>
  <c r="AW13"/>
  <c r="AR14"/>
  <c r="AM15"/>
  <c r="AG16"/>
  <c r="AB17"/>
  <c r="AW17"/>
  <c r="AP18"/>
  <c r="AJ19"/>
  <c r="AI20"/>
  <c r="AE21"/>
  <c r="AC22"/>
  <c r="AC23"/>
  <c r="AX23"/>
  <c r="AP24"/>
  <c r="AO25"/>
  <c r="AS26"/>
  <c r="AW27"/>
  <c r="AV29"/>
  <c r="AS31"/>
  <c r="AU33"/>
  <c r="AM5"/>
  <c r="AH7"/>
  <c r="AH9"/>
  <c r="AC10"/>
  <c r="AE11"/>
  <c r="AE12"/>
  <c r="AC14"/>
  <c r="AC16"/>
  <c r="AS17"/>
  <c r="AA19"/>
  <c r="AJ20"/>
  <c r="AK21"/>
  <c r="AE22"/>
  <c r="Y23"/>
  <c r="AT23"/>
  <c r="AW24"/>
  <c r="AX25"/>
  <c r="Z27"/>
  <c r="Y5"/>
  <c r="AO5"/>
  <c r="AF6"/>
  <c r="Z7"/>
  <c r="AV7"/>
  <c r="AP8"/>
  <c r="AK9"/>
  <c r="AF10"/>
  <c r="AB11"/>
  <c r="AW11"/>
  <c r="AR12"/>
  <c r="AK13"/>
  <c r="AF14"/>
  <c r="AA15"/>
  <c r="AV15"/>
  <c r="AQ16"/>
  <c r="AK17"/>
  <c r="AI18"/>
  <c r="AI19"/>
  <c r="AH20"/>
  <c r="AC21"/>
  <c r="AB22"/>
  <c r="AW22"/>
  <c r="AR23"/>
  <c r="AJ24"/>
  <c r="AL25"/>
  <c r="AP26"/>
  <c r="AT27"/>
  <c r="AK30"/>
  <c r="AS32"/>
  <c r="AU34"/>
  <c r="AQ6"/>
  <c r="AI7"/>
  <c r="AA8"/>
  <c r="AQ8"/>
  <c r="AI9"/>
  <c r="AA10"/>
  <c r="AU10"/>
  <c r="AT11"/>
  <c r="AL12"/>
  <c r="AD13"/>
  <c r="Z14"/>
  <c r="AT14"/>
  <c r="AL15"/>
  <c r="AH16"/>
  <c r="Z17"/>
  <c r="AT17"/>
  <c r="AO18"/>
  <c r="AG19"/>
  <c r="Y20"/>
  <c r="AW20"/>
  <c r="AP21"/>
  <c r="AH22"/>
  <c r="AE23"/>
  <c r="AA24"/>
  <c r="AU24"/>
  <c r="AU25"/>
  <c r="AQ26"/>
  <c r="AM27"/>
  <c r="AK28"/>
  <c r="AC29"/>
  <c r="AW29"/>
  <c r="AT30"/>
  <c r="AL31"/>
  <c r="AD32"/>
  <c r="AB33"/>
  <c r="AV33"/>
  <c r="AR34"/>
  <c r="AI28"/>
  <c r="AE29"/>
  <c r="AB30"/>
  <c r="AB31"/>
  <c r="AV31"/>
  <c r="AR32"/>
  <c r="AP33"/>
  <c r="AH34"/>
  <c r="AR36"/>
  <c r="AR25"/>
  <c r="AN26"/>
  <c r="AJ27"/>
  <c r="AH28"/>
  <c r="Z29"/>
  <c r="AT29"/>
  <c r="AQ30"/>
  <c r="AM31"/>
  <c r="AI32"/>
  <c r="AG33"/>
  <c r="Y34"/>
  <c r="AS34"/>
  <c r="Y15"/>
  <c r="AO16"/>
  <c r="AH18"/>
  <c r="AB19"/>
  <c r="AQ20"/>
  <c r="AF22"/>
  <c r="AV23"/>
  <c r="AS24"/>
  <c r="AW26"/>
  <c r="AJ28"/>
  <c r="AA34"/>
  <c r="AX6"/>
  <c r="AP5"/>
  <c r="AI14"/>
  <c r="AI16"/>
  <c r="AQ18"/>
  <c r="AU20"/>
  <c r="AJ5"/>
  <c r="Z6"/>
  <c r="AT6"/>
  <c r="AO7"/>
  <c r="AJ8"/>
  <c r="AD9"/>
  <c r="Y10"/>
  <c r="AT10"/>
  <c r="AQ11"/>
  <c r="AK12"/>
  <c r="AE13"/>
  <c r="Y14"/>
  <c r="AU14"/>
  <c r="AO15"/>
  <c r="AJ16"/>
  <c r="AE17"/>
  <c r="AB18"/>
  <c r="AX18"/>
  <c r="AR19"/>
  <c r="AL20"/>
  <c r="AG21"/>
  <c r="AA22"/>
  <c r="AV22"/>
  <c r="AP23"/>
  <c r="AN24"/>
  <c r="AK25"/>
  <c r="AO26"/>
  <c r="AS27"/>
  <c r="AW30"/>
  <c r="AM33"/>
  <c r="AI5"/>
  <c r="AS6"/>
  <c r="AH8"/>
  <c r="AC9"/>
  <c r="AJ12"/>
  <c r="AJ29"/>
  <c r="AW31"/>
  <c r="AW36"/>
  <c r="AL5"/>
  <c r="AB6"/>
  <c r="AW6"/>
  <c r="AR7"/>
  <c r="AL8"/>
  <c r="AG9"/>
  <c r="AB10"/>
  <c r="AW10"/>
  <c r="AS11"/>
  <c r="AS12"/>
  <c r="AR13"/>
  <c r="AM14"/>
  <c r="AG15"/>
  <c r="AB16"/>
  <c r="AW16"/>
  <c r="AR17"/>
  <c r="AJ18"/>
  <c r="AE19"/>
  <c r="AD20"/>
  <c r="Y21"/>
  <c r="AU21"/>
  <c r="AS22"/>
  <c r="AS23"/>
  <c r="AK24"/>
  <c r="AG25"/>
  <c r="AK26"/>
  <c r="AO27"/>
  <c r="AF29"/>
  <c r="AC31"/>
  <c r="AE33"/>
  <c r="AE5"/>
  <c r="AN6"/>
  <c r="AC8"/>
  <c r="AX9"/>
  <c r="Y11"/>
  <c r="Y12"/>
  <c r="AN13"/>
  <c r="AN15"/>
  <c r="AN17"/>
  <c r="AV18"/>
  <c r="AE20"/>
  <c r="AF21"/>
  <c r="Y22"/>
  <c r="AU22"/>
  <c r="AO23"/>
  <c r="AR24"/>
  <c r="AP25"/>
  <c r="AT26"/>
  <c r="AX27"/>
  <c r="AK5"/>
  <c r="AA6"/>
  <c r="AV6"/>
  <c r="AP7"/>
  <c r="AK8"/>
  <c r="AF9"/>
  <c r="Z10"/>
  <c r="AV10"/>
  <c r="AR11"/>
  <c r="AM12"/>
  <c r="AF13"/>
  <c r="AA14"/>
  <c r="AV14"/>
  <c r="AQ15"/>
  <c r="AK16"/>
  <c r="AF17"/>
  <c r="AD18"/>
  <c r="AD19"/>
  <c r="AB20"/>
  <c r="AX20"/>
  <c r="AS21"/>
  <c r="AR22"/>
  <c r="AL23"/>
  <c r="AD24"/>
  <c r="AD25"/>
  <c r="AH26"/>
  <c r="AL27"/>
  <c r="AR29"/>
  <c r="AC32"/>
  <c r="AE34"/>
  <c r="AM6"/>
  <c r="AE7"/>
  <c r="AU7"/>
  <c r="AM8"/>
  <c r="AE9"/>
  <c r="AU9"/>
  <c r="AQ10"/>
  <c r="AL11"/>
  <c r="AH12"/>
  <c r="Z13"/>
  <c r="AT13"/>
  <c r="AP14"/>
  <c r="AH15"/>
  <c r="Z16"/>
  <c r="AX16"/>
  <c r="AP17"/>
  <c r="AG18"/>
  <c r="AC19"/>
  <c r="AW19"/>
  <c r="AO20"/>
  <c r="AL21"/>
  <c r="AD22"/>
  <c r="AX22"/>
  <c r="AU23"/>
  <c r="AQ24"/>
  <c r="AM25"/>
  <c r="AM26"/>
  <c r="AI27"/>
  <c r="AC28"/>
  <c r="Y29"/>
  <c r="AS29"/>
  <c r="AL30"/>
  <c r="AH31"/>
  <c r="Z32"/>
  <c r="AT32"/>
  <c r="AR33"/>
  <c r="AN34"/>
  <c r="AA28"/>
  <c r="AA29"/>
  <c r="AU29"/>
  <c r="AR30"/>
  <c r="AR31"/>
  <c r="AN32"/>
  <c r="AH33"/>
  <c r="AD34"/>
  <c r="AX34"/>
  <c r="AJ25"/>
  <c r="AJ26"/>
  <c r="AF27"/>
  <c r="Z28"/>
  <c r="AX28"/>
  <c r="AP29"/>
  <c r="AI30"/>
  <c r="AI31"/>
  <c r="AE32"/>
  <c r="Y33"/>
  <c r="AW33"/>
  <c r="AO34"/>
  <c r="P97"/>
  <c r="R97"/>
  <c r="P98"/>
  <c r="R96"/>
  <c r="O96"/>
  <c r="P96"/>
  <c r="R98"/>
  <c r="AI10"/>
  <c r="Z11"/>
  <c r="AP11"/>
  <c r="AD12"/>
  <c r="AT12"/>
  <c r="AH13"/>
  <c r="AX13"/>
  <c r="AL14"/>
  <c r="Z15"/>
  <c r="AP15"/>
  <c r="AD16"/>
  <c r="AT16"/>
  <c r="AH17"/>
  <c r="AX17"/>
  <c r="AK18"/>
  <c r="Y19"/>
  <c r="AO19"/>
  <c r="AC20"/>
  <c r="AS20"/>
  <c r="AH21"/>
  <c r="AX21"/>
  <c r="AL22"/>
  <c r="AA23"/>
  <c r="AQ23"/>
  <c r="AI24"/>
  <c r="AA25"/>
  <c r="AQ25"/>
  <c r="AI26"/>
  <c r="AA27"/>
  <c r="AQ27"/>
  <c r="AG28"/>
  <c r="AW28"/>
  <c r="AK29"/>
  <c r="Z30"/>
  <c r="AP30"/>
  <c r="AD31"/>
  <c r="AT31"/>
  <c r="AH32"/>
  <c r="AX32"/>
  <c r="AN33"/>
  <c r="AF34"/>
  <c r="AV34"/>
  <c r="AE28"/>
  <c r="AU28"/>
  <c r="AM29"/>
  <c r="AF30"/>
  <c r="AV30"/>
  <c r="AN31"/>
  <c r="AF32"/>
  <c r="AV32"/>
  <c r="AL33"/>
  <c r="Z34"/>
  <c r="AP34"/>
  <c r="AV36"/>
  <c r="AN25"/>
  <c r="AF26"/>
  <c r="AV26"/>
  <c r="AN27"/>
  <c r="AD28"/>
  <c r="AT28"/>
  <c r="AH29"/>
  <c r="AX29"/>
  <c r="AM30"/>
  <c r="AE31"/>
  <c r="AU31"/>
  <c r="AM32"/>
  <c r="AC33"/>
  <c r="AS33"/>
  <c r="AG34"/>
  <c r="P74"/>
  <c r="P32"/>
  <c r="P47" s="1"/>
  <c r="W35" s="1"/>
  <c r="P27"/>
  <c r="P44" s="1"/>
  <c r="T33" s="1"/>
  <c r="S71"/>
  <c r="C94" s="1"/>
  <c r="P71"/>
  <c r="C97" s="1"/>
  <c r="B103" s="1"/>
  <c r="AW35"/>
  <c r="AX35"/>
  <c r="AV35"/>
  <c r="AU35"/>
  <c r="P29" i="131"/>
  <c r="P23"/>
  <c r="P24" s="1"/>
  <c r="P18"/>
  <c r="P38" s="1"/>
  <c r="C60" s="1"/>
  <c r="C108" i="164" l="1"/>
  <c r="BA35" s="1"/>
  <c r="C90"/>
  <c r="BA33" s="1"/>
  <c r="C69"/>
  <c r="P45"/>
  <c r="D67" s="1"/>
  <c r="V33"/>
  <c r="U33"/>
  <c r="W33"/>
  <c r="P33"/>
  <c r="P35"/>
  <c r="S35"/>
  <c r="S33"/>
  <c r="R33"/>
  <c r="R35"/>
  <c r="T35"/>
  <c r="Q33"/>
  <c r="Q35"/>
  <c r="U35"/>
  <c r="V35"/>
  <c r="D103"/>
  <c r="C67"/>
  <c r="BA25" s="1"/>
  <c r="P40" i="131"/>
  <c r="D61" s="1"/>
  <c r="P57"/>
  <c r="P51"/>
  <c r="C74" s="1"/>
  <c r="P41"/>
  <c r="C62" s="1"/>
  <c r="BL25" s="1"/>
  <c r="P54"/>
  <c r="C77" s="1"/>
  <c r="P34" i="164" l="1"/>
  <c r="P43" s="1"/>
  <c r="P36"/>
  <c r="P46" s="1"/>
  <c r="C68" s="1"/>
  <c r="E67"/>
  <c r="C81" i="131"/>
  <c r="P59"/>
  <c r="D62"/>
  <c r="W26"/>
  <c r="C65"/>
  <c r="R26"/>
  <c r="U26"/>
  <c r="V26"/>
  <c r="C66"/>
  <c r="Q26"/>
  <c r="E62"/>
  <c r="P26"/>
  <c r="T26"/>
  <c r="P31"/>
  <c r="P76"/>
  <c r="E61"/>
  <c r="Q84"/>
  <c r="P84"/>
  <c r="S86"/>
  <c r="P103"/>
  <c r="P88"/>
  <c r="P89"/>
  <c r="P73"/>
  <c r="C89" s="1"/>
  <c r="P87"/>
  <c r="P91"/>
  <c r="AG5" s="1"/>
  <c r="P115"/>
  <c r="P86"/>
  <c r="P111"/>
  <c r="C86"/>
  <c r="P107"/>
  <c r="P78"/>
  <c r="U31"/>
  <c r="P77"/>
  <c r="P109"/>
  <c r="P80"/>
  <c r="Q91"/>
  <c r="S92"/>
  <c r="R99"/>
  <c r="P68"/>
  <c r="P64"/>
  <c r="P114"/>
  <c r="P92"/>
  <c r="C61"/>
  <c r="BL24" s="1"/>
  <c r="P63"/>
  <c r="S63"/>
  <c r="P113"/>
  <c r="V31"/>
  <c r="P65"/>
  <c r="S78"/>
  <c r="P94"/>
  <c r="P62"/>
  <c r="P82"/>
  <c r="S93"/>
  <c r="P102"/>
  <c r="B88"/>
  <c r="S31"/>
  <c r="P79"/>
  <c r="S79"/>
  <c r="P52"/>
  <c r="C75" s="1"/>
  <c r="BA28" s="1"/>
  <c r="T31"/>
  <c r="P81"/>
  <c r="P69"/>
  <c r="P110"/>
  <c r="S62"/>
  <c r="B89"/>
  <c r="P106"/>
  <c r="P72"/>
  <c r="C88" s="1"/>
  <c r="P105"/>
  <c r="P95"/>
  <c r="R31"/>
  <c r="W31"/>
  <c r="D91"/>
  <c r="Q31"/>
  <c r="P85"/>
  <c r="P101"/>
  <c r="P93"/>
  <c r="S85"/>
  <c r="P66"/>
  <c r="C87"/>
  <c r="S26"/>
  <c r="AO20"/>
  <c r="P48" i="164" l="1"/>
  <c r="C70" s="1"/>
  <c r="BA26" s="1"/>
  <c r="D83" i="131"/>
  <c r="E83"/>
  <c r="C83"/>
  <c r="BA31" s="1"/>
  <c r="P70"/>
  <c r="C96" s="1"/>
  <c r="C100" s="1"/>
  <c r="AX33"/>
  <c r="AD7"/>
  <c r="AV30"/>
  <c r="AN5"/>
  <c r="AX13"/>
  <c r="AU8"/>
  <c r="AH21"/>
  <c r="AF21"/>
  <c r="AE15"/>
  <c r="AQ14"/>
  <c r="AI19"/>
  <c r="AG7"/>
  <c r="AI18"/>
  <c r="AJ18"/>
  <c r="AC32"/>
  <c r="Y20"/>
  <c r="AK30"/>
  <c r="AQ22"/>
  <c r="AH12"/>
  <c r="AR17"/>
  <c r="AD13"/>
  <c r="AV20"/>
  <c r="AQ16"/>
  <c r="AF28"/>
  <c r="AF29"/>
  <c r="AO5"/>
  <c r="AR20"/>
  <c r="AD33"/>
  <c r="AU7"/>
  <c r="AJ11"/>
  <c r="AU28"/>
  <c r="AU12"/>
  <c r="AU11"/>
  <c r="AM34"/>
  <c r="AF34"/>
  <c r="P27"/>
  <c r="P44" s="1"/>
  <c r="P45" s="1"/>
  <c r="D67" s="1"/>
  <c r="Y22"/>
  <c r="AV16"/>
  <c r="AS19"/>
  <c r="Z27"/>
  <c r="Z16"/>
  <c r="AO30"/>
  <c r="AE9"/>
  <c r="Y31"/>
  <c r="AI17"/>
  <c r="AU6"/>
  <c r="AC30"/>
  <c r="AS33"/>
  <c r="P96"/>
  <c r="P71"/>
  <c r="C97" s="1"/>
  <c r="B103" s="1"/>
  <c r="O97"/>
  <c r="E75"/>
  <c r="P98"/>
  <c r="R97"/>
  <c r="P32"/>
  <c r="P47" s="1"/>
  <c r="V35" s="1"/>
  <c r="AT6"/>
  <c r="AU26"/>
  <c r="AV6"/>
  <c r="AF26"/>
  <c r="AM23"/>
  <c r="AX20"/>
  <c r="AL7"/>
  <c r="AX17"/>
  <c r="AV14"/>
  <c r="AI5"/>
  <c r="Y23"/>
  <c r="AC9"/>
  <c r="AC28"/>
  <c r="AA5"/>
  <c r="AA25"/>
  <c r="AB5"/>
  <c r="AN24"/>
  <c r="AJ17"/>
  <c r="AP19"/>
  <c r="AN31"/>
  <c r="AO16"/>
  <c r="AD12"/>
  <c r="AQ30"/>
  <c r="AL17"/>
  <c r="Z14"/>
  <c r="AQ13"/>
  <c r="AN33"/>
  <c r="AJ13"/>
  <c r="AG33"/>
  <c r="AV8"/>
  <c r="AK27"/>
  <c r="AH34"/>
  <c r="AP24"/>
  <c r="AU25"/>
  <c r="AJ34"/>
  <c r="AL28"/>
  <c r="AD17"/>
  <c r="AH23"/>
  <c r="AL32"/>
  <c r="AX11"/>
  <c r="AO8"/>
  <c r="AM19"/>
  <c r="AR21"/>
  <c r="AW10"/>
  <c r="Y25"/>
  <c r="AR23"/>
  <c r="AK17"/>
  <c r="AC13"/>
  <c r="AG22"/>
  <c r="AV11"/>
  <c r="AE17"/>
  <c r="AC11"/>
  <c r="AU16"/>
  <c r="AT7"/>
  <c r="AI11"/>
  <c r="AN30"/>
  <c r="AE8"/>
  <c r="AL27"/>
  <c r="Y34"/>
  <c r="AG29"/>
  <c r="AW13"/>
  <c r="AQ15"/>
  <c r="AX25"/>
  <c r="AK15"/>
  <c r="AW36"/>
  <c r="AD15"/>
  <c r="AT34"/>
  <c r="Z10"/>
  <c r="AW28"/>
  <c r="AO6"/>
  <c r="Z26"/>
  <c r="AL29"/>
  <c r="AP14"/>
  <c r="AN23"/>
  <c r="AF7"/>
  <c r="AP23"/>
  <c r="AM29"/>
  <c r="AX22"/>
  <c r="AH8"/>
  <c r="AG18"/>
  <c r="AA28"/>
  <c r="AF15"/>
  <c r="AN34"/>
  <c r="AB24"/>
  <c r="AO12"/>
  <c r="AP27"/>
  <c r="AT18"/>
  <c r="AT23"/>
  <c r="AQ11"/>
  <c r="AW34"/>
  <c r="AK20"/>
  <c r="AW25"/>
  <c r="AA7"/>
  <c r="AA29"/>
  <c r="AI20"/>
  <c r="AJ16"/>
  <c r="AT5"/>
  <c r="AM25"/>
  <c r="Z12"/>
  <c r="AR31"/>
  <c r="AP11"/>
  <c r="AK31"/>
  <c r="AW6"/>
  <c r="AS25"/>
  <c r="AJ26"/>
  <c r="AR22"/>
  <c r="AD23"/>
  <c r="AG27"/>
  <c r="AS17"/>
  <c r="AW29"/>
  <c r="AE22"/>
  <c r="AV10"/>
  <c r="AD30"/>
  <c r="AG10"/>
  <c r="AQ29"/>
  <c r="AC5"/>
  <c r="AG24"/>
  <c r="AX15"/>
  <c r="AB21"/>
  <c r="AR19"/>
  <c r="AE20"/>
  <c r="AQ34"/>
  <c r="AX31"/>
  <c r="AF19"/>
  <c r="AJ33"/>
  <c r="AV18"/>
  <c r="AS11"/>
  <c r="AK13"/>
  <c r="AJ32"/>
  <c r="AX9"/>
  <c r="AC29"/>
  <c r="AT11"/>
  <c r="AL18"/>
  <c r="AI8"/>
  <c r="AT24"/>
  <c r="AG11"/>
  <c r="AN18"/>
  <c r="AG8"/>
  <c r="AT27"/>
  <c r="AC16"/>
  <c r="AU32"/>
  <c r="AP16"/>
  <c r="AF5"/>
  <c r="AW14"/>
  <c r="AN32"/>
  <c r="AB9"/>
  <c r="AU23"/>
  <c r="AE33"/>
  <c r="AM6"/>
  <c r="AK8"/>
  <c r="AA13"/>
  <c r="AM18"/>
  <c r="Z23"/>
  <c r="AE28"/>
  <c r="AX32"/>
  <c r="AF31"/>
  <c r="AB26"/>
  <c r="AC8"/>
  <c r="AQ12"/>
  <c r="AF18"/>
  <c r="AH22"/>
  <c r="AJ27"/>
  <c r="AQ32"/>
  <c r="AR10"/>
  <c r="AS22"/>
  <c r="AB28"/>
  <c r="AD8"/>
  <c r="AR12"/>
  <c r="AW17"/>
  <c r="AA22"/>
  <c r="AW26"/>
  <c r="AT31"/>
  <c r="AQ26"/>
  <c r="AD11"/>
  <c r="AE32"/>
  <c r="AH9"/>
  <c r="AM14"/>
  <c r="AX18"/>
  <c r="Z24"/>
  <c r="AP28"/>
  <c r="AQ33"/>
  <c r="AX16"/>
  <c r="AQ24"/>
  <c r="Y8"/>
  <c r="AD22"/>
  <c r="AE10"/>
  <c r="AG32"/>
  <c r="AJ15"/>
  <c r="AT9"/>
  <c r="AH27"/>
  <c r="AU22"/>
  <c r="Z6"/>
  <c r="AP25"/>
  <c r="AT28"/>
  <c r="AL9"/>
  <c r="AN21"/>
  <c r="AP13"/>
  <c r="AT20"/>
  <c r="AH5"/>
  <c r="AJ6"/>
  <c r="Y5"/>
  <c r="AK6"/>
  <c r="AW11"/>
  <c r="AT16"/>
  <c r="AW21"/>
  <c r="AM26"/>
  <c r="AJ31"/>
  <c r="AI9"/>
  <c r="AG14"/>
  <c r="AL6"/>
  <c r="AH11"/>
  <c r="AM16"/>
  <c r="Z21"/>
  <c r="AR25"/>
  <c r="AC31"/>
  <c r="AP6"/>
  <c r="AJ19"/>
  <c r="AT22"/>
  <c r="AN6"/>
  <c r="AA11"/>
  <c r="AN16"/>
  <c r="AP20"/>
  <c r="AK25"/>
  <c r="AF30"/>
  <c r="AA33"/>
  <c r="Y6"/>
  <c r="AR24"/>
  <c r="AS7"/>
  <c r="AS12"/>
  <c r="AP17"/>
  <c r="AJ22"/>
  <c r="AD27"/>
  <c r="AU31"/>
  <c r="AN14"/>
  <c r="AK21"/>
  <c r="AB33"/>
  <c r="AR18"/>
  <c r="AP34"/>
  <c r="AK26"/>
  <c r="AO27"/>
  <c r="Z25"/>
  <c r="AN22"/>
  <c r="AB15"/>
  <c r="AT36"/>
  <c r="AL24"/>
  <c r="Y27"/>
  <c r="AL19"/>
  <c r="AN8"/>
  <c r="AN10"/>
  <c r="AC15"/>
  <c r="AN20"/>
  <c r="AU24"/>
  <c r="AX29"/>
  <c r="AS34"/>
  <c r="AQ6"/>
  <c r="AR36"/>
  <c r="Y10"/>
  <c r="AS14"/>
  <c r="AW19"/>
  <c r="AF24"/>
  <c r="AI29"/>
  <c r="AL34"/>
  <c r="AW15"/>
  <c r="AH15"/>
  <c r="AX34"/>
  <c r="AW9"/>
  <c r="AT14"/>
  <c r="AH19"/>
  <c r="Y24"/>
  <c r="AO28"/>
  <c r="AP33"/>
  <c r="AP30"/>
  <c r="Z15"/>
  <c r="AF6"/>
  <c r="AB11"/>
  <c r="AG16"/>
  <c r="AQ20"/>
  <c r="AT25"/>
  <c r="AG30"/>
  <c r="AJ10"/>
  <c r="AB19"/>
  <c r="AQ28"/>
  <c r="AA16"/>
  <c r="AU29"/>
  <c r="AT19"/>
  <c r="Z13"/>
  <c r="AO29"/>
  <c r="AS16"/>
  <c r="AL33"/>
  <c r="AM21"/>
  <c r="AG13"/>
  <c r="AP31"/>
  <c r="AU21"/>
  <c r="AI6"/>
  <c r="AR30"/>
  <c r="AD10"/>
  <c r="AT8"/>
  <c r="AM28"/>
  <c r="AM17"/>
  <c r="AC20"/>
  <c r="AF20"/>
  <c r="AF27"/>
  <c r="AP22"/>
  <c r="AG21"/>
  <c r="AO19"/>
  <c r="AS21"/>
  <c r="Y17"/>
  <c r="AB7"/>
  <c r="AL13"/>
  <c r="AK32"/>
  <c r="AS20"/>
  <c r="AQ5"/>
  <c r="AV22"/>
  <c r="AS8"/>
  <c r="AP10"/>
  <c r="AR33"/>
  <c r="AP26"/>
  <c r="AC24"/>
  <c r="AS36"/>
  <c r="AD16"/>
  <c r="AQ23"/>
  <c r="AU5"/>
  <c r="Z17"/>
  <c r="AK24"/>
  <c r="AK16"/>
  <c r="AV9"/>
  <c r="AD34"/>
  <c r="AO9"/>
  <c r="AG28"/>
  <c r="AV5"/>
  <c r="AL25"/>
  <c r="AU27"/>
  <c r="AM10"/>
  <c r="AM11"/>
  <c r="AI34"/>
  <c r="AF10"/>
  <c r="AB32"/>
  <c r="AB16"/>
  <c r="AH6"/>
  <c r="AN12"/>
  <c r="Y33"/>
  <c r="AT26"/>
  <c r="AK28"/>
  <c r="AM8"/>
  <c r="AH24"/>
  <c r="AA30"/>
  <c r="AJ5"/>
  <c r="Y11"/>
  <c r="AS15"/>
  <c r="Y21"/>
  <c r="AI25"/>
  <c r="AL30"/>
  <c r="AX5"/>
  <c r="AS10"/>
  <c r="AK5"/>
  <c r="AO10"/>
  <c r="AL15"/>
  <c r="AG20"/>
  <c r="AV24"/>
  <c r="AE30"/>
  <c r="AX36"/>
  <c r="AH16"/>
  <c r="AK19"/>
  <c r="AL5"/>
  <c r="AH10"/>
  <c r="AM15"/>
  <c r="AX19"/>
  <c r="AO24"/>
  <c r="AB29"/>
  <c r="AE34"/>
  <c r="AD32"/>
  <c r="AI16"/>
  <c r="AX6"/>
  <c r="AR11"/>
  <c r="AW16"/>
  <c r="AJ21"/>
  <c r="AH26"/>
  <c r="AW30"/>
  <c r="AL12"/>
  <c r="AB20"/>
  <c r="AX30"/>
  <c r="AB17"/>
  <c r="AO31"/>
  <c r="AM22"/>
  <c r="AF23"/>
  <c r="AW32"/>
  <c r="AC18"/>
  <c r="AW7"/>
  <c r="AS24"/>
  <c r="AI15"/>
  <c r="AT33"/>
  <c r="AV23"/>
  <c r="AD9"/>
  <c r="AA34"/>
  <c r="AA14"/>
  <c r="AX14"/>
  <c r="AO13"/>
  <c r="AG12"/>
  <c r="AN7"/>
  <c r="AM9"/>
  <c r="AB14"/>
  <c r="AN19"/>
  <c r="AX23"/>
  <c r="Z29"/>
  <c r="AV33"/>
  <c r="AG34"/>
  <c r="AI30"/>
  <c r="AF9"/>
  <c r="AR13"/>
  <c r="Y19"/>
  <c r="AA23"/>
  <c r="AN28"/>
  <c r="AO33"/>
  <c r="AT12"/>
  <c r="AJ9"/>
  <c r="AW31"/>
  <c r="Y9"/>
  <c r="AS13"/>
  <c r="AO18"/>
  <c r="AB23"/>
  <c r="AS27"/>
  <c r="AR32"/>
  <c r="AI28"/>
  <c r="AN13"/>
  <c r="AD5"/>
  <c r="AA10"/>
  <c r="AN15"/>
  <c r="AQ19"/>
  <c r="AX24"/>
  <c r="AK29"/>
  <c r="AV34"/>
  <c r="AQ17"/>
  <c r="AI26"/>
  <c r="AM12"/>
  <c r="AR26"/>
  <c r="AH14"/>
  <c r="AR5"/>
  <c r="AD19"/>
  <c r="Y13"/>
  <c r="AB30"/>
  <c r="AI31"/>
  <c r="AT10"/>
  <c r="AJ8"/>
  <c r="AE19"/>
  <c r="AW5"/>
  <c r="AP7"/>
  <c r="AP12"/>
  <c r="AU17"/>
  <c r="AO22"/>
  <c r="AI27"/>
  <c r="AH32"/>
  <c r="AD29"/>
  <c r="AL22"/>
  <c r="AH7"/>
  <c r="AA12"/>
  <c r="AN17"/>
  <c r="AX21"/>
  <c r="AV26"/>
  <c r="AA32"/>
  <c r="AA9"/>
  <c r="AC22"/>
  <c r="AF25"/>
  <c r="AI7"/>
  <c r="AB12"/>
  <c r="AG17"/>
  <c r="AI21"/>
  <c r="AG26"/>
  <c r="AD31"/>
  <c r="AE25"/>
  <c r="AR9"/>
  <c r="AJ28"/>
  <c r="AW8"/>
  <c r="AT13"/>
  <c r="AH18"/>
  <c r="AK23"/>
  <c r="Z28"/>
  <c r="AS32"/>
  <c r="AG15"/>
  <c r="AA24"/>
  <c r="AP5"/>
  <c r="AD21"/>
  <c r="AM7"/>
  <c r="Y29"/>
  <c r="AO32"/>
  <c r="AO7"/>
  <c r="AH25"/>
  <c r="AM20"/>
  <c r="AW23"/>
  <c r="AG23"/>
  <c r="AH13"/>
  <c r="AB34"/>
  <c r="AS18"/>
  <c r="AK9"/>
  <c r="AF32"/>
  <c r="AU18"/>
  <c r="AF8"/>
  <c r="AT30"/>
  <c r="AS5"/>
  <c r="Z32"/>
  <c r="AB13"/>
  <c r="Z34"/>
  <c r="AS31"/>
  <c r="Z7"/>
  <c r="Y26"/>
  <c r="AN27"/>
  <c r="AC23"/>
  <c r="AL23"/>
  <c r="AD28"/>
  <c r="AD18"/>
  <c r="AS30"/>
  <c r="AF17"/>
  <c r="AW24"/>
  <c r="AC12"/>
  <c r="AV31"/>
  <c r="AE11"/>
  <c r="AU36"/>
  <c r="AL11"/>
  <c r="AE5"/>
  <c r="AJ29"/>
  <c r="AJ20"/>
  <c r="AT17"/>
  <c r="AA27"/>
  <c r="AP21"/>
  <c r="AO14"/>
  <c r="Z19"/>
  <c r="AH30"/>
  <c r="Y16"/>
  <c r="AQ9"/>
  <c r="AR28"/>
  <c r="AA15"/>
  <c r="AJ30"/>
  <c r="AR6"/>
  <c r="AK11"/>
  <c r="AX28"/>
  <c r="AO23"/>
  <c r="AC33"/>
  <c r="AC17"/>
  <c r="AA19"/>
  <c r="AU14"/>
  <c r="Y18"/>
  <c r="AL10"/>
  <c r="AU33"/>
  <c r="AV7"/>
  <c r="AU9"/>
  <c r="AJ14"/>
  <c r="AV19"/>
  <c r="AE24"/>
  <c r="AH29"/>
  <c r="AC34"/>
  <c r="AQ36"/>
  <c r="AG31"/>
  <c r="AN9"/>
  <c r="AC14"/>
  <c r="AG19"/>
  <c r="AI23"/>
  <c r="AV28"/>
  <c r="AW33"/>
  <c r="AE13"/>
  <c r="AC10"/>
  <c r="AM32"/>
  <c r="AG9"/>
  <c r="AD14"/>
  <c r="AW18"/>
  <c r="AJ23"/>
  <c r="Y28"/>
  <c r="Z33"/>
  <c r="AT29"/>
  <c r="Y14"/>
  <c r="AM5"/>
  <c r="AI10"/>
  <c r="AV15"/>
  <c r="AA20"/>
  <c r="AD25"/>
  <c r="AS29"/>
  <c r="AX8"/>
  <c r="AA18"/>
  <c r="AE27"/>
  <c r="AF13"/>
  <c r="AV27"/>
  <c r="AR16"/>
  <c r="AA8"/>
  <c r="AU20"/>
  <c r="AI14"/>
  <c r="AH31"/>
  <c r="AM33"/>
  <c r="AF11"/>
  <c r="AN29"/>
  <c r="AR15"/>
  <c r="AF22"/>
  <c r="AX27"/>
  <c r="Y32"/>
  <c r="AV32"/>
  <c r="AR8"/>
  <c r="AF12"/>
  <c r="AE6"/>
  <c r="AB8"/>
  <c r="AX12"/>
  <c r="AE18"/>
  <c r="AW22"/>
  <c r="AQ27"/>
  <c r="AP32"/>
  <c r="Z30"/>
  <c r="AN25"/>
  <c r="AQ7"/>
  <c r="AI12"/>
  <c r="AV17"/>
  <c r="Z22"/>
  <c r="AB27"/>
  <c r="AI32"/>
  <c r="AB10"/>
  <c r="AK22"/>
  <c r="AV25"/>
  <c r="AR7"/>
  <c r="AJ12"/>
  <c r="AO17"/>
  <c r="AQ21"/>
  <c r="AO26"/>
  <c r="AL31"/>
  <c r="AA26"/>
  <c r="AK10"/>
  <c r="AE29"/>
  <c r="Z9"/>
  <c r="AE14"/>
  <c r="AP18"/>
  <c r="AS23"/>
  <c r="AH28"/>
  <c r="AI33"/>
  <c r="AO15"/>
  <c r="AI24"/>
  <c r="AC7"/>
  <c r="AT21"/>
  <c r="AS9"/>
  <c r="AA31"/>
  <c r="AR34"/>
  <c r="Z8"/>
  <c r="AL26"/>
  <c r="AE21"/>
  <c r="AD26"/>
  <c r="AS28"/>
  <c r="AD20"/>
  <c r="P99"/>
  <c r="C91" s="1"/>
  <c r="AB6"/>
  <c r="AO11"/>
  <c r="AL16"/>
  <c r="AO21"/>
  <c r="AE26"/>
  <c r="AB31"/>
  <c r="AP8"/>
  <c r="AV13"/>
  <c r="AC6"/>
  <c r="Z11"/>
  <c r="AE16"/>
  <c r="AW20"/>
  <c r="AJ25"/>
  <c r="AU30"/>
  <c r="AG6"/>
  <c r="AQ18"/>
  <c r="AL21"/>
  <c r="AD6"/>
  <c r="AX10"/>
  <c r="AF16"/>
  <c r="AH20"/>
  <c r="AC25"/>
  <c r="AR29"/>
  <c r="AU34"/>
  <c r="AO34"/>
  <c r="AE23"/>
  <c r="AJ7"/>
  <c r="AK12"/>
  <c r="AH17"/>
  <c r="AB22"/>
  <c r="AX26"/>
  <c r="AM31"/>
  <c r="AF14"/>
  <c r="AC21"/>
  <c r="AT32"/>
  <c r="AB18"/>
  <c r="AK33"/>
  <c r="AG25"/>
  <c r="AO25"/>
  <c r="AE7"/>
  <c r="AL20"/>
  <c r="AV12"/>
  <c r="AQ31"/>
  <c r="AK18"/>
  <c r="AA6"/>
  <c r="AC26"/>
  <c r="Y12"/>
  <c r="Z5"/>
  <c r="AV21"/>
  <c r="AI13"/>
  <c r="AF33"/>
  <c r="AM24"/>
  <c r="Y7"/>
  <c r="AQ25"/>
  <c r="AL8"/>
  <c r="AR27"/>
  <c r="AK34"/>
  <c r="AB25"/>
  <c r="AJ24"/>
  <c r="AA21"/>
  <c r="AQ8"/>
  <c r="Z18"/>
  <c r="Y15"/>
  <c r="AS6"/>
  <c r="AD24"/>
  <c r="AU10"/>
  <c r="Z31"/>
  <c r="AU15"/>
  <c r="AC19"/>
  <c r="AM13"/>
  <c r="AV36"/>
  <c r="AN11"/>
  <c r="AP29"/>
  <c r="AM30"/>
  <c r="Z20"/>
  <c r="AE31"/>
  <c r="AU19"/>
  <c r="AR14"/>
  <c r="AT15"/>
  <c r="AU13"/>
  <c r="AL14"/>
  <c r="AH33"/>
  <c r="AQ10"/>
  <c r="Y30"/>
  <c r="AP15"/>
  <c r="AW27"/>
  <c r="AW12"/>
  <c r="AV29"/>
  <c r="AK14"/>
  <c r="AP9"/>
  <c r="AX7"/>
  <c r="AI22"/>
  <c r="AS26"/>
  <c r="AC27"/>
  <c r="AN26"/>
  <c r="AA17"/>
  <c r="AE12"/>
  <c r="AK7"/>
  <c r="AM27"/>
  <c r="R98"/>
  <c r="O96"/>
  <c r="P97"/>
  <c r="D75"/>
  <c r="S71"/>
  <c r="C94" s="1"/>
  <c r="D103" s="1"/>
  <c r="S70"/>
  <c r="C95" s="1"/>
  <c r="E100" s="1"/>
  <c r="R96"/>
  <c r="P74"/>
  <c r="S33"/>
  <c r="D70" i="164" l="1"/>
  <c r="E70"/>
  <c r="S35" i="131"/>
  <c r="U35"/>
  <c r="E67"/>
  <c r="V33"/>
  <c r="T33"/>
  <c r="W33"/>
  <c r="C67"/>
  <c r="BA25" s="1"/>
  <c r="P33"/>
  <c r="Q33"/>
  <c r="U33"/>
  <c r="R33"/>
  <c r="C90"/>
  <c r="BA33" s="1"/>
  <c r="AX35"/>
  <c r="Q35"/>
  <c r="R35"/>
  <c r="W35"/>
  <c r="T35"/>
  <c r="P35"/>
  <c r="C69"/>
  <c r="AV35"/>
  <c r="AW35"/>
  <c r="AU35"/>
  <c r="C108"/>
  <c r="BA35" s="1"/>
  <c r="P34" l="1"/>
  <c r="P43" s="1"/>
  <c r="P36"/>
  <c r="P46" s="1"/>
  <c r="C68" s="1"/>
  <c r="P48" l="1"/>
  <c r="D70" s="1"/>
  <c r="C70" l="1"/>
  <c r="BA26" s="1"/>
  <c r="E70"/>
</calcChain>
</file>

<file path=xl/comments1.xml><?xml version="1.0" encoding="utf-8"?>
<comments xmlns="http://schemas.openxmlformats.org/spreadsheetml/2006/main">
  <authors>
    <author>O'Neal User</author>
    <author>RePack by SPecialiST</author>
    <author>O'Neal, Inc.</author>
    <author>ATOMANOV</author>
    <author>Alexander Tomanovich</author>
  </authors>
  <commentList>
    <comment ref="BB2" authorId="0">
      <text>
        <r>
          <rPr>
            <sz val="8"/>
            <color indexed="81"/>
            <rFont val="Tahoma"/>
            <family val="2"/>
          </rPr>
          <t>The user may manually adjust the scaling of the plotted footing plan by adjusting the "X" and "Y" plot scale factors below.  The object is to try to equalize the maximum X-axis and Y-axis values.</t>
        </r>
      </text>
    </comment>
    <comment ref="D11" authorId="1">
      <text>
        <r>
          <rPr>
            <sz val="9"/>
            <color indexed="81"/>
            <rFont val="Tahoma"/>
            <family val="2"/>
            <charset val="204"/>
          </rPr>
          <t xml:space="preserve">
</t>
        </r>
      </text>
    </comment>
    <comment ref="D17" authorId="2">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D18" authorId="2">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B25" authorId="3">
      <text>
        <r>
          <rPr>
            <sz val="8"/>
            <color indexed="81"/>
            <rFont val="Tahoma"/>
            <family val="2"/>
          </rPr>
          <t>The 'Xp' coordinate is the x-distance from the origin Y-axis to centroid of a particular pier/loading.
Note: the origin axes are located at the centroid
          of the footing base plan.</t>
        </r>
      </text>
    </comment>
    <comment ref="B26" authorId="3">
      <text>
        <r>
          <rPr>
            <sz val="8"/>
            <color indexed="81"/>
            <rFont val="Tahoma"/>
            <family val="2"/>
          </rPr>
          <t>The 'Yp' coordinate is the y-distance from the origin X-axis to centroid of a particular pier/loading.
Note: the origin axes are located at the centroid
          of the footing base plan.</t>
        </r>
      </text>
    </comment>
    <comment ref="B27" authorId="4">
      <text>
        <r>
          <rPr>
            <sz val="8"/>
            <color indexed="81"/>
            <rFont val="Tahoma"/>
            <family val="2"/>
          </rPr>
          <t>The x-direction dimension, 'Lpx', of the particular pier.</t>
        </r>
      </text>
    </comment>
    <comment ref="B28" authorId="4">
      <text>
        <r>
          <rPr>
            <sz val="8"/>
            <color indexed="81"/>
            <rFont val="Tahoma"/>
            <family val="2"/>
          </rPr>
          <t>The y-direction dimension, 'Lpy', of the particular pier.</t>
        </r>
      </text>
    </comment>
    <comment ref="B29" authorId="3">
      <text>
        <r>
          <rPr>
            <sz val="8"/>
            <color indexed="81"/>
            <rFont val="Tahoma"/>
            <family val="2"/>
          </rPr>
          <t>The pier height, 'h', is also the distance from the point of application of any horizontal loads (Hx, Hy) to the top of the footing. The pier height, 'h', should always be a positive number, but it may be input = 0.  The pier height, 'h', is used in conjunction with the horizontal loads to obtain any additional moments (Mx, My) that are to be eventually summed with the applied moments.</t>
        </r>
      </text>
    </comment>
    <comment ref="B30" authorId="3">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B31" authorId="3">
      <text>
        <r>
          <rPr>
            <sz val="8"/>
            <color indexed="81"/>
            <rFont val="Tahoma"/>
            <family val="2"/>
          </rPr>
          <t>'Hx' is the horizontal (X-axis) load to be applied at the pier location.
Sign convention: + = to right</t>
        </r>
      </text>
    </comment>
    <comment ref="B32" authorId="3">
      <text>
        <r>
          <rPr>
            <sz val="8"/>
            <color indexed="81"/>
            <rFont val="Tahoma"/>
            <family val="2"/>
          </rPr>
          <t>'Hy' is the horizontal (Y-axis) load to be applied at the pier location.
Sign convention: + = up the page</t>
        </r>
      </text>
    </comment>
    <comment ref="B33" authorId="3">
      <text>
        <r>
          <rPr>
            <sz val="8"/>
            <color indexed="81"/>
            <rFont val="Tahoma"/>
            <family val="2"/>
          </rPr>
          <t>'Mx' is the X-axis moment to be applied at the pier location.
Sign convention: + = by "Right-Hand-Rule" about +X-axis</t>
        </r>
      </text>
    </comment>
    <comment ref="B34" authorId="3">
      <text>
        <r>
          <rPr>
            <sz val="8"/>
            <color indexed="81"/>
            <rFont val="Tahoma"/>
            <family val="2"/>
          </rPr>
          <t>'My' is the Y-axis moment to be applied at the pier location.
Sign convention: + = by "Right-Hand-Rule" about +Y-axis</t>
        </r>
      </text>
    </comment>
    <comment ref="C60" authorId="0">
      <text>
        <r>
          <rPr>
            <sz val="8"/>
            <color indexed="81"/>
            <rFont val="Tahoma"/>
            <family val="2"/>
          </rPr>
          <t>'</t>
        </r>
        <r>
          <rPr>
            <sz val="8"/>
            <color indexed="81"/>
            <rFont val="Symbol"/>
            <family val="1"/>
            <charset val="2"/>
          </rPr>
          <t>S</t>
        </r>
        <r>
          <rPr>
            <sz val="8"/>
            <color indexed="81"/>
            <rFont val="Tahoma"/>
            <family val="2"/>
          </rPr>
          <t xml:space="preserve"> Pz' is the summation of all applied vertical loads at pier(s) plus footing weight, soil weight, and surcharge weight.</t>
        </r>
      </text>
    </comment>
    <comment ref="C61" authorId="0">
      <text>
        <r>
          <rPr>
            <sz val="8"/>
            <color indexed="81"/>
            <rFont val="Tahoma"/>
            <family val="2"/>
          </rPr>
          <t>The value, 'ex', is the eccenticity (location) of the resultant of all the weights and applied loads measured from the Y-axis of the footing.</t>
        </r>
      </text>
    </comment>
    <comment ref="C62" authorId="0">
      <text>
        <r>
          <rPr>
            <sz val="8"/>
            <color indexed="81"/>
            <rFont val="Tahoma"/>
            <family val="2"/>
          </rPr>
          <t>The value, 'ey', is the eccenticity (location) of the resultant of all the weights and applied loads measured from the X-axis of the footing.</t>
        </r>
      </text>
    </comment>
    <comment ref="C65" authorId="0">
      <text>
        <r>
          <rPr>
            <sz val="8"/>
            <color indexed="81"/>
            <rFont val="Tahoma"/>
            <family val="2"/>
          </rPr>
          <t>'</t>
        </r>
        <r>
          <rPr>
            <sz val="8"/>
            <color indexed="81"/>
            <rFont val="Symbol"/>
            <family val="1"/>
            <charset val="2"/>
          </rPr>
          <t>S</t>
        </r>
        <r>
          <rPr>
            <sz val="8"/>
            <color indexed="81"/>
            <rFont val="Tahoma"/>
            <family val="2"/>
          </rPr>
          <t xml:space="preserve"> Mrx' is the summation of the (righting) moments resisting overturning about the X-axis of the footing.
Note: the applied live loads and the surcharge weight are not included.</t>
        </r>
      </text>
    </comment>
    <comment ref="C66" authorId="0">
      <text>
        <r>
          <rPr>
            <sz val="8"/>
            <color indexed="81"/>
            <rFont val="Tahoma"/>
            <family val="2"/>
          </rPr>
          <t>'</t>
        </r>
        <r>
          <rPr>
            <sz val="8"/>
            <color indexed="81"/>
            <rFont val="Symbol"/>
            <family val="1"/>
            <charset val="2"/>
          </rPr>
          <t>S</t>
        </r>
        <r>
          <rPr>
            <sz val="8"/>
            <color indexed="81"/>
            <rFont val="Tahoma"/>
            <family val="2"/>
          </rPr>
          <t xml:space="preserve"> Mox' is the summation of the moments causing overturning about the X-axis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C67" authorId="0">
      <text>
        <r>
          <rPr>
            <sz val="8"/>
            <color indexed="81"/>
            <rFont val="Tahoma"/>
            <family val="2"/>
          </rPr>
          <t xml:space="preserve">The Factor of Safety against 
overturning about X-axis:
FS(ot)x = </t>
        </r>
        <r>
          <rPr>
            <sz val="8"/>
            <color indexed="81"/>
            <rFont val="Symbol"/>
            <family val="1"/>
            <charset val="2"/>
          </rPr>
          <t>S</t>
        </r>
        <r>
          <rPr>
            <sz val="8"/>
            <color indexed="81"/>
            <rFont val="Tahoma"/>
            <family val="2"/>
          </rPr>
          <t xml:space="preserve"> Mrx/</t>
        </r>
        <r>
          <rPr>
            <sz val="8"/>
            <color indexed="81"/>
            <rFont val="Symbol"/>
            <family val="1"/>
            <charset val="2"/>
          </rPr>
          <t>S</t>
        </r>
        <r>
          <rPr>
            <sz val="8"/>
            <color indexed="81"/>
            <rFont val="Tahoma"/>
            <family val="2"/>
          </rPr>
          <t xml:space="preserve"> Mox</t>
        </r>
      </text>
    </comment>
    <comment ref="C68" authorId="0">
      <text>
        <r>
          <rPr>
            <sz val="8"/>
            <color indexed="81"/>
            <rFont val="Tahoma"/>
            <family val="2"/>
          </rPr>
          <t>'</t>
        </r>
        <r>
          <rPr>
            <sz val="8"/>
            <color indexed="81"/>
            <rFont val="Symbol"/>
            <family val="1"/>
            <charset val="2"/>
          </rPr>
          <t>S</t>
        </r>
        <r>
          <rPr>
            <sz val="8"/>
            <color indexed="81"/>
            <rFont val="Tahoma"/>
            <family val="2"/>
          </rPr>
          <t xml:space="preserve"> Mry' is the summation of the (righting) moments resisting overturning about the Y-axis of the footing.
Note: the applied live loads and the surcharge weight are not included.</t>
        </r>
      </text>
    </comment>
    <comment ref="C69" authorId="0">
      <text>
        <r>
          <rPr>
            <sz val="8"/>
            <color indexed="81"/>
            <rFont val="Tahoma"/>
            <family val="2"/>
          </rPr>
          <t>'</t>
        </r>
        <r>
          <rPr>
            <sz val="8"/>
            <color indexed="81"/>
            <rFont val="Symbol"/>
            <family val="1"/>
            <charset val="2"/>
          </rPr>
          <t>S</t>
        </r>
        <r>
          <rPr>
            <sz val="8"/>
            <color indexed="81"/>
            <rFont val="Tahoma"/>
            <family val="2"/>
          </rPr>
          <t xml:space="preserve"> Moy' is the summation of the moments causing overturning about the Y-axis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C70" authorId="0">
      <text>
        <r>
          <rPr>
            <sz val="8"/>
            <color indexed="81"/>
            <rFont val="Tahoma"/>
            <family val="2"/>
          </rPr>
          <t xml:space="preserve">The Factor of Safety against 
overturning about Y-axis:
FS(ot)y = </t>
        </r>
        <r>
          <rPr>
            <sz val="8"/>
            <color indexed="81"/>
            <rFont val="Symbol"/>
            <family val="1"/>
            <charset val="2"/>
          </rPr>
          <t>S</t>
        </r>
        <r>
          <rPr>
            <sz val="8"/>
            <color indexed="81"/>
            <rFont val="Tahoma"/>
            <family val="2"/>
          </rPr>
          <t xml:space="preserve"> Mry/</t>
        </r>
        <r>
          <rPr>
            <sz val="8"/>
            <color indexed="81"/>
            <rFont val="Symbol"/>
            <family val="1"/>
            <charset val="2"/>
          </rPr>
          <t>S</t>
        </r>
        <r>
          <rPr>
            <sz val="8"/>
            <color indexed="81"/>
            <rFont val="Tahoma"/>
            <family val="2"/>
          </rPr>
          <t xml:space="preserve"> Moy</t>
        </r>
      </text>
    </comment>
    <comment ref="C73" authorId="0">
      <text>
        <r>
          <rPr>
            <sz val="8"/>
            <color indexed="81"/>
            <rFont val="Tahoma"/>
            <family val="2"/>
          </rPr>
          <t xml:space="preserve">'Pass(x)' is the passive soil pressure against the footing base of width, 'B', which is available to resist X-direction horizontal loads.
</t>
        </r>
        <r>
          <rPr>
            <sz val="8"/>
            <color indexed="10"/>
            <rFont val="Tahoma"/>
            <family val="2"/>
          </rPr>
          <t>Note: passive pressure against piers is ignored.</t>
        </r>
      </text>
    </comment>
    <comment ref="C74" authorId="0">
      <text>
        <r>
          <rPr>
            <sz val="8"/>
            <color indexed="81"/>
            <rFont val="Tahoma"/>
            <family val="2"/>
          </rPr>
          <t>'Frict(x)' is the frictional resistance between the footing base (concrete) and the soil available to resist X-direction horizontal loads.</t>
        </r>
      </text>
    </comment>
    <comment ref="C75" authorId="0">
      <text>
        <r>
          <rPr>
            <sz val="8"/>
            <color indexed="81"/>
            <rFont val="Tahoma"/>
            <family val="2"/>
          </rPr>
          <t>The Factor of Safety against sliding in X-direction:
FS(slid)x = (Pass(x)+Fric(x))/ABS(</t>
        </r>
        <r>
          <rPr>
            <sz val="8"/>
            <color indexed="81"/>
            <rFont val="Symbol"/>
            <family val="1"/>
            <charset val="2"/>
          </rPr>
          <t>S</t>
        </r>
        <r>
          <rPr>
            <sz val="8"/>
            <color indexed="81"/>
            <rFont val="Tahoma"/>
            <family val="2"/>
          </rPr>
          <t xml:space="preserve"> Hx)</t>
        </r>
      </text>
    </comment>
    <comment ref="C76" authorId="0">
      <text>
        <r>
          <rPr>
            <sz val="8"/>
            <color indexed="81"/>
            <rFont val="Tahoma"/>
            <family val="2"/>
          </rPr>
          <t xml:space="preserve">'Pass(y)' is the passive soil pressure against the footing base of length, 'L', which is availble to resist Y-direction horizontal loads.
</t>
        </r>
        <r>
          <rPr>
            <sz val="8"/>
            <color indexed="10"/>
            <rFont val="Tahoma"/>
            <family val="2"/>
          </rPr>
          <t>Note: passive pressure against piers is ignored.</t>
        </r>
      </text>
    </comment>
    <comment ref="C77" authorId="0">
      <text>
        <r>
          <rPr>
            <sz val="8"/>
            <color indexed="81"/>
            <rFont val="Tahoma"/>
            <family val="2"/>
          </rPr>
          <t>'Frict(y)' is the frictional resistance between the footing base (concrete) and the soil available to resist Y-direction horizontal loads.</t>
        </r>
      </text>
    </comment>
    <comment ref="C78" authorId="0">
      <text>
        <r>
          <rPr>
            <sz val="8"/>
            <color indexed="81"/>
            <rFont val="Tahoma"/>
            <family val="2"/>
          </rPr>
          <t>The Factor of Safety against sliding in Y-direction:
FS(slid)y = (Pass(y)+Fric(y))/ABS(</t>
        </r>
        <r>
          <rPr>
            <sz val="8"/>
            <color indexed="81"/>
            <rFont val="Symbol"/>
            <family val="1"/>
            <charset val="2"/>
          </rPr>
          <t>S</t>
        </r>
        <r>
          <rPr>
            <sz val="8"/>
            <color indexed="81"/>
            <rFont val="Tahoma"/>
            <family val="2"/>
          </rPr>
          <t xml:space="preserve"> Hy)</t>
        </r>
      </text>
    </comment>
    <comment ref="C81" authorId="0">
      <text>
        <r>
          <rPr>
            <sz val="8"/>
            <color indexed="81"/>
            <rFont val="Tahoma"/>
            <family val="2"/>
          </rPr>
          <t>'</t>
        </r>
        <r>
          <rPr>
            <sz val="8"/>
            <color indexed="81"/>
            <rFont val="Symbol"/>
            <family val="1"/>
            <charset val="2"/>
          </rPr>
          <t>S</t>
        </r>
        <r>
          <rPr>
            <sz val="8"/>
            <color indexed="81"/>
            <rFont val="Tahoma"/>
            <family val="2"/>
          </rPr>
          <t xml:space="preserve"> Pz(down)' is the summation of all applied vertical dead loads acting downward at pier(s) plus footing weight and soil weight.
Note: the applied vertical live loads and the surcharge weight are not included.</t>
        </r>
      </text>
    </comment>
    <comment ref="C82" authorId="0">
      <text>
        <r>
          <rPr>
            <sz val="8"/>
            <color indexed="81"/>
            <rFont val="Tahoma"/>
            <family val="2"/>
          </rPr>
          <t>'</t>
        </r>
        <r>
          <rPr>
            <sz val="8"/>
            <color indexed="81"/>
            <rFont val="Symbol"/>
            <family val="1"/>
            <charset val="2"/>
          </rPr>
          <t>S</t>
        </r>
        <r>
          <rPr>
            <sz val="8"/>
            <color indexed="81"/>
            <rFont val="Tahoma"/>
            <family val="2"/>
          </rPr>
          <t xml:space="preserve"> Pz(uplift)' is the summation of all applied vertical loads acting upward (uplift) at pier(s).</t>
        </r>
      </text>
    </comment>
    <comment ref="C83" authorId="0">
      <text>
        <r>
          <rPr>
            <sz val="8"/>
            <color indexed="81"/>
            <rFont val="Tahoma"/>
            <family val="2"/>
          </rPr>
          <t xml:space="preserve">The Factor of Safety against uplift:
FS(uplift) = </t>
        </r>
        <r>
          <rPr>
            <sz val="8"/>
            <color indexed="81"/>
            <rFont val="Symbol"/>
            <family val="1"/>
            <charset val="2"/>
          </rPr>
          <t>S</t>
        </r>
        <r>
          <rPr>
            <sz val="8"/>
            <color indexed="81"/>
            <rFont val="Tahoma"/>
            <family val="2"/>
          </rPr>
          <t xml:space="preserve"> P(down)/</t>
        </r>
        <r>
          <rPr>
            <sz val="8"/>
            <color indexed="81"/>
            <rFont val="Symbol"/>
            <family val="1"/>
            <charset val="2"/>
          </rPr>
          <t>S</t>
        </r>
        <r>
          <rPr>
            <sz val="8"/>
            <color indexed="81"/>
            <rFont val="Tahoma"/>
            <family val="2"/>
          </rPr>
          <t xml:space="preserve"> P(uplift)</t>
        </r>
      </text>
    </comment>
    <comment ref="C86" authorId="0">
      <text>
        <r>
          <rPr>
            <sz val="8"/>
            <color indexed="81"/>
            <rFont val="Tahoma"/>
            <family val="2"/>
          </rPr>
          <t>For cases of biaxial resultant eccentricity with 1 to 3 corners without bearing   (when  ABS(6*ex/L)+ABS(6*ey/B) &gt; 1.0), the Distance 'x', is the distance away from the corner of maximum soil bearing pressure to the "line of zero pressure", running in the X-axis direction along the edge of the footing.  Distance 'x' has no sign convention associated to it.</t>
        </r>
      </text>
    </comment>
    <comment ref="C87" authorId="0">
      <text>
        <r>
          <rPr>
            <sz val="8"/>
            <color indexed="81"/>
            <rFont val="Tahoma"/>
            <family val="2"/>
          </rPr>
          <t>For cases of biaxial resultant eccentricity with 1 to 3 corners without bearing   (when  ABS(6*ex/L)+ABS(6*ey/B) &gt; 1.0), the Distance 'y', is the distance away from the corner of maximum soil bearing pressure to the "line of zero pressure", running in the Y-axis direction along the edge of the footing.  Distance 'y' has no sign convention associated to it.</t>
        </r>
      </text>
    </comment>
    <comment ref="C94" authorId="0">
      <text>
        <r>
          <rPr>
            <sz val="8"/>
            <color indexed="81"/>
            <rFont val="Tahoma"/>
            <family val="2"/>
          </rPr>
          <t>'P1' is the gross soil bearing at footing corner #1, which is located at the lower right-hand corner of footing plan.</t>
        </r>
      </text>
    </comment>
    <comment ref="C95" authorId="0">
      <text>
        <r>
          <rPr>
            <sz val="8"/>
            <color indexed="81"/>
            <rFont val="Tahoma"/>
            <family val="2"/>
          </rPr>
          <t>'P2' is the gross soil bearing at footing corner #2, which is located at the upper right-hand corner of footing plan.</t>
        </r>
      </text>
    </comment>
    <comment ref="C96" authorId="0">
      <text>
        <r>
          <rPr>
            <sz val="8"/>
            <color indexed="81"/>
            <rFont val="Tahoma"/>
            <family val="2"/>
          </rPr>
          <t>'P3' is the gross soil bearing at footing corner #3, which is located at the upper left-hand corner of footing plan.</t>
        </r>
      </text>
    </comment>
    <comment ref="C97" authorId="0">
      <text>
        <r>
          <rPr>
            <sz val="8"/>
            <color indexed="81"/>
            <rFont val="Tahoma"/>
            <family val="2"/>
          </rPr>
          <t>'P4' is the gross soil bearing at footing corner #4, which is located at the lower left-hand corner of footing plan.</t>
        </r>
      </text>
    </comment>
  </commentList>
</comments>
</file>

<file path=xl/comments2.xml><?xml version="1.0" encoding="utf-8"?>
<comments xmlns="http://schemas.openxmlformats.org/spreadsheetml/2006/main">
  <authors>
    <author>O'Neal User</author>
    <author>RePack by SPecialiST</author>
    <author>O'Neal, Inc.</author>
    <author>ATOMANOV</author>
    <author>Alexander Tomanovich</author>
  </authors>
  <commentList>
    <comment ref="BB2" authorId="0">
      <text>
        <r>
          <rPr>
            <sz val="8"/>
            <color indexed="81"/>
            <rFont val="Tahoma"/>
            <family val="2"/>
          </rPr>
          <t>The user may manually adjust the scaling of the plotted footing plan by adjusting the "X" and "Y" plot scale factors below.  The object is to try to equalize the maximum X-axis and Y-axis values.</t>
        </r>
      </text>
    </comment>
    <comment ref="D11" authorId="1">
      <text>
        <r>
          <rPr>
            <sz val="9"/>
            <color indexed="81"/>
            <rFont val="Tahoma"/>
            <family val="2"/>
            <charset val="204"/>
          </rPr>
          <t xml:space="preserve">
</t>
        </r>
      </text>
    </comment>
    <comment ref="D17" authorId="2">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D18" authorId="2">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B25" authorId="3">
      <text>
        <r>
          <rPr>
            <sz val="8"/>
            <color indexed="81"/>
            <rFont val="Tahoma"/>
            <family val="2"/>
          </rPr>
          <t>The 'Xp' coordinate is the x-distance from the origin Y-axis to centroid of a particular pier/loading.
Note: the origin axes are located at the centroid
          of the footing base plan.</t>
        </r>
      </text>
    </comment>
    <comment ref="B26" authorId="3">
      <text>
        <r>
          <rPr>
            <sz val="8"/>
            <color indexed="81"/>
            <rFont val="Tahoma"/>
            <family val="2"/>
          </rPr>
          <t>The 'Yp' coordinate is the y-distance from the origin X-axis to centroid of a particular pier/loading.
Note: the origin axes are located at the centroid
          of the footing base plan.</t>
        </r>
      </text>
    </comment>
    <comment ref="B27" authorId="4">
      <text>
        <r>
          <rPr>
            <sz val="8"/>
            <color indexed="81"/>
            <rFont val="Tahoma"/>
            <family val="2"/>
          </rPr>
          <t>The x-direction dimension, 'Lpx', of the particular pier.</t>
        </r>
      </text>
    </comment>
    <comment ref="B28" authorId="4">
      <text>
        <r>
          <rPr>
            <sz val="8"/>
            <color indexed="81"/>
            <rFont val="Tahoma"/>
            <family val="2"/>
          </rPr>
          <t>The y-direction dimension, 'Lpy', of the particular pier.</t>
        </r>
      </text>
    </comment>
    <comment ref="B29" authorId="3">
      <text>
        <r>
          <rPr>
            <sz val="8"/>
            <color indexed="81"/>
            <rFont val="Tahoma"/>
            <family val="2"/>
          </rPr>
          <t>The pier height, 'h', is also the distance from the point of application of any horizontal loads (Hx, Hy) to the top of the footing. The pier height, 'h', should always be a positive number, but it may be input = 0.  The pier height, 'h', is used in conjunction with the horizontal loads to obtain any additional moments (Mx, My) that are to be eventually summed with the applied moments.</t>
        </r>
      </text>
    </comment>
    <comment ref="B30" authorId="3">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B31" authorId="3">
      <text>
        <r>
          <rPr>
            <sz val="8"/>
            <color indexed="81"/>
            <rFont val="Tahoma"/>
            <family val="2"/>
          </rPr>
          <t>'Hx' is the horizontal (X-axis) load to be applied at the pier location.
Sign convention: + = to right</t>
        </r>
      </text>
    </comment>
    <comment ref="B32" authorId="3">
      <text>
        <r>
          <rPr>
            <sz val="8"/>
            <color indexed="81"/>
            <rFont val="Tahoma"/>
            <family val="2"/>
          </rPr>
          <t>'Hy' is the horizontal (Y-axis) load to be applied at the pier location.
Sign convention: + = up the page</t>
        </r>
      </text>
    </comment>
    <comment ref="B33" authorId="3">
      <text>
        <r>
          <rPr>
            <sz val="8"/>
            <color indexed="81"/>
            <rFont val="Tahoma"/>
            <family val="2"/>
          </rPr>
          <t>'Mx' is the X-axis moment to be applied at the pier location.
Sign convention: + = by "Right-Hand-Rule" about +X-axis</t>
        </r>
      </text>
    </comment>
    <comment ref="B34" authorId="3">
      <text>
        <r>
          <rPr>
            <sz val="8"/>
            <color indexed="81"/>
            <rFont val="Tahoma"/>
            <family val="2"/>
          </rPr>
          <t>'My' is the Y-axis moment to be applied at the pier location.
Sign convention: + = by "Right-Hand-Rule" about +Y-axis</t>
        </r>
      </text>
    </comment>
    <comment ref="C60" authorId="0">
      <text>
        <r>
          <rPr>
            <sz val="8"/>
            <color indexed="81"/>
            <rFont val="Tahoma"/>
            <family val="2"/>
          </rPr>
          <t>'</t>
        </r>
        <r>
          <rPr>
            <sz val="8"/>
            <color indexed="81"/>
            <rFont val="Symbol"/>
            <family val="1"/>
            <charset val="2"/>
          </rPr>
          <t>S</t>
        </r>
        <r>
          <rPr>
            <sz val="8"/>
            <color indexed="81"/>
            <rFont val="Tahoma"/>
            <family val="2"/>
          </rPr>
          <t xml:space="preserve"> Pz' is the summation of all applied vertical loads at pier(s) plus footing weight, soil weight, and surcharge weight.</t>
        </r>
      </text>
    </comment>
    <comment ref="C61" authorId="0">
      <text>
        <r>
          <rPr>
            <sz val="8"/>
            <color indexed="81"/>
            <rFont val="Tahoma"/>
            <family val="2"/>
          </rPr>
          <t>The value, 'ex', is the eccenticity (location) of the resultant of all the weights and applied loads measured from the Y-axis of the footing.</t>
        </r>
      </text>
    </comment>
    <comment ref="C62" authorId="0">
      <text>
        <r>
          <rPr>
            <sz val="8"/>
            <color indexed="81"/>
            <rFont val="Tahoma"/>
            <family val="2"/>
          </rPr>
          <t>The value, 'ey', is the eccenticity (location) of the resultant of all the weights and applied loads measured from the X-axis of the footing.</t>
        </r>
      </text>
    </comment>
    <comment ref="C65" authorId="0">
      <text>
        <r>
          <rPr>
            <sz val="8"/>
            <color indexed="81"/>
            <rFont val="Tahoma"/>
            <family val="2"/>
          </rPr>
          <t>'</t>
        </r>
        <r>
          <rPr>
            <sz val="8"/>
            <color indexed="81"/>
            <rFont val="Symbol"/>
            <family val="1"/>
            <charset val="2"/>
          </rPr>
          <t>S</t>
        </r>
        <r>
          <rPr>
            <sz val="8"/>
            <color indexed="81"/>
            <rFont val="Tahoma"/>
            <family val="2"/>
          </rPr>
          <t xml:space="preserve"> Mrx' is the summation of the (righting) moments resisting overturning about the X-axis of the footing.
Note: the applied live loads and the surcharge weight are not included.</t>
        </r>
      </text>
    </comment>
    <comment ref="C66" authorId="0">
      <text>
        <r>
          <rPr>
            <sz val="8"/>
            <color indexed="81"/>
            <rFont val="Tahoma"/>
            <family val="2"/>
          </rPr>
          <t>'</t>
        </r>
        <r>
          <rPr>
            <sz val="8"/>
            <color indexed="81"/>
            <rFont val="Symbol"/>
            <family val="1"/>
            <charset val="2"/>
          </rPr>
          <t>S</t>
        </r>
        <r>
          <rPr>
            <sz val="8"/>
            <color indexed="81"/>
            <rFont val="Tahoma"/>
            <family val="2"/>
          </rPr>
          <t xml:space="preserve"> Mox' is the summation of the moments causing overturning about the X-axis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C67" authorId="0">
      <text>
        <r>
          <rPr>
            <sz val="8"/>
            <color indexed="81"/>
            <rFont val="Tahoma"/>
            <family val="2"/>
          </rPr>
          <t xml:space="preserve">The Factor of Safety against 
overturning about X-axis:
FS(ot)x = </t>
        </r>
        <r>
          <rPr>
            <sz val="8"/>
            <color indexed="81"/>
            <rFont val="Symbol"/>
            <family val="1"/>
            <charset val="2"/>
          </rPr>
          <t>S</t>
        </r>
        <r>
          <rPr>
            <sz val="8"/>
            <color indexed="81"/>
            <rFont val="Tahoma"/>
            <family val="2"/>
          </rPr>
          <t xml:space="preserve"> Mrx/</t>
        </r>
        <r>
          <rPr>
            <sz val="8"/>
            <color indexed="81"/>
            <rFont val="Symbol"/>
            <family val="1"/>
            <charset val="2"/>
          </rPr>
          <t>S</t>
        </r>
        <r>
          <rPr>
            <sz val="8"/>
            <color indexed="81"/>
            <rFont val="Tahoma"/>
            <family val="2"/>
          </rPr>
          <t xml:space="preserve"> Mox</t>
        </r>
      </text>
    </comment>
    <comment ref="C68" authorId="0">
      <text>
        <r>
          <rPr>
            <sz val="8"/>
            <color indexed="81"/>
            <rFont val="Tahoma"/>
            <family val="2"/>
          </rPr>
          <t>'</t>
        </r>
        <r>
          <rPr>
            <sz val="8"/>
            <color indexed="81"/>
            <rFont val="Symbol"/>
            <family val="1"/>
            <charset val="2"/>
          </rPr>
          <t>S</t>
        </r>
        <r>
          <rPr>
            <sz val="8"/>
            <color indexed="81"/>
            <rFont val="Tahoma"/>
            <family val="2"/>
          </rPr>
          <t xml:space="preserve"> Mry' is the summation of the (righting) moments resisting overturning about the Y-axis of the footing.
Note: the applied live loads and the surcharge weight are not included.</t>
        </r>
      </text>
    </comment>
    <comment ref="C69" authorId="0">
      <text>
        <r>
          <rPr>
            <sz val="8"/>
            <color indexed="81"/>
            <rFont val="Tahoma"/>
            <family val="2"/>
          </rPr>
          <t>'</t>
        </r>
        <r>
          <rPr>
            <sz val="8"/>
            <color indexed="81"/>
            <rFont val="Symbol"/>
            <family val="1"/>
            <charset val="2"/>
          </rPr>
          <t>S</t>
        </r>
        <r>
          <rPr>
            <sz val="8"/>
            <color indexed="81"/>
            <rFont val="Tahoma"/>
            <family val="2"/>
          </rPr>
          <t xml:space="preserve"> Moy' is the summation of the moments causing overturning about the Y-axis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C70" authorId="0">
      <text>
        <r>
          <rPr>
            <sz val="8"/>
            <color indexed="81"/>
            <rFont val="Tahoma"/>
            <family val="2"/>
          </rPr>
          <t xml:space="preserve">The Factor of Safety against 
overturning about Y-axis:
FS(ot)y = </t>
        </r>
        <r>
          <rPr>
            <sz val="8"/>
            <color indexed="81"/>
            <rFont val="Symbol"/>
            <family val="1"/>
            <charset val="2"/>
          </rPr>
          <t>S</t>
        </r>
        <r>
          <rPr>
            <sz val="8"/>
            <color indexed="81"/>
            <rFont val="Tahoma"/>
            <family val="2"/>
          </rPr>
          <t xml:space="preserve"> Mry/</t>
        </r>
        <r>
          <rPr>
            <sz val="8"/>
            <color indexed="81"/>
            <rFont val="Symbol"/>
            <family val="1"/>
            <charset val="2"/>
          </rPr>
          <t>S</t>
        </r>
        <r>
          <rPr>
            <sz val="8"/>
            <color indexed="81"/>
            <rFont val="Tahoma"/>
            <family val="2"/>
          </rPr>
          <t xml:space="preserve"> Moy</t>
        </r>
      </text>
    </comment>
    <comment ref="C73" authorId="0">
      <text>
        <r>
          <rPr>
            <sz val="8"/>
            <color indexed="81"/>
            <rFont val="Tahoma"/>
            <family val="2"/>
          </rPr>
          <t xml:space="preserve">'Pass(x)' is the passive soil pressure against the footing base of width, 'B', which is available to resist X-direction horizontal loads.
</t>
        </r>
        <r>
          <rPr>
            <sz val="8"/>
            <color indexed="10"/>
            <rFont val="Tahoma"/>
            <family val="2"/>
          </rPr>
          <t>Note: passive pressure against piers is ignored.</t>
        </r>
      </text>
    </comment>
    <comment ref="C74" authorId="0">
      <text>
        <r>
          <rPr>
            <sz val="8"/>
            <color indexed="81"/>
            <rFont val="Tahoma"/>
            <family val="2"/>
          </rPr>
          <t>'Frict(x)' is the frictional resistance between the footing base (concrete) and the soil available to resist X-direction horizontal loads.</t>
        </r>
      </text>
    </comment>
    <comment ref="C75" authorId="0">
      <text>
        <r>
          <rPr>
            <sz val="8"/>
            <color indexed="81"/>
            <rFont val="Tahoma"/>
            <family val="2"/>
          </rPr>
          <t>The Factor of Safety against sliding in X-direction:
FS(slid)x = (Pass(x)+Fric(x))/ABS(</t>
        </r>
        <r>
          <rPr>
            <sz val="8"/>
            <color indexed="81"/>
            <rFont val="Symbol"/>
            <family val="1"/>
            <charset val="2"/>
          </rPr>
          <t>S</t>
        </r>
        <r>
          <rPr>
            <sz val="8"/>
            <color indexed="81"/>
            <rFont val="Tahoma"/>
            <family val="2"/>
          </rPr>
          <t xml:space="preserve"> Hx)</t>
        </r>
      </text>
    </comment>
    <comment ref="C76" authorId="0">
      <text>
        <r>
          <rPr>
            <sz val="8"/>
            <color indexed="81"/>
            <rFont val="Tahoma"/>
            <family val="2"/>
          </rPr>
          <t xml:space="preserve">'Pass(y)' is the passive soil pressure against the footing base of length, 'L', which is availble to resist Y-direction horizontal loads.
</t>
        </r>
        <r>
          <rPr>
            <sz val="8"/>
            <color indexed="10"/>
            <rFont val="Tahoma"/>
            <family val="2"/>
          </rPr>
          <t>Note: passive pressure against piers is ignored.</t>
        </r>
      </text>
    </comment>
    <comment ref="C77" authorId="0">
      <text>
        <r>
          <rPr>
            <sz val="8"/>
            <color indexed="81"/>
            <rFont val="Tahoma"/>
            <family val="2"/>
          </rPr>
          <t>'Frict(y)' is the frictional resistance between the footing base (concrete) and the soil available to resist Y-direction horizontal loads.</t>
        </r>
      </text>
    </comment>
    <comment ref="C78" authorId="0">
      <text>
        <r>
          <rPr>
            <sz val="8"/>
            <color indexed="81"/>
            <rFont val="Tahoma"/>
            <family val="2"/>
          </rPr>
          <t>The Factor of Safety against sliding in Y-direction:
FS(slid)y = (Pass(y)+Fric(y))/ABS(</t>
        </r>
        <r>
          <rPr>
            <sz val="8"/>
            <color indexed="81"/>
            <rFont val="Symbol"/>
            <family val="1"/>
            <charset val="2"/>
          </rPr>
          <t>S</t>
        </r>
        <r>
          <rPr>
            <sz val="8"/>
            <color indexed="81"/>
            <rFont val="Tahoma"/>
            <family val="2"/>
          </rPr>
          <t xml:space="preserve"> Hy)</t>
        </r>
      </text>
    </comment>
    <comment ref="C81" authorId="0">
      <text>
        <r>
          <rPr>
            <sz val="8"/>
            <color indexed="81"/>
            <rFont val="Tahoma"/>
            <family val="2"/>
          </rPr>
          <t>'</t>
        </r>
        <r>
          <rPr>
            <sz val="8"/>
            <color indexed="81"/>
            <rFont val="Symbol"/>
            <family val="1"/>
            <charset val="2"/>
          </rPr>
          <t>S</t>
        </r>
        <r>
          <rPr>
            <sz val="8"/>
            <color indexed="81"/>
            <rFont val="Tahoma"/>
            <family val="2"/>
          </rPr>
          <t xml:space="preserve"> Pz(down)' is the summation of all applied vertical dead loads acting downward at pier(s) plus footing weight and soil weight.
Note: the applied vertical live loads and the surcharge weight are not included.</t>
        </r>
      </text>
    </comment>
    <comment ref="C82" authorId="0">
      <text>
        <r>
          <rPr>
            <sz val="8"/>
            <color indexed="81"/>
            <rFont val="Tahoma"/>
            <family val="2"/>
          </rPr>
          <t>'</t>
        </r>
        <r>
          <rPr>
            <sz val="8"/>
            <color indexed="81"/>
            <rFont val="Symbol"/>
            <family val="1"/>
            <charset val="2"/>
          </rPr>
          <t>S</t>
        </r>
        <r>
          <rPr>
            <sz val="8"/>
            <color indexed="81"/>
            <rFont val="Tahoma"/>
            <family val="2"/>
          </rPr>
          <t xml:space="preserve"> Pz(uplift)' is the summation of all applied vertical loads acting upward (uplift) at pier(s).</t>
        </r>
      </text>
    </comment>
    <comment ref="C83" authorId="0">
      <text>
        <r>
          <rPr>
            <sz val="8"/>
            <color indexed="81"/>
            <rFont val="Tahoma"/>
            <family val="2"/>
          </rPr>
          <t xml:space="preserve">The Factor of Safety against uplift:
FS(uplift) = </t>
        </r>
        <r>
          <rPr>
            <sz val="8"/>
            <color indexed="81"/>
            <rFont val="Symbol"/>
            <family val="1"/>
            <charset val="2"/>
          </rPr>
          <t>S</t>
        </r>
        <r>
          <rPr>
            <sz val="8"/>
            <color indexed="81"/>
            <rFont val="Tahoma"/>
            <family val="2"/>
          </rPr>
          <t xml:space="preserve"> P(down)/</t>
        </r>
        <r>
          <rPr>
            <sz val="8"/>
            <color indexed="81"/>
            <rFont val="Symbol"/>
            <family val="1"/>
            <charset val="2"/>
          </rPr>
          <t>S</t>
        </r>
        <r>
          <rPr>
            <sz val="8"/>
            <color indexed="81"/>
            <rFont val="Tahoma"/>
            <family val="2"/>
          </rPr>
          <t xml:space="preserve"> P(uplift)</t>
        </r>
      </text>
    </comment>
    <comment ref="C86" authorId="0">
      <text>
        <r>
          <rPr>
            <sz val="8"/>
            <color indexed="81"/>
            <rFont val="Tahoma"/>
            <family val="2"/>
          </rPr>
          <t>For cases of biaxial resultant eccentricity with 1 to 3 corners without bearing   (when  ABS(6*ex/L)+ABS(6*ey/B) &gt; 1.0), the Distance 'x', is the distance away from the corner of maximum soil bearing pressure to the "line of zero pressure", running in the X-axis direction along the edge of the footing.  Distance 'x' has no sign convention associated to it.</t>
        </r>
      </text>
    </comment>
    <comment ref="C87" authorId="0">
      <text>
        <r>
          <rPr>
            <sz val="8"/>
            <color indexed="81"/>
            <rFont val="Tahoma"/>
            <family val="2"/>
          </rPr>
          <t>For cases of biaxial resultant eccentricity with 1 to 3 corners without bearing   (when  ABS(6*ex/L)+ABS(6*ey/B) &gt; 1.0), the Distance 'y', is the distance away from the corner of maximum soil bearing pressure to the "line of zero pressure", running in the Y-axis direction along the edge of the footing.  Distance 'y' has no sign convention associated to it.</t>
        </r>
      </text>
    </comment>
    <comment ref="C94" authorId="0">
      <text>
        <r>
          <rPr>
            <sz val="8"/>
            <color indexed="81"/>
            <rFont val="Tahoma"/>
            <family val="2"/>
          </rPr>
          <t>'P1' is the gross soil bearing at footing corner #1, which is located at the lower right-hand corner of footing plan.</t>
        </r>
      </text>
    </comment>
    <comment ref="C95" authorId="0">
      <text>
        <r>
          <rPr>
            <sz val="8"/>
            <color indexed="81"/>
            <rFont val="Tahoma"/>
            <family val="2"/>
          </rPr>
          <t>'P2' is the gross soil bearing at footing corner #2, which is located at the upper right-hand corner of footing plan.</t>
        </r>
      </text>
    </comment>
    <comment ref="C96" authorId="0">
      <text>
        <r>
          <rPr>
            <sz val="8"/>
            <color indexed="81"/>
            <rFont val="Tahoma"/>
            <family val="2"/>
          </rPr>
          <t>'P3' is the gross soil bearing at footing corner #3, which is located at the upper left-hand corner of footing plan.</t>
        </r>
      </text>
    </comment>
    <comment ref="C97" authorId="0">
      <text>
        <r>
          <rPr>
            <sz val="8"/>
            <color indexed="81"/>
            <rFont val="Tahoma"/>
            <family val="2"/>
          </rPr>
          <t>'P4' is the gross soil bearing at footing corner #4, which is located at the lower left-hand corner of footing plan.</t>
        </r>
      </text>
    </comment>
  </commentList>
</comments>
</file>

<file path=xl/comments3.xml><?xml version="1.0" encoding="utf-8"?>
<comments xmlns="http://schemas.openxmlformats.org/spreadsheetml/2006/main">
  <authors>
    <author>O'Neal, Inc.</author>
  </authors>
  <commentList>
    <comment ref="V8" authorId="0">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List>
</comments>
</file>

<file path=xl/sharedStrings.xml><?xml version="1.0" encoding="utf-8"?>
<sst xmlns="http://schemas.openxmlformats.org/spreadsheetml/2006/main" count="1047" uniqueCount="424">
  <si>
    <r>
      <t xml:space="preserve">17.  In the "Footings (Table)" worksheet, the program assumes a "tension controlled" section and uses </t>
    </r>
    <r>
      <rPr>
        <sz val="9"/>
        <color indexed="10"/>
        <rFont val="Symbol"/>
        <family val="1"/>
        <charset val="2"/>
      </rPr>
      <t>f</t>
    </r>
    <r>
      <rPr>
        <sz val="9"/>
        <color indexed="10"/>
        <rFont val="Arial"/>
        <family val="2"/>
      </rPr>
      <t xml:space="preserve"> = 0.90 </t>
    </r>
  </si>
  <si>
    <t>19.  This program contains numerous “comment boxes” which contain a wide variety of information including</t>
  </si>
  <si>
    <r>
      <t xml:space="preserve">     However, for either the ACI 318-02 or ACI 318-05 Codes, </t>
    </r>
    <r>
      <rPr>
        <sz val="9"/>
        <color indexed="10"/>
        <rFont val="Symbol"/>
        <family val="1"/>
        <charset val="2"/>
      </rPr>
      <t>f</t>
    </r>
    <r>
      <rPr>
        <sz val="9"/>
        <color indexed="10"/>
        <rFont val="Arial"/>
      </rPr>
      <t xml:space="preserve"> must be determined based on actual reinforcing  </t>
    </r>
  </si>
  <si>
    <t xml:space="preserve">18.  In the "Footings (Pier Table)" worksheet, for pure flexure (no axial load) the program determines the strain in </t>
  </si>
  <si>
    <r>
      <t xml:space="preserve">     the tension reinforcing and then the capacity reduction factor </t>
    </r>
    <r>
      <rPr>
        <sz val="9"/>
        <color indexed="10"/>
        <rFont val="Symbol"/>
        <family val="1"/>
        <charset val="2"/>
      </rPr>
      <t>f</t>
    </r>
    <r>
      <rPr>
        <sz val="9"/>
        <color indexed="10"/>
        <rFont val="Arial"/>
      </rPr>
      <t xml:space="preserve"> &lt;= 0.90.</t>
    </r>
  </si>
  <si>
    <t xml:space="preserve">10.  The "Footing (breakdown of loads)" worksheet considers only applied wind (or seismic) shears, uplifts, and  </t>
  </si>
  <si>
    <t xml:space="preserve">     moments as forces causing overturning.  Any wind (or seismic) loads which act in opposite direction to sense </t>
  </si>
  <si>
    <t xml:space="preserve">     of overturning are considered as forces which reduce the total overturning.  Only applied pier dead (not live) </t>
  </si>
  <si>
    <t xml:space="preserve">     loadings are considered as forces resisting overturning.  Any dead loadings which act in opposite direction to </t>
  </si>
  <si>
    <t xml:space="preserve">     sense of resisting overturning are considered as forces which reduce the total resistance to overturning.</t>
  </si>
  <si>
    <t xml:space="preserve">     318-02, or 318-05 Code to perform the reinforced concrete analysis/design for one-way (beam-type) shear, </t>
  </si>
  <si>
    <t xml:space="preserve">     two-way (punching) shear, and flexural reinforcing requirements.</t>
  </si>
  <si>
    <t xml:space="preserve">16.  The "Footings (Table)" and "Footings (Pier Table)" worksheets enable the user select either the ACI 318-99, </t>
  </si>
  <si>
    <t>Then, input only the dead loads for the "real" pier, while inputing only the wind (seismic)</t>
  </si>
  <si>
    <t>worksheet as far as separating wind loads from gravity loads by inputing data/loadings</t>
  </si>
  <si>
    <t>at a duplicate, "ficticious" pier which has no plan pier dimensions (Lpx, Lpy = 0).</t>
  </si>
  <si>
    <t>For uplift and overturning checks due to wind (or seismic) only, the user may "trick" this</t>
  </si>
  <si>
    <t>loadings on the "ficticious" pier.</t>
  </si>
  <si>
    <t>Plotting Coordinates:</t>
  </si>
  <si>
    <t>CALCULATIONS:</t>
  </si>
  <si>
    <t>Job Name:</t>
  </si>
  <si>
    <t>Subject:</t>
  </si>
  <si>
    <t>Job Number:</t>
  </si>
  <si>
    <t>Originator:</t>
  </si>
  <si>
    <t>Checker:</t>
  </si>
  <si>
    <t>Input Data:</t>
  </si>
  <si>
    <t xml:space="preserve"> </t>
  </si>
  <si>
    <t>Pier/Loading Data:</t>
  </si>
  <si>
    <t>Results:</t>
  </si>
  <si>
    <t>Xc =</t>
  </si>
  <si>
    <t>Yc =</t>
  </si>
  <si>
    <t>Pier #1</t>
  </si>
  <si>
    <t>Pier #2</t>
  </si>
  <si>
    <t>Pier #3</t>
  </si>
  <si>
    <t>Pier #4</t>
  </si>
  <si>
    <t>Pier #5</t>
  </si>
  <si>
    <t>Pier #6</t>
  </si>
  <si>
    <t>Pier #7</t>
  </si>
  <si>
    <t>Pier #8</t>
  </si>
  <si>
    <r>
      <t xml:space="preserve">Soil Unit Wt., </t>
    </r>
    <r>
      <rPr>
        <sz val="10"/>
        <color indexed="8"/>
        <rFont val="Symbol"/>
        <family val="1"/>
        <charset val="2"/>
      </rPr>
      <t>g</t>
    </r>
    <r>
      <rPr>
        <sz val="10"/>
        <color indexed="8"/>
        <rFont val="Arial"/>
        <family val="2"/>
      </rPr>
      <t>s =</t>
    </r>
  </si>
  <si>
    <t>Uniform Surcharge, Q =</t>
  </si>
  <si>
    <t>ft.</t>
  </si>
  <si>
    <t>ksf</t>
  </si>
  <si>
    <t>Fdn. Xc:</t>
  </si>
  <si>
    <t>Fdn. Yc:</t>
  </si>
  <si>
    <t>Fdn. Lfx:</t>
  </si>
  <si>
    <t>Fdn. Lfy:</t>
  </si>
  <si>
    <t>Pier L1x:</t>
  </si>
  <si>
    <t>Pier L1y:</t>
  </si>
  <si>
    <t>Pier L2x:</t>
  </si>
  <si>
    <t>Pier L2y:</t>
  </si>
  <si>
    <t>Pier L3x:</t>
  </si>
  <si>
    <t>Pier L3y:</t>
  </si>
  <si>
    <t>Pier L4x:</t>
  </si>
  <si>
    <t>Pier L4y:</t>
  </si>
  <si>
    <t>Pier L5x:</t>
  </si>
  <si>
    <t>Pier L5y:</t>
  </si>
  <si>
    <t>Pier L6x:</t>
  </si>
  <si>
    <t>Pier L6y:</t>
  </si>
  <si>
    <t>Pier L7x:</t>
  </si>
  <si>
    <t>Pier L7y:</t>
  </si>
  <si>
    <t>Pier L8x:</t>
  </si>
  <si>
    <t>Pier L8y:</t>
  </si>
  <si>
    <t>Foundation Centroid:</t>
  </si>
  <si>
    <t>ex =</t>
  </si>
  <si>
    <t>ey =</t>
  </si>
  <si>
    <t>kips</t>
  </si>
  <si>
    <t>Check Ecc.:</t>
  </si>
  <si>
    <t>AA</t>
  </si>
  <si>
    <t>BB</t>
  </si>
  <si>
    <t>Ax</t>
  </si>
  <si>
    <t>Ay</t>
  </si>
  <si>
    <t>FA</t>
  </si>
  <si>
    <t>QX</t>
  </si>
  <si>
    <t>QY</t>
  </si>
  <si>
    <t>IX</t>
  </si>
  <si>
    <t>IY</t>
  </si>
  <si>
    <t>IZ</t>
  </si>
  <si>
    <t>LOx</t>
  </si>
  <si>
    <t>LOy</t>
  </si>
  <si>
    <t>K1</t>
  </si>
  <si>
    <t>K2</t>
  </si>
  <si>
    <t>K3</t>
  </si>
  <si>
    <t>K4</t>
  </si>
  <si>
    <t>K5</t>
  </si>
  <si>
    <t>K6</t>
  </si>
  <si>
    <t>AP</t>
  </si>
  <si>
    <t>BP</t>
  </si>
  <si>
    <t>C1</t>
  </si>
  <si>
    <t>C2</t>
  </si>
  <si>
    <t>P1</t>
  </si>
  <si>
    <t>P2</t>
  </si>
  <si>
    <t>P3</t>
  </si>
  <si>
    <t>P4</t>
  </si>
  <si>
    <t>Foundation, Soil, and Surcharge:</t>
  </si>
  <si>
    <t>Soil Wt. =</t>
  </si>
  <si>
    <t>Surch. Wt. =</t>
  </si>
  <si>
    <r>
      <t xml:space="preserve">Concrete Unit Wt., </t>
    </r>
    <r>
      <rPr>
        <sz val="10"/>
        <rFont val="Symbol"/>
        <family val="1"/>
        <charset val="2"/>
      </rPr>
      <t>g</t>
    </r>
    <r>
      <rPr>
        <sz val="10"/>
        <rFont val="Arial"/>
      </rPr>
      <t>c =</t>
    </r>
  </si>
  <si>
    <t>W(total) =</t>
  </si>
  <si>
    <t>Pier Weights and Loads:</t>
  </si>
  <si>
    <t>xp =</t>
  </si>
  <si>
    <t>yp =</t>
  </si>
  <si>
    <t>Base Wt. =</t>
  </si>
  <si>
    <r>
      <t>S</t>
    </r>
    <r>
      <rPr>
        <sz val="10"/>
        <color indexed="12"/>
        <rFont val="Arial"/>
        <family val="2"/>
      </rPr>
      <t>Pz =</t>
    </r>
  </si>
  <si>
    <t>-(Pz) =</t>
  </si>
  <si>
    <t>Total Vertical Load:</t>
  </si>
  <si>
    <r>
      <t>S</t>
    </r>
    <r>
      <rPr>
        <sz val="10"/>
        <color indexed="12"/>
        <rFont val="Arial"/>
        <family val="2"/>
      </rPr>
      <t>Pz = W(total)+</t>
    </r>
    <r>
      <rPr>
        <sz val="10"/>
        <color indexed="12"/>
        <rFont val="Symbol"/>
        <family val="1"/>
        <charset val="2"/>
      </rPr>
      <t>S</t>
    </r>
    <r>
      <rPr>
        <sz val="10"/>
        <color indexed="12"/>
        <rFont val="Arial"/>
        <family val="2"/>
      </rPr>
      <t>Pz</t>
    </r>
  </si>
  <si>
    <t>ft-k</t>
  </si>
  <si>
    <r>
      <t>S</t>
    </r>
    <r>
      <rPr>
        <sz val="10"/>
        <color indexed="12"/>
        <rFont val="Arial"/>
        <family val="2"/>
      </rPr>
      <t>Mex =</t>
    </r>
  </si>
  <si>
    <r>
      <t>S</t>
    </r>
    <r>
      <rPr>
        <sz val="10"/>
        <color indexed="12"/>
        <rFont val="Arial"/>
        <family val="2"/>
      </rPr>
      <t>Mox =</t>
    </r>
  </si>
  <si>
    <r>
      <t>S</t>
    </r>
    <r>
      <rPr>
        <sz val="10"/>
        <color indexed="12"/>
        <rFont val="Arial"/>
        <family val="2"/>
      </rPr>
      <t>Mey =</t>
    </r>
  </si>
  <si>
    <r>
      <t>S</t>
    </r>
    <r>
      <rPr>
        <sz val="10"/>
        <color indexed="12"/>
        <rFont val="Arial"/>
        <family val="2"/>
      </rPr>
      <t>Moy =</t>
    </r>
  </si>
  <si>
    <r>
      <t>S</t>
    </r>
    <r>
      <rPr>
        <sz val="10"/>
        <color indexed="12"/>
        <rFont val="Arial"/>
        <family val="2"/>
      </rPr>
      <t>(-Pz) =</t>
    </r>
  </si>
  <si>
    <t>Uplift Check:</t>
  </si>
  <si>
    <t>FS(uplift) =</t>
  </si>
  <si>
    <t>Overturning Check:</t>
  </si>
  <si>
    <r>
      <t>S</t>
    </r>
    <r>
      <rPr>
        <sz val="10"/>
        <color indexed="12"/>
        <rFont val="Arial"/>
        <family val="2"/>
      </rPr>
      <t>Mrx =</t>
    </r>
  </si>
  <si>
    <t>FS(ot)x =</t>
  </si>
  <si>
    <r>
      <t>S</t>
    </r>
    <r>
      <rPr>
        <sz val="10"/>
        <color indexed="12"/>
        <rFont val="Arial"/>
        <family val="2"/>
      </rPr>
      <t>Mry =</t>
    </r>
  </si>
  <si>
    <t>FS(ot)y =</t>
  </si>
  <si>
    <t>Mrx =</t>
  </si>
  <si>
    <t>Mry =</t>
  </si>
  <si>
    <t>Eccentricity of Resultant Loads:</t>
  </si>
  <si>
    <t>Resultant Bearing Pressures:</t>
  </si>
  <si>
    <t>P3 =</t>
  </si>
  <si>
    <t>P4 =</t>
  </si>
  <si>
    <t>P2 =</t>
  </si>
  <si>
    <t>P1 =</t>
  </si>
  <si>
    <t>BRG</t>
  </si>
  <si>
    <t>BRGX</t>
  </si>
  <si>
    <t>P(max) =</t>
  </si>
  <si>
    <t>P(min) =</t>
  </si>
  <si>
    <t>Brg. Lx =</t>
  </si>
  <si>
    <t>BRGY</t>
  </si>
  <si>
    <t>BIAX1</t>
  </si>
  <si>
    <t>Brg. Ly =</t>
  </si>
  <si>
    <t>BIAX2</t>
  </si>
  <si>
    <t>Total Resultant Load and Eccentricities:</t>
  </si>
  <si>
    <r>
      <t>S</t>
    </r>
    <r>
      <rPr>
        <sz val="10"/>
        <color indexed="8"/>
        <rFont val="Arial"/>
      </rPr>
      <t>Pz =</t>
    </r>
  </si>
  <si>
    <r>
      <t>S</t>
    </r>
    <r>
      <rPr>
        <sz val="10"/>
        <color indexed="8"/>
        <rFont val="Arial"/>
      </rPr>
      <t>Mrx =</t>
    </r>
  </si>
  <si>
    <r>
      <t>S</t>
    </r>
    <r>
      <rPr>
        <sz val="10"/>
        <color indexed="8"/>
        <rFont val="Arial"/>
      </rPr>
      <t>Mox =</t>
    </r>
  </si>
  <si>
    <r>
      <t>S</t>
    </r>
    <r>
      <rPr>
        <sz val="10"/>
        <color indexed="8"/>
        <rFont val="Arial"/>
      </rPr>
      <t>Mry =</t>
    </r>
  </si>
  <si>
    <r>
      <t>S</t>
    </r>
    <r>
      <rPr>
        <sz val="10"/>
        <color indexed="8"/>
        <rFont val="Arial"/>
      </rPr>
      <t>Moy =</t>
    </r>
  </si>
  <si>
    <t>ft-kips</t>
  </si>
  <si>
    <t>Number of Piers =</t>
  </si>
  <si>
    <r>
      <t xml:space="preserve">Pz </t>
    </r>
    <r>
      <rPr>
        <sz val="8"/>
        <rFont val="Arial"/>
        <family val="2"/>
      </rPr>
      <t>(k)</t>
    </r>
    <r>
      <rPr>
        <sz val="10"/>
        <rFont val="Arial"/>
      </rPr>
      <t xml:space="preserve"> =</t>
    </r>
  </si>
  <si>
    <r>
      <t xml:space="preserve">Hx </t>
    </r>
    <r>
      <rPr>
        <sz val="8"/>
        <rFont val="Arial"/>
        <family val="2"/>
      </rPr>
      <t>(k)</t>
    </r>
    <r>
      <rPr>
        <sz val="10"/>
        <rFont val="Arial"/>
      </rPr>
      <t xml:space="preserve"> =</t>
    </r>
  </si>
  <si>
    <r>
      <t xml:space="preserve">Hy </t>
    </r>
    <r>
      <rPr>
        <sz val="8"/>
        <rFont val="Arial"/>
        <family val="2"/>
      </rPr>
      <t>(k)</t>
    </r>
    <r>
      <rPr>
        <sz val="10"/>
        <rFont val="Arial"/>
      </rPr>
      <t xml:space="preserve"> =</t>
    </r>
  </si>
  <si>
    <r>
      <t xml:space="preserve">Mx </t>
    </r>
    <r>
      <rPr>
        <sz val="8"/>
        <rFont val="Arial"/>
        <family val="2"/>
      </rPr>
      <t>(ft-k)</t>
    </r>
    <r>
      <rPr>
        <sz val="10"/>
        <rFont val="Arial"/>
      </rPr>
      <t xml:space="preserve"> =</t>
    </r>
  </si>
  <si>
    <r>
      <t xml:space="preserve">My </t>
    </r>
    <r>
      <rPr>
        <sz val="8"/>
        <rFont val="Arial"/>
        <family val="2"/>
      </rPr>
      <t>(ft-k)</t>
    </r>
    <r>
      <rPr>
        <sz val="10"/>
        <rFont val="Arial"/>
      </rPr>
      <t xml:space="preserve"> =</t>
    </r>
  </si>
  <si>
    <r>
      <t xml:space="preserve">Xp </t>
    </r>
    <r>
      <rPr>
        <sz val="8"/>
        <rFont val="Arial"/>
        <family val="2"/>
      </rPr>
      <t>(ft.)</t>
    </r>
    <r>
      <rPr>
        <sz val="10"/>
        <rFont val="Arial"/>
      </rPr>
      <t xml:space="preserve"> =</t>
    </r>
  </si>
  <si>
    <r>
      <t xml:space="preserve">Yp </t>
    </r>
    <r>
      <rPr>
        <sz val="8"/>
        <rFont val="Arial"/>
        <family val="2"/>
      </rPr>
      <t>(ft.)</t>
    </r>
    <r>
      <rPr>
        <sz val="10"/>
        <rFont val="Arial"/>
      </rPr>
      <t xml:space="preserve"> =</t>
    </r>
  </si>
  <si>
    <t>%</t>
  </si>
  <si>
    <t>Distance dx =</t>
  </si>
  <si>
    <t>Distance dy =</t>
  </si>
  <si>
    <t>Dist. dx</t>
  </si>
  <si>
    <t>Dist. dy</t>
  </si>
  <si>
    <t>Index</t>
  </si>
  <si>
    <t>Find C1=0</t>
  </si>
  <si>
    <t>Find C2=0</t>
  </si>
  <si>
    <t>ex:</t>
  </si>
  <si>
    <t>ey:</t>
  </si>
  <si>
    <t>Plot Scale Factors</t>
  </si>
  <si>
    <t>X-axis</t>
  </si>
  <si>
    <t>Y-axis</t>
  </si>
  <si>
    <t>Plot Scale Factor #1:</t>
  </si>
  <si>
    <t>Plot Scale Factor #2:</t>
  </si>
  <si>
    <t>Plot Scale Factor #3:</t>
  </si>
  <si>
    <t>Plot Scale Factor #4:</t>
  </si>
  <si>
    <t>Gross Soil Bearing Corner Pressures:</t>
  </si>
  <si>
    <t>Brg. Ly1 =</t>
  </si>
  <si>
    <t>Brg. Ly2 =</t>
  </si>
  <si>
    <t>Brg. Ly2 = dy</t>
  </si>
  <si>
    <t>Brg. Lx1 =</t>
  </si>
  <si>
    <t>Brg. Lx2 =</t>
  </si>
  <si>
    <t>Brg. Lx2 = dx</t>
  </si>
  <si>
    <t>Brg. Lx = dx</t>
  </si>
  <si>
    <t>Brg. Ly = dy</t>
  </si>
  <si>
    <t>%Brg. Area =</t>
  </si>
  <si>
    <t>% Brg. Area =</t>
  </si>
  <si>
    <t>% Brg. Area = 100% (full bearing)</t>
  </si>
  <si>
    <t>Bearing Length and % Bearing Area:</t>
  </si>
  <si>
    <t>Dist. x =</t>
  </si>
  <si>
    <t>Dist. y =</t>
  </si>
  <si>
    <t>CORNER PRESSURES</t>
  </si>
  <si>
    <r>
      <t xml:space="preserve">Lpx </t>
    </r>
    <r>
      <rPr>
        <sz val="8"/>
        <rFont val="Arial"/>
        <family val="2"/>
      </rPr>
      <t>(ft.)</t>
    </r>
    <r>
      <rPr>
        <sz val="10"/>
        <rFont val="Arial"/>
      </rPr>
      <t xml:space="preserve"> =</t>
    </r>
  </si>
  <si>
    <r>
      <t xml:space="preserve">Lpy </t>
    </r>
    <r>
      <rPr>
        <sz val="8"/>
        <rFont val="Arial"/>
        <family val="2"/>
      </rPr>
      <t>(ft.)</t>
    </r>
    <r>
      <rPr>
        <sz val="10"/>
        <rFont val="Arial"/>
      </rPr>
      <t xml:space="preserve"> =</t>
    </r>
  </si>
  <si>
    <t>Soil Depth, D =</t>
  </si>
  <si>
    <r>
      <t xml:space="preserve">h </t>
    </r>
    <r>
      <rPr>
        <sz val="8"/>
        <rFont val="Arial"/>
        <family val="2"/>
      </rPr>
      <t>(ft.)</t>
    </r>
    <r>
      <rPr>
        <sz val="10"/>
        <rFont val="Arial"/>
      </rPr>
      <t xml:space="preserve"> =</t>
    </r>
  </si>
  <si>
    <r>
      <t>Wf = (L*B*T)*</t>
    </r>
    <r>
      <rPr>
        <sz val="10"/>
        <color indexed="12"/>
        <rFont val="Symbol"/>
        <family val="1"/>
        <charset val="2"/>
      </rPr>
      <t>g</t>
    </r>
    <r>
      <rPr>
        <sz val="10"/>
        <color indexed="12"/>
        <rFont val="Arial"/>
        <family val="2"/>
      </rPr>
      <t>c</t>
    </r>
  </si>
  <si>
    <r>
      <t>Ws = (L*B*D)*</t>
    </r>
    <r>
      <rPr>
        <sz val="10"/>
        <color indexed="12"/>
        <rFont val="Symbol"/>
        <family val="1"/>
        <charset val="2"/>
      </rPr>
      <t>g</t>
    </r>
    <r>
      <rPr>
        <sz val="10"/>
        <color indexed="12"/>
        <rFont val="Arial"/>
        <family val="2"/>
      </rPr>
      <t>s</t>
    </r>
  </si>
  <si>
    <t>Wq = (L*B)*Q</t>
  </si>
  <si>
    <r>
      <t>S</t>
    </r>
    <r>
      <rPr>
        <sz val="10"/>
        <color indexed="12"/>
        <rFont val="Arial"/>
        <family val="2"/>
      </rPr>
      <t xml:space="preserve">(Wp) = </t>
    </r>
    <r>
      <rPr>
        <sz val="10"/>
        <color indexed="12"/>
        <rFont val="Symbol"/>
        <family val="1"/>
        <charset val="2"/>
      </rPr>
      <t>S</t>
    </r>
    <r>
      <rPr>
        <sz val="10"/>
        <color indexed="12"/>
        <rFont val="Arial"/>
        <family val="2"/>
      </rPr>
      <t>(Lpx*Lpy*h*(D*(gc-gs)+(h-D)*gc)</t>
    </r>
  </si>
  <si>
    <t>W(total) = Wf+Ws+Wq  (not including excess pier weight)</t>
  </si>
  <si>
    <r>
      <t>S(</t>
    </r>
    <r>
      <rPr>
        <sz val="10"/>
        <color indexed="12"/>
        <rFont val="Arial"/>
        <family val="2"/>
      </rPr>
      <t>Excess Pier Wt.) =</t>
    </r>
  </si>
  <si>
    <t>% Brg. Area = Lx*Ly/(L*B)*100</t>
  </si>
  <si>
    <t>Brg. Lx = (dy-B)*(dx/dy)</t>
  </si>
  <si>
    <t>Brg. Ly = (dx-L)*(dy/dx)</t>
  </si>
  <si>
    <t>Brg. Ly1 = (dx-L)*(dy/dx)</t>
  </si>
  <si>
    <t>Case #1:  for dx&gt;L and dy&gt;B</t>
  </si>
  <si>
    <t>Case #2:  for dx&gt;L and dy&lt;=B</t>
  </si>
  <si>
    <t>Case #3:  for dx&lt;=L and dy&gt;B</t>
  </si>
  <si>
    <t>Case #4:  for dx&lt;=L and dy&lt;=B</t>
  </si>
  <si>
    <t>Brg. Lx1 = (dy-B)*(dx/dy)</t>
  </si>
  <si>
    <t>Solution for Biaxial Resultant Eccentricity for 1, 2, or 3 Corners with Zero Pressure ( when:  ABS(6*ex/L)+ABS(6*ey/B) &gt; 1.0 )</t>
  </si>
  <si>
    <t>Excess Pier Wt. =</t>
  </si>
  <si>
    <r>
      <t>S</t>
    </r>
    <r>
      <rPr>
        <sz val="10"/>
        <color indexed="12"/>
        <rFont val="Arial"/>
        <family val="2"/>
      </rPr>
      <t>Pz(dn) =</t>
    </r>
  </si>
  <si>
    <t>Pz(up) =</t>
  </si>
  <si>
    <r>
      <t>S</t>
    </r>
    <r>
      <rPr>
        <sz val="10"/>
        <color indexed="12"/>
        <rFont val="Arial"/>
        <family val="2"/>
      </rPr>
      <t>Pz(up) =</t>
    </r>
  </si>
  <si>
    <r>
      <t>S</t>
    </r>
    <r>
      <rPr>
        <sz val="10"/>
        <color indexed="12"/>
        <rFont val="Arial"/>
        <family val="2"/>
      </rPr>
      <t>Pz(down) =</t>
    </r>
  </si>
  <si>
    <r>
      <t>S</t>
    </r>
    <r>
      <rPr>
        <sz val="10"/>
        <color indexed="12"/>
        <rFont val="Arial"/>
        <family val="2"/>
      </rPr>
      <t>Pz(uplift) =</t>
    </r>
  </si>
  <si>
    <t>Mex(due to Pz) =</t>
  </si>
  <si>
    <t>Mox(due to Hy &amp; Mx) =</t>
  </si>
  <si>
    <t>Mey(due to Pz) =</t>
  </si>
  <si>
    <t>Moy(due to Pz) =</t>
  </si>
  <si>
    <t>Nomenclature for Biaxial Eccentricity:</t>
  </si>
  <si>
    <t>(Dist. x &gt; L  and  Dist. y &gt; B)</t>
  </si>
  <si>
    <t xml:space="preserve">For 3 Corners in Bearing </t>
  </si>
  <si>
    <t>Case 1:</t>
  </si>
  <si>
    <t>Case 2:</t>
  </si>
  <si>
    <t xml:space="preserve">For 2 Corners in Bearing </t>
  </si>
  <si>
    <t>(Dist. x &gt; L  and  Dist. y &lt;= B)</t>
  </si>
  <si>
    <t>Case 3:</t>
  </si>
  <si>
    <t>(Dist. x &lt;= L  and  Dist. y &gt; B)</t>
  </si>
  <si>
    <t>Case 4:</t>
  </si>
  <si>
    <t xml:space="preserve">For 1 Corner in Bearing </t>
  </si>
  <si>
    <t>(Dist. x &lt;= L  and  Dist. y &lt;= B)</t>
  </si>
  <si>
    <t>Note:</t>
  </si>
  <si>
    <t>There is no allowance for individual breakdown of dead, live, and wind (or seismic) loadings.</t>
  </si>
  <si>
    <t>This worksheet should be specifically used in any of the following conditions:</t>
  </si>
  <si>
    <t>a.  the individual breakdown of loadings is not known or is not critical</t>
  </si>
  <si>
    <t xml:space="preserve">b.  there are little or no uplift or overturning forces and moments due to wind (or seismic) </t>
  </si>
  <si>
    <t>d.  there are overturning forces or moments due to only gravity (dead or live) loadings</t>
  </si>
  <si>
    <t xml:space="preserve">This worksheet deals with only net applied loadings at the piers. </t>
  </si>
  <si>
    <t xml:space="preserve">c.  the factor of safety against uplift or overturning due to wind (or seismic) is not critical </t>
  </si>
  <si>
    <t>Tip:</t>
  </si>
  <si>
    <t>Maximum Net Soil Pressure:</t>
  </si>
  <si>
    <r>
      <t>P</t>
    </r>
    <r>
      <rPr>
        <sz val="8"/>
        <color indexed="8"/>
        <rFont val="Arial"/>
        <family val="2"/>
      </rPr>
      <t>max</t>
    </r>
    <r>
      <rPr>
        <sz val="10"/>
        <color indexed="8"/>
        <rFont val="Arial"/>
        <family val="2"/>
      </rPr>
      <t>(net) =</t>
    </r>
  </si>
  <si>
    <r>
      <t>P</t>
    </r>
    <r>
      <rPr>
        <sz val="8"/>
        <rFont val="Arial"/>
        <family val="2"/>
      </rPr>
      <t>max</t>
    </r>
    <r>
      <rPr>
        <sz val="10"/>
        <rFont val="Arial"/>
      </rPr>
      <t>(gross)-(D+T)*</t>
    </r>
    <r>
      <rPr>
        <sz val="10"/>
        <rFont val="Symbol"/>
        <family val="1"/>
        <charset val="2"/>
      </rPr>
      <t>g</t>
    </r>
    <r>
      <rPr>
        <sz val="10"/>
        <rFont val="Arial"/>
      </rPr>
      <t>s</t>
    </r>
  </si>
  <si>
    <t>Pz(dn) =</t>
  </si>
  <si>
    <r>
      <t>S</t>
    </r>
    <r>
      <rPr>
        <sz val="10"/>
        <color indexed="12"/>
        <rFont val="Arial"/>
        <family val="2"/>
      </rPr>
      <t xml:space="preserve">Pz(down) = </t>
    </r>
    <r>
      <rPr>
        <sz val="10"/>
        <color indexed="12"/>
        <rFont val="Symbol"/>
        <family val="1"/>
        <charset val="2"/>
      </rPr>
      <t>S</t>
    </r>
    <r>
      <rPr>
        <sz val="10"/>
        <color indexed="12"/>
        <rFont val="Arial"/>
        <family val="2"/>
      </rPr>
      <t>Pz+</t>
    </r>
    <r>
      <rPr>
        <sz val="10"/>
        <color indexed="12"/>
        <rFont val="Symbol"/>
        <family val="1"/>
        <charset val="2"/>
      </rPr>
      <t>S</t>
    </r>
    <r>
      <rPr>
        <sz val="10"/>
        <color indexed="12"/>
        <rFont val="Arial"/>
        <family val="2"/>
      </rPr>
      <t>Pz(up)-Wq</t>
    </r>
  </si>
  <si>
    <r>
      <t>S</t>
    </r>
    <r>
      <rPr>
        <sz val="10"/>
        <color indexed="8"/>
        <rFont val="Arial"/>
      </rPr>
      <t>Pz(down) =</t>
    </r>
  </si>
  <si>
    <r>
      <t>S</t>
    </r>
    <r>
      <rPr>
        <sz val="10"/>
        <color indexed="8"/>
        <rFont val="Arial"/>
      </rPr>
      <t>Pz(uplift) =</t>
    </r>
  </si>
  <si>
    <t>Footing Data:</t>
  </si>
  <si>
    <t>Footing Length, L =</t>
  </si>
  <si>
    <t>Footing Width, B =</t>
  </si>
  <si>
    <t>Footing Thickness, T =</t>
  </si>
  <si>
    <t>FOOTING PLAN</t>
  </si>
  <si>
    <t>kcf</t>
  </si>
  <si>
    <t>Moy(due to Hx &amp; My) =</t>
  </si>
  <si>
    <t>Mox(due to Pz) =</t>
  </si>
  <si>
    <t>"FOOTINGS" --- RECTANGULAR SPREAD FOOTING ANALYSIS</t>
  </si>
  <si>
    <t>Program Description:</t>
  </si>
  <si>
    <t xml:space="preserve">"FOOTINGS" is a spreadsheet program written in MS-Excel for the purpose of analysis of rigid rectangular </t>
  </si>
  <si>
    <t>spread footings with up to 8 total piers, and for either uniaxial or biaxial resultant eccentricities.  Overturning</t>
  </si>
  <si>
    <t>Worksheet Name</t>
  </si>
  <si>
    <t>Description</t>
  </si>
  <si>
    <t>Doc</t>
  </si>
  <si>
    <t>This documentation sheet</t>
  </si>
  <si>
    <t>Program Assumptions and Limitations:</t>
  </si>
  <si>
    <t xml:space="preserve">1.  This program assumes that the spread footing is in fact "rigid", so that the bearing pressure is distributed </t>
  </si>
  <si>
    <t xml:space="preserve">     linearly on a homogeneous soil.  (Note: the actual footing is generally not "rigid", nor is the pressure beaneth</t>
  </si>
  <si>
    <t xml:space="preserve">     it distributed linearly.  However, it has been found that solutions using the assumed "rigid" concept are </t>
  </si>
  <si>
    <t xml:space="preserve">     adequate and generally result in a conservative design.)</t>
  </si>
  <si>
    <t xml:space="preserve">2.  This program assumes an orthogonal X-Y-Z coordinate system with the origin located at the centroid of the </t>
  </si>
  <si>
    <t xml:space="preserve">     footing in plan (footprint).  "Right-Hand-Rule" sign convention is used for input of all pier coordinates as </t>
  </si>
  <si>
    <t xml:space="preserve">     well as for all applied forces and moments at piers.</t>
  </si>
  <si>
    <t>3.  This program will handle from 1 up to eight (8) total piers located anywhere on the base of the footing.</t>
  </si>
  <si>
    <t xml:space="preserve">     Piers can be numbered in any desired order.</t>
  </si>
  <si>
    <t>4.  This program does not check the actual calculated soil bearing pressure against a given allowable soil</t>
  </si>
  <si>
    <t xml:space="preserve">     pressure.  This is done so that the extent of acceptable overstress is left up to the judgement of the user. </t>
  </si>
  <si>
    <t xml:space="preserve">     However, in all cases this must be checked by the user.</t>
  </si>
  <si>
    <t xml:space="preserve">5.  This program does not use a specified permissible value for the factor of safety against overturning.  However, </t>
  </si>
  <si>
    <t xml:space="preserve">     a minimum value of 1.5 to 2.0 is suggested, based upon the particular conditions.  (A "Footing is unstable!" </t>
  </si>
  <si>
    <t xml:space="preserve">     error message will be displayed if the factor of safety against overturning is &lt; 1.0.  Then the user must revise </t>
  </si>
  <si>
    <t xml:space="preserve">     the footing dimensions or other parameters.)</t>
  </si>
  <si>
    <t xml:space="preserve">6.  This program does not use a specified permissible value for the factor of safety against uplift.  However,  </t>
  </si>
  <si>
    <t xml:space="preserve">     a minimum value of 1.2 to 1.5 is suggested, based upon the particular conditions and the extent of footing</t>
  </si>
  <si>
    <t xml:space="preserve">     confinement.  (A "Footing is unstable!" error message will be displayed if the factor of safety against uplift is </t>
  </si>
  <si>
    <t xml:space="preserve">     &lt; 1.0.  Then the user must revise the footing dimensions or other parameters.)</t>
  </si>
  <si>
    <t xml:space="preserve">     allowance for individual breakdown of dead, live, and wind (or seismic) loadings.</t>
  </si>
  <si>
    <t xml:space="preserve">     This worksheet should be specifically used in any of the following conditions:</t>
  </si>
  <si>
    <t xml:space="preserve">a.  </t>
  </si>
  <si>
    <t>When the individual breakdown of loadings is not known or is not critical</t>
  </si>
  <si>
    <t xml:space="preserve">b.  </t>
  </si>
  <si>
    <t xml:space="preserve">When there are little or no uplift or overturning forces and moments due to wind (or seismic) </t>
  </si>
  <si>
    <t xml:space="preserve">c.  </t>
  </si>
  <si>
    <t xml:space="preserve">When the factor of safety against uplift or overturning due to wind (or seismic) is NOT critical </t>
  </si>
  <si>
    <t xml:space="preserve">d.  </t>
  </si>
  <si>
    <t>When there are overturning forces or moments due to only gravity (dead or live) loadings</t>
  </si>
  <si>
    <t xml:space="preserve">     causing overturning. However, a net uplift load is considered as a force causing overturning only when there is </t>
  </si>
  <si>
    <t xml:space="preserve">     an applicable resultant eccentricity in the direction of overturning.  For a net uplift pier load, the "excess" pier </t>
  </si>
  <si>
    <t xml:space="preserve">     weight (pier weight less soil weight) is subtracted from the net uplift load at the pier location.</t>
  </si>
  <si>
    <t xml:space="preserve">     seismic) loadings.</t>
  </si>
  <si>
    <t>When the individual breakdown of loadings is known or is critical</t>
  </si>
  <si>
    <t>When there are uplift or overturning forces and moments due to wind (or seismic)</t>
  </si>
  <si>
    <t xml:space="preserve">When the factor of safety against uplift or overturning due to wind (or seismic) is critical </t>
  </si>
  <si>
    <t>When there are no overturning forces or moments due to only gravity (dead or live) loadings</t>
  </si>
  <si>
    <t xml:space="preserve">11.  This program includes the uniform live load surcharge in the calculation of the soil bearing pressures.  The </t>
  </si>
  <si>
    <t xml:space="preserve">     uniform live load surcharge is not included in the calculation of "resisting" moment for overturning check, nor in</t>
  </si>
  <si>
    <t xml:space="preserve">     the calculations for uplift check.  The uniform live load surcharge is assumed to act over the entire footing </t>
  </si>
  <si>
    <t xml:space="preserve">     plan area.</t>
  </si>
  <si>
    <t xml:space="preserve">12.  This program will calculate the soil bearing pressures at the corners of the footing for all cases of resultant  </t>
  </si>
  <si>
    <t xml:space="preserve">     eccentricity, both uniaxial and biaxial.  The corners of the footing are always designated in the footing plan</t>
  </si>
  <si>
    <t xml:space="preserve">     proceeding counterclockwise from the lower right-hand corner as follows:</t>
  </si>
  <si>
    <t xml:space="preserve">          (3) =</t>
  </si>
  <si>
    <t>upper left-hand corner</t>
  </si>
  <si>
    <t xml:space="preserve">          (2) =</t>
  </si>
  <si>
    <t>upper right-hand corner</t>
  </si>
  <si>
    <t xml:space="preserve">          (4) =</t>
  </si>
  <si>
    <t>lower left-hand corner</t>
  </si>
  <si>
    <t xml:space="preserve">          (1) =</t>
  </si>
  <si>
    <t>lower right-hand corner</t>
  </si>
  <si>
    <t xml:space="preserve">13.  Reference used in this program for footing with cases of biaxial resultant eccentricity is: </t>
  </si>
  <si>
    <t xml:space="preserve">          "Analytical Approach to Biaxial Eccentricity" - by Eli Czerniak</t>
  </si>
  <si>
    <t xml:space="preserve">          Journal of the Structural Division, Proceedings of the ASCE, ST4 (1962), ST3 (1963) </t>
  </si>
  <si>
    <t xml:space="preserve">14.  Another more recent reference for footing with cases of biaxial resultant eccentricity is: </t>
  </si>
  <si>
    <t xml:space="preserve">          "Bearing Pressures for Rectangular Footings with Biaxial Uplift" - by Kenneth E. Wilson</t>
  </si>
  <si>
    <t xml:space="preserve">          Journal of Bridge Engineering -  Feb. 1997</t>
  </si>
  <si>
    <t xml:space="preserve">     explanations of input or output items, equations used, data tables, etc.  (Note:  presence of a “comment box”</t>
  </si>
  <si>
    <t xml:space="preserve">     is denoted by a “red triangle” in the upper right-hand corner of a cell.  Merely move the mouse pointer to the </t>
  </si>
  <si>
    <t xml:space="preserve">     desired cell to view the contents of that particular "comment box".)</t>
  </si>
  <si>
    <t>Footings (Table)</t>
  </si>
  <si>
    <r>
      <t xml:space="preserve">Coef. of Base Friction, </t>
    </r>
    <r>
      <rPr>
        <sz val="10"/>
        <color indexed="8"/>
        <rFont val="Symbol"/>
        <family val="1"/>
        <charset val="2"/>
      </rPr>
      <t>m</t>
    </r>
    <r>
      <rPr>
        <sz val="10"/>
        <color indexed="8"/>
        <rFont val="Arial"/>
      </rPr>
      <t xml:space="preserve"> =</t>
    </r>
  </si>
  <si>
    <t>Pass. Press. Coef., Kp =</t>
  </si>
  <si>
    <t>Sliding Check:</t>
  </si>
  <si>
    <t>FS(slid)x =</t>
  </si>
  <si>
    <t>FS(slid)y =</t>
  </si>
  <si>
    <t>Passive(y) =</t>
  </si>
  <si>
    <t>Pass(x) =</t>
  </si>
  <si>
    <t>Frict(x) =</t>
  </si>
  <si>
    <t>Pass(y) =</t>
  </si>
  <si>
    <t>Frict(y) =</t>
  </si>
  <si>
    <t xml:space="preserve">sliding, and uplift stability checks are made when applicable, and resulting gross soil bearing pressures at </t>
  </si>
  <si>
    <t>the four (4) corners of the footing are calculated.  The maximum net soil bearing pressure is also determined.</t>
  </si>
  <si>
    <t>Footings (Pier Table)</t>
  </si>
  <si>
    <t>This program is a workbook consisting of five (5) worksheets, described as follows:</t>
  </si>
  <si>
    <t>Biaxial Case =</t>
  </si>
  <si>
    <t>Footing (net pier loads)</t>
  </si>
  <si>
    <t>Footing (breakdown of loads)</t>
  </si>
  <si>
    <t xml:space="preserve">7.  The "Footing (net pier loads)" worksheet deals with net applied loadings at the piers.  That is, there is no </t>
  </si>
  <si>
    <t xml:space="preserve">8.  The "Footing (net pier loads)" worksheet considers all net applied moments and horizontal loads as forces </t>
  </si>
  <si>
    <t xml:space="preserve">9.  The "Footing (breakdown of loads)" worksheet allows for individual breakdown of dead, live, and wind (or </t>
  </si>
  <si>
    <t>Individual rectangular spread footing analysis (with net pier loadings)</t>
  </si>
  <si>
    <t>Individual rectangular spread footing analysis (with breakdown of loadings)</t>
  </si>
  <si>
    <t>Multiple rectangular spread footings analysis and design (table format)</t>
  </si>
  <si>
    <t>Multiple rectangular spread footings - pier analysis (table format)</t>
  </si>
  <si>
    <t xml:space="preserve">15.  The "Footings (Table)" and "Footings (Pier Table)" worksheets enable the user to analyze/design virtually any </t>
  </si>
  <si>
    <t>% Brg. Area = (L*B-(L-Lx)*(B-Ly)/2)/(L*B)*100</t>
  </si>
  <si>
    <t>% Brg. Area = (dx*dy/2)/(L*B)*100</t>
  </si>
  <si>
    <t>% Brg. Area = (B*(Lx2+Lx1)/2)/(L*B)*100</t>
  </si>
  <si>
    <t>% Brg. Area = (L*(Ly2+Ly1)/2)/(L*B)*100</t>
  </si>
  <si>
    <t xml:space="preserve">     number of individual footings or footing load combinations.  The footings must have only one concentric pier.  </t>
  </si>
  <si>
    <t xml:space="preserve">     Refer to those two worksheets for list of specific assumptions used in each.  The column loads and footing/pier </t>
  </si>
  <si>
    <t xml:space="preserve">     dimensions input in rows "A" through "Q" of the "Footings (Table)" worksheet may be copied and pasted  </t>
  </si>
  <si>
    <r>
      <t xml:space="preserve">     (via "</t>
    </r>
    <r>
      <rPr>
        <i/>
        <sz val="9"/>
        <rFont val="Arial"/>
        <family val="2"/>
      </rPr>
      <t>Paste Special, Values</t>
    </r>
    <r>
      <rPr>
        <sz val="9"/>
        <rFont val="Arial"/>
        <family val="2"/>
      </rPr>
      <t xml:space="preserve">" command) into the same position in the "Footings (Pier Table)" worksheet.  The </t>
    </r>
  </si>
  <si>
    <t xml:space="preserve">     entire row of calculation cells can then be copied and pasted down the page to match the number of rows of </t>
  </si>
  <si>
    <t xml:space="preserve">     input in each of the two table format worksheets.</t>
  </si>
  <si>
    <t xml:space="preserve">     The footings may be subjected to biaxial eccentricities as long as 100% bearing is maintained.  If one or more </t>
  </si>
  <si>
    <r>
      <t xml:space="preserve">     corners become unloaded from biaxial eccentricities, then the error message, "</t>
    </r>
    <r>
      <rPr>
        <i/>
        <sz val="9"/>
        <rFont val="Arial"/>
        <family val="2"/>
      </rPr>
      <t>Resize!</t>
    </r>
    <r>
      <rPr>
        <sz val="9"/>
        <rFont val="Arial"/>
        <family val="2"/>
      </rPr>
      <t>" will be displayed.</t>
    </r>
  </si>
  <si>
    <t xml:space="preserve">     to determine required reinforcing.  This is appropriate for the ACI 318-99 Code with applicable load factors.  </t>
  </si>
  <si>
    <r>
      <t xml:space="preserve">     used.  If </t>
    </r>
    <r>
      <rPr>
        <sz val="9"/>
        <color indexed="10"/>
        <rFont val="Symbol"/>
        <family val="1"/>
        <charset val="2"/>
      </rPr>
      <t>f</t>
    </r>
    <r>
      <rPr>
        <sz val="9"/>
        <color indexed="10"/>
        <rFont val="Arial"/>
      </rPr>
      <t xml:space="preserve"> &lt; 0.90 then the footing thickness will need to be increased until the calculated value of </t>
    </r>
    <r>
      <rPr>
        <sz val="9"/>
        <color indexed="10"/>
        <rFont val="Symbol"/>
        <family val="1"/>
        <charset val="2"/>
      </rPr>
      <t>f</t>
    </r>
    <r>
      <rPr>
        <sz val="9"/>
        <color indexed="10"/>
        <rFont val="Arial"/>
      </rPr>
      <t xml:space="preserve"> is = 0.90 </t>
    </r>
  </si>
  <si>
    <t xml:space="preserve">     in order to use reinforcing results determined from this program.</t>
  </si>
  <si>
    <t>Summary of Results:</t>
  </si>
  <si>
    <t>Max. Net Soil Pressure:</t>
  </si>
  <si>
    <t>Bearing Area:</t>
  </si>
  <si>
    <t>(continued)</t>
  </si>
  <si>
    <r>
      <t>P</t>
    </r>
    <r>
      <rPr>
        <sz val="8"/>
        <rFont val="Arial"/>
        <family val="2"/>
      </rPr>
      <t>1</t>
    </r>
    <r>
      <rPr>
        <sz val="10"/>
        <rFont val="Arial"/>
      </rPr>
      <t xml:space="preserve"> =</t>
    </r>
  </si>
  <si>
    <r>
      <t>P</t>
    </r>
    <r>
      <rPr>
        <sz val="8"/>
        <rFont val="Arial"/>
        <family val="2"/>
      </rPr>
      <t>2</t>
    </r>
    <r>
      <rPr>
        <sz val="10"/>
        <rFont val="Arial"/>
      </rPr>
      <t xml:space="preserve"> =</t>
    </r>
  </si>
  <si>
    <r>
      <t>P</t>
    </r>
    <r>
      <rPr>
        <sz val="8"/>
        <rFont val="Arial"/>
        <family val="2"/>
      </rPr>
      <t>3</t>
    </r>
    <r>
      <rPr>
        <sz val="10"/>
        <rFont val="Arial"/>
      </rPr>
      <t xml:space="preserve"> =</t>
    </r>
  </si>
  <si>
    <r>
      <t>P</t>
    </r>
    <r>
      <rPr>
        <sz val="8"/>
        <rFont val="Arial"/>
        <family val="2"/>
      </rPr>
      <t>4</t>
    </r>
    <r>
      <rPr>
        <sz val="10"/>
        <rFont val="Arial"/>
      </rPr>
      <t xml:space="preserve"> =</t>
    </r>
  </si>
  <si>
    <t>RECTANGULAR SPREAD FOOTING - PRELIMINARY</t>
  </si>
  <si>
    <t>B3-D</t>
  </si>
  <si>
    <t>D</t>
  </si>
  <si>
    <t>B3-C</t>
  </si>
  <si>
    <t>C</t>
  </si>
  <si>
    <t>B3-B</t>
  </si>
  <si>
    <t>B</t>
  </si>
  <si>
    <t>B3-A</t>
  </si>
  <si>
    <t>A</t>
  </si>
  <si>
    <t>BUILDING 3</t>
  </si>
  <si>
    <t>B2-C</t>
  </si>
  <si>
    <t>B2-B</t>
  </si>
  <si>
    <t>B2-A</t>
  </si>
  <si>
    <t>BUILDING 2</t>
  </si>
  <si>
    <t>MB-H</t>
  </si>
  <si>
    <t>H</t>
  </si>
  <si>
    <t>MB-G</t>
  </si>
  <si>
    <t>G</t>
  </si>
  <si>
    <t>MB-F</t>
  </si>
  <si>
    <t>F</t>
  </si>
  <si>
    <t>MB-E</t>
  </si>
  <si>
    <t>E</t>
  </si>
  <si>
    <t>MB-D</t>
  </si>
  <si>
    <t>MB-C</t>
  </si>
  <si>
    <t>MB-B</t>
  </si>
  <si>
    <t>MB-A</t>
  </si>
  <si>
    <t>MAIN BUILDING</t>
  </si>
  <si>
    <t>Q</t>
  </si>
  <si>
    <t>mu</t>
  </si>
  <si>
    <t>Kp</t>
  </si>
  <si>
    <t>Soil Wt</t>
  </si>
  <si>
    <t>Conc. Wt</t>
  </si>
  <si>
    <t>Soil Depth</t>
  </si>
  <si>
    <t>V2</t>
  </si>
  <si>
    <t>H2</t>
  </si>
  <si>
    <t>V1</t>
  </si>
  <si>
    <t>H1</t>
  </si>
  <si>
    <t>Footing H</t>
  </si>
  <si>
    <t>Pier H</t>
  </si>
  <si>
    <t>Pier Wd</t>
  </si>
  <si>
    <t>Pier Ln</t>
  </si>
  <si>
    <t>Width</t>
  </si>
  <si>
    <t>Length</t>
  </si>
  <si>
    <t>Key</t>
  </si>
  <si>
    <t>Qty</t>
  </si>
  <si>
    <t>Detail</t>
  </si>
  <si>
    <t>Shared Parameters</t>
  </si>
  <si>
    <t>Net Loads</t>
  </si>
  <si>
    <t>Parameters</t>
  </si>
  <si>
    <t>Footing Type</t>
  </si>
  <si>
    <t>There are several footing types subject to structural analysis. This worksheet provides input data for the footing types. Parameters in this worksheet are fed to separate worksheets where separate per-footing analysis is performed.</t>
  </si>
  <si>
    <t>Description:</t>
  </si>
  <si>
    <t>Footings - Types and Input Parameters</t>
  </si>
</sst>
</file>

<file path=xl/styles.xml><?xml version="1.0" encoding="utf-8"?>
<styleSheet xmlns="http://schemas.openxmlformats.org/spreadsheetml/2006/main">
  <numFmts count="3">
    <numFmt numFmtId="164" formatCode="0.000"/>
    <numFmt numFmtId="165" formatCode="0.0000"/>
    <numFmt numFmtId="166" formatCode="&quot;$&quot;#,##0\ ;\(&quot;$&quot;#,##0\)"/>
  </numFmts>
  <fonts count="55">
    <font>
      <sz val="10"/>
      <name val="Arial"/>
    </font>
    <font>
      <sz val="11"/>
      <color theme="1"/>
      <name val="Calibri"/>
      <family val="2"/>
      <charset val="204"/>
      <scheme val="minor"/>
    </font>
    <font>
      <sz val="10"/>
      <color indexed="12"/>
      <name val="Arial"/>
      <family val="2"/>
    </font>
    <font>
      <sz val="10"/>
      <color indexed="8"/>
      <name val="Arial"/>
      <family val="2"/>
    </font>
    <font>
      <sz val="10"/>
      <color indexed="24"/>
      <name val="Arial"/>
    </font>
    <font>
      <b/>
      <sz val="18"/>
      <color indexed="24"/>
      <name val="Arial"/>
    </font>
    <font>
      <b/>
      <sz val="12"/>
      <color indexed="24"/>
      <name val="Arial"/>
    </font>
    <font>
      <u/>
      <sz val="10"/>
      <color indexed="12"/>
      <name val="Arial"/>
    </font>
    <font>
      <b/>
      <sz val="12"/>
      <name val="Arial"/>
      <family val="2"/>
    </font>
    <font>
      <b/>
      <sz val="10"/>
      <name val="Arial"/>
      <family val="2"/>
    </font>
    <font>
      <u/>
      <sz val="10"/>
      <color indexed="12"/>
      <name val="Arial"/>
      <family val="2"/>
    </font>
    <font>
      <b/>
      <sz val="10"/>
      <color indexed="10"/>
      <name val="Arial"/>
      <family val="2"/>
    </font>
    <font>
      <b/>
      <sz val="10"/>
      <color indexed="12"/>
      <name val="Arial"/>
      <family val="2"/>
    </font>
    <font>
      <sz val="10"/>
      <color indexed="12"/>
      <name val="Arial"/>
    </font>
    <font>
      <sz val="9"/>
      <color indexed="8"/>
      <name val="Arial"/>
      <family val="2"/>
    </font>
    <font>
      <sz val="8"/>
      <name val="Arial"/>
      <family val="2"/>
    </font>
    <font>
      <b/>
      <u/>
      <sz val="10"/>
      <name val="Arial"/>
      <family val="2"/>
    </font>
    <font>
      <b/>
      <u/>
      <sz val="10"/>
      <color indexed="8"/>
      <name val="Arial"/>
      <family val="2"/>
    </font>
    <font>
      <sz val="10"/>
      <color indexed="8"/>
      <name val="Arial"/>
    </font>
    <font>
      <sz val="8"/>
      <color indexed="8"/>
      <name val="Arial"/>
      <family val="2"/>
    </font>
    <font>
      <sz val="10"/>
      <color indexed="8"/>
      <name val="Symbol"/>
      <family val="1"/>
      <charset val="2"/>
    </font>
    <font>
      <sz val="10"/>
      <color indexed="12"/>
      <name val="Symbol"/>
      <family val="1"/>
      <charset val="2"/>
    </font>
    <font>
      <u/>
      <sz val="10"/>
      <color indexed="12"/>
      <name val="Symbol"/>
      <family val="1"/>
      <charset val="2"/>
    </font>
    <font>
      <sz val="8"/>
      <color indexed="81"/>
      <name val="Tahoma"/>
      <family val="2"/>
    </font>
    <font>
      <sz val="10"/>
      <color indexed="10"/>
      <name val="Arial"/>
      <family val="2"/>
    </font>
    <font>
      <sz val="10"/>
      <name val="Symbol"/>
      <family val="1"/>
      <charset val="2"/>
    </font>
    <font>
      <sz val="10"/>
      <name val="Arial"/>
      <family val="2"/>
    </font>
    <font>
      <sz val="8"/>
      <color indexed="12"/>
      <name val="Arial"/>
      <family val="2"/>
    </font>
    <font>
      <b/>
      <u/>
      <sz val="8"/>
      <color indexed="8"/>
      <name val="Arial"/>
      <family val="2"/>
    </font>
    <font>
      <b/>
      <u/>
      <sz val="8"/>
      <name val="Arial"/>
      <family val="2"/>
    </font>
    <font>
      <sz val="9"/>
      <name val="Arial"/>
      <family val="2"/>
    </font>
    <font>
      <b/>
      <sz val="10"/>
      <color indexed="8"/>
      <name val="Arial"/>
      <family val="2"/>
    </font>
    <font>
      <sz val="9"/>
      <color indexed="12"/>
      <name val="Arial"/>
      <family val="2"/>
    </font>
    <font>
      <sz val="8"/>
      <color indexed="81"/>
      <name val="Symbol"/>
      <family val="1"/>
      <charset val="2"/>
    </font>
    <font>
      <b/>
      <u/>
      <sz val="10"/>
      <name val="Arial"/>
    </font>
    <font>
      <b/>
      <u/>
      <sz val="10"/>
      <color indexed="10"/>
      <name val="Arial"/>
      <family val="2"/>
    </font>
    <font>
      <sz val="9"/>
      <color indexed="10"/>
      <name val="Arial"/>
      <family val="2"/>
    </font>
    <font>
      <b/>
      <u/>
      <sz val="10"/>
      <color indexed="12"/>
      <name val="Arial"/>
      <family val="2"/>
    </font>
    <font>
      <sz val="10"/>
      <color indexed="81"/>
      <name val="Arial"/>
      <family val="2"/>
    </font>
    <font>
      <b/>
      <u/>
      <sz val="12"/>
      <name val="Arial"/>
      <family val="2"/>
    </font>
    <font>
      <sz val="8"/>
      <name val="Arial"/>
    </font>
    <font>
      <sz val="10"/>
      <color indexed="81"/>
      <name val="Symbol"/>
      <family val="1"/>
      <charset val="2"/>
    </font>
    <font>
      <b/>
      <u/>
      <sz val="10"/>
      <color indexed="81"/>
      <name val="Arial"/>
      <family val="2"/>
    </font>
    <font>
      <u/>
      <sz val="10"/>
      <color indexed="81"/>
      <name val="Arial"/>
      <family val="2"/>
    </font>
    <font>
      <sz val="8"/>
      <color indexed="81"/>
      <name val="Arial"/>
      <family val="2"/>
    </font>
    <font>
      <u/>
      <sz val="8"/>
      <color indexed="12"/>
      <name val="Arial"/>
      <family val="2"/>
    </font>
    <font>
      <i/>
      <sz val="9"/>
      <name val="Arial"/>
      <family val="2"/>
    </font>
    <font>
      <sz val="8"/>
      <color indexed="10"/>
      <name val="Tahoma"/>
      <family val="2"/>
    </font>
    <font>
      <sz val="9"/>
      <name val="Arial"/>
    </font>
    <font>
      <sz val="9"/>
      <color indexed="10"/>
      <name val="Symbol"/>
      <family val="1"/>
      <charset val="2"/>
    </font>
    <font>
      <sz val="9"/>
      <color indexed="10"/>
      <name val="Arial"/>
    </font>
    <font>
      <sz val="9"/>
      <color indexed="81"/>
      <name val="Tahoma"/>
      <family val="2"/>
      <charset val="204"/>
    </font>
    <font>
      <b/>
      <sz val="11"/>
      <color rgb="FF3F3F3F"/>
      <name val="Calibri"/>
      <family val="2"/>
      <charset val="204"/>
      <scheme val="minor"/>
    </font>
    <font>
      <sz val="10"/>
      <name val="Arial"/>
      <family val="2"/>
      <charset val="204"/>
    </font>
    <font>
      <u/>
      <sz val="10"/>
      <name val="Arial"/>
      <family val="2"/>
      <charset val="204"/>
    </font>
  </fonts>
  <fills count="7">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rgb="FFF2F2F2"/>
      </patternFill>
    </fill>
    <fill>
      <patternFill patternType="solid">
        <fgColor theme="9" tint="0.59999389629810485"/>
        <bgColor indexed="65"/>
      </patternFill>
    </fill>
  </fills>
  <borders count="32">
    <border>
      <left/>
      <right/>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right/>
      <top style="thin">
        <color indexed="64"/>
      </top>
      <bottom style="thin">
        <color indexed="22"/>
      </bottom>
      <diagonal/>
    </border>
    <border>
      <left/>
      <right/>
      <top style="thin">
        <color indexed="22"/>
      </top>
      <bottom style="thin">
        <color indexed="22"/>
      </bottom>
      <diagonal/>
    </border>
    <border>
      <left/>
      <right/>
      <top style="thin">
        <color indexed="22"/>
      </top>
      <bottom style="thin">
        <color indexed="64"/>
      </bottom>
      <diagonal/>
    </border>
    <border>
      <left style="thin">
        <color indexed="64"/>
      </left>
      <right style="thin">
        <color indexed="22"/>
      </right>
      <top style="thin">
        <color indexed="64"/>
      </top>
      <bottom/>
      <diagonal/>
    </border>
    <border>
      <left style="thin">
        <color indexed="22"/>
      </left>
      <right style="thin">
        <color indexed="22"/>
      </right>
      <top style="thin">
        <color indexed="64"/>
      </top>
      <bottom/>
      <diagonal/>
    </border>
    <border>
      <left style="thin">
        <color indexed="22"/>
      </left>
      <right style="thin">
        <color indexed="64"/>
      </right>
      <top style="thin">
        <color indexed="64"/>
      </top>
      <bottom/>
      <diagonal/>
    </border>
    <border>
      <left style="thin">
        <color indexed="64"/>
      </left>
      <right style="thin">
        <color indexed="22"/>
      </right>
      <top/>
      <bottom style="thin">
        <color indexed="64"/>
      </bottom>
      <diagonal/>
    </border>
    <border>
      <left style="thin">
        <color indexed="22"/>
      </left>
      <right style="thin">
        <color indexed="22"/>
      </right>
      <top/>
      <bottom style="thin">
        <color indexed="64"/>
      </bottom>
      <diagonal/>
    </border>
    <border>
      <left style="thin">
        <color indexed="22"/>
      </left>
      <right style="thin">
        <color indexed="64"/>
      </right>
      <top/>
      <bottom style="thin">
        <color indexed="64"/>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rgb="FF3F3F3F"/>
      </left>
      <right style="thin">
        <color rgb="FF3F3F3F"/>
      </right>
      <top style="thin">
        <color rgb="FF3F3F3F"/>
      </top>
      <bottom style="thin">
        <color rgb="FF3F3F3F"/>
      </bottom>
      <diagonal/>
    </border>
  </borders>
  <cellStyleXfs count="10">
    <xf numFmtId="0" fontId="0" fillId="0" borderId="0"/>
    <xf numFmtId="3" fontId="4" fillId="0" borderId="0" applyFont="0" applyFill="0" applyBorder="0" applyAlignment="0" applyProtection="0"/>
    <xf numFmtId="166"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1" applyNumberFormat="0" applyFont="0" applyFill="0" applyAlignment="0" applyProtection="0"/>
    <xf numFmtId="0" fontId="52" fillId="5" borderId="31" applyNumberFormat="0" applyAlignment="0" applyProtection="0"/>
    <xf numFmtId="0" fontId="1" fillId="6" borderId="0" applyNumberFormat="0" applyBorder="0" applyAlignment="0" applyProtection="0"/>
  </cellStyleXfs>
  <cellXfs count="281">
    <xf numFmtId="0" fontId="0" fillId="0" borderId="0" xfId="0"/>
    <xf numFmtId="0" fontId="8" fillId="2" borderId="2" xfId="0" applyFont="1" applyFill="1" applyBorder="1" applyAlignment="1" applyProtection="1">
      <alignment horizontal="centerContinuous"/>
      <protection hidden="1"/>
    </xf>
    <xf numFmtId="0" fontId="0" fillId="2" borderId="3" xfId="0" applyFill="1" applyBorder="1" applyAlignment="1" applyProtection="1">
      <alignment horizontal="centerContinuous"/>
      <protection hidden="1"/>
    </xf>
    <xf numFmtId="0" fontId="9" fillId="2" borderId="3" xfId="0" applyFont="1" applyFill="1" applyBorder="1" applyAlignment="1" applyProtection="1">
      <alignment horizontal="centerContinuous"/>
      <protection hidden="1"/>
    </xf>
    <xf numFmtId="0" fontId="0" fillId="2" borderId="4" xfId="0" applyFill="1" applyBorder="1" applyAlignment="1" applyProtection="1">
      <alignment horizontal="centerContinuous"/>
      <protection hidden="1"/>
    </xf>
    <xf numFmtId="0" fontId="11" fillId="2" borderId="5" xfId="0" applyFont="1" applyFill="1" applyBorder="1" applyAlignment="1" applyProtection="1">
      <alignment horizontal="centerContinuous"/>
      <protection hidden="1"/>
    </xf>
    <xf numFmtId="0" fontId="9" fillId="2" borderId="0" xfId="0" applyFont="1" applyFill="1" applyBorder="1" applyAlignment="1" applyProtection="1">
      <alignment horizontal="centerContinuous"/>
      <protection hidden="1"/>
    </xf>
    <xf numFmtId="0" fontId="11" fillId="2" borderId="0" xfId="0" applyFont="1" applyFill="1" applyBorder="1" applyAlignment="1" applyProtection="1">
      <alignment horizontal="centerContinuous"/>
      <protection hidden="1"/>
    </xf>
    <xf numFmtId="0" fontId="0" fillId="2" borderId="0" xfId="0" applyFill="1" applyBorder="1" applyAlignment="1" applyProtection="1">
      <alignment horizontal="centerContinuous"/>
      <protection hidden="1"/>
    </xf>
    <xf numFmtId="0" fontId="0" fillId="2" borderId="6" xfId="0" applyFill="1" applyBorder="1" applyAlignment="1" applyProtection="1">
      <alignment horizontal="centerContinuous"/>
      <protection hidden="1"/>
    </xf>
    <xf numFmtId="0" fontId="9" fillId="2" borderId="7" xfId="0" applyFont="1" applyFill="1" applyBorder="1" applyAlignment="1" applyProtection="1">
      <alignment horizontal="centerContinuous"/>
      <protection hidden="1"/>
    </xf>
    <xf numFmtId="0" fontId="0" fillId="2" borderId="7" xfId="0" applyFill="1" applyBorder="1" applyAlignment="1" applyProtection="1">
      <alignment horizontal="centerContinuous"/>
      <protection hidden="1"/>
    </xf>
    <xf numFmtId="0" fontId="0" fillId="2" borderId="8" xfId="0" applyFill="1" applyBorder="1" applyAlignment="1" applyProtection="1">
      <alignment horizontal="centerContinuous"/>
      <protection hidden="1"/>
    </xf>
    <xf numFmtId="0" fontId="0" fillId="3" borderId="9" xfId="0" applyFill="1" applyBorder="1" applyAlignment="1" applyProtection="1">
      <alignment horizontal="right"/>
      <protection hidden="1"/>
    </xf>
    <xf numFmtId="49" fontId="2" fillId="3" borderId="10" xfId="0" applyNumberFormat="1" applyFont="1" applyFill="1" applyBorder="1" applyProtection="1">
      <protection locked="0"/>
    </xf>
    <xf numFmtId="49" fontId="2" fillId="3" borderId="11" xfId="0" applyNumberFormat="1" applyFont="1" applyFill="1" applyBorder="1" applyProtection="1">
      <protection locked="0"/>
    </xf>
    <xf numFmtId="0" fontId="2" fillId="4" borderId="12" xfId="0" applyFont="1" applyFill="1" applyBorder="1" applyAlignment="1" applyProtection="1">
      <alignment horizontal="center"/>
      <protection locked="0"/>
    </xf>
    <xf numFmtId="49" fontId="2" fillId="3" borderId="13" xfId="0" quotePrefix="1" applyNumberFormat="1" applyFont="1" applyFill="1" applyBorder="1" applyAlignment="1" applyProtection="1">
      <alignment horizontal="left"/>
      <protection locked="0"/>
    </xf>
    <xf numFmtId="0" fontId="3" fillId="3" borderId="9" xfId="0" applyFont="1" applyFill="1" applyBorder="1" applyAlignment="1" applyProtection="1">
      <alignment horizontal="center"/>
      <protection hidden="1"/>
    </xf>
    <xf numFmtId="0" fontId="0" fillId="3" borderId="5" xfId="0" applyFill="1" applyBorder="1" applyAlignment="1" applyProtection="1">
      <alignment horizontal="right"/>
      <protection hidden="1"/>
    </xf>
    <xf numFmtId="0" fontId="2" fillId="3" borderId="0" xfId="0" applyFont="1" applyFill="1" applyBorder="1" applyProtection="1">
      <protection locked="0"/>
    </xf>
    <xf numFmtId="0" fontId="16" fillId="3" borderId="5" xfId="0" applyFont="1" applyFill="1" applyBorder="1" applyProtection="1">
      <protection hidden="1"/>
    </xf>
    <xf numFmtId="0" fontId="3" fillId="3" borderId="0" xfId="0" applyFont="1" applyFill="1" applyBorder="1" applyProtection="1">
      <protection hidden="1"/>
    </xf>
    <xf numFmtId="0" fontId="0" fillId="3" borderId="5" xfId="0" applyFill="1" applyBorder="1" applyProtection="1">
      <protection hidden="1"/>
    </xf>
    <xf numFmtId="0" fontId="0" fillId="3" borderId="0" xfId="0" applyFill="1" applyBorder="1" applyProtection="1">
      <protection hidden="1"/>
    </xf>
    <xf numFmtId="0" fontId="0" fillId="3" borderId="0" xfId="0" applyFill="1" applyBorder="1" applyAlignment="1" applyProtection="1">
      <alignment horizontal="centerContinuous"/>
      <protection hidden="1"/>
    </xf>
    <xf numFmtId="0" fontId="0" fillId="3" borderId="4" xfId="0" applyFill="1" applyBorder="1" applyProtection="1">
      <protection hidden="1"/>
    </xf>
    <xf numFmtId="0" fontId="9" fillId="3" borderId="0" xfId="0" applyFont="1" applyFill="1" applyBorder="1" applyAlignment="1" applyProtection="1">
      <alignment horizontal="centerContinuous"/>
      <protection hidden="1"/>
    </xf>
    <xf numFmtId="0" fontId="0" fillId="3" borderId="0" xfId="0" applyFill="1" applyBorder="1" applyAlignment="1" applyProtection="1">
      <protection hidden="1"/>
    </xf>
    <xf numFmtId="0" fontId="0" fillId="3" borderId="0" xfId="0" applyFill="1" applyBorder="1" applyAlignment="1" applyProtection="1">
      <alignment horizontal="center"/>
      <protection hidden="1"/>
    </xf>
    <xf numFmtId="0" fontId="0" fillId="3" borderId="6" xfId="0" applyFill="1" applyBorder="1" applyProtection="1">
      <protection hidden="1"/>
    </xf>
    <xf numFmtId="0" fontId="0" fillId="3" borderId="7" xfId="0" applyFill="1" applyBorder="1" applyProtection="1">
      <protection hidden="1"/>
    </xf>
    <xf numFmtId="0" fontId="16" fillId="3" borderId="5" xfId="0" applyFont="1" applyFill="1" applyBorder="1" applyAlignment="1" applyProtection="1">
      <alignment horizontal="left"/>
      <protection hidden="1"/>
    </xf>
    <xf numFmtId="2" fontId="2" fillId="3" borderId="0" xfId="0" applyNumberFormat="1" applyFont="1" applyFill="1" applyBorder="1" applyAlignment="1" applyProtection="1">
      <alignment horizontal="center"/>
      <protection hidden="1"/>
    </xf>
    <xf numFmtId="0" fontId="15" fillId="3" borderId="0" xfId="0" applyFont="1" applyFill="1" applyBorder="1" applyAlignment="1" applyProtection="1">
      <alignment horizontal="left"/>
      <protection hidden="1"/>
    </xf>
    <xf numFmtId="0" fontId="0" fillId="3" borderId="0" xfId="0" applyFill="1" applyBorder="1" applyAlignment="1" applyProtection="1">
      <alignment horizontal="right"/>
      <protection hidden="1"/>
    </xf>
    <xf numFmtId="165" fontId="3" fillId="3" borderId="5" xfId="0" applyNumberFormat="1" applyFont="1" applyFill="1" applyBorder="1" applyAlignment="1" applyProtection="1">
      <alignment horizontal="right"/>
      <protection hidden="1"/>
    </xf>
    <xf numFmtId="0" fontId="19" fillId="3" borderId="0" xfId="0" applyFont="1" applyFill="1" applyBorder="1" applyAlignment="1" applyProtection="1">
      <alignment horizontal="left"/>
      <protection hidden="1"/>
    </xf>
    <xf numFmtId="0" fontId="20" fillId="3" borderId="5" xfId="0" applyFont="1" applyFill="1" applyBorder="1" applyAlignment="1" applyProtection="1">
      <alignment horizontal="right"/>
      <protection hidden="1"/>
    </xf>
    <xf numFmtId="0" fontId="11" fillId="2" borderId="14" xfId="0" applyFont="1" applyFill="1" applyBorder="1" applyAlignment="1" applyProtection="1">
      <alignment horizontal="centerContinuous"/>
      <protection hidden="1"/>
    </xf>
    <xf numFmtId="164" fontId="13" fillId="3" borderId="0" xfId="0" applyNumberFormat="1" applyFont="1" applyFill="1" applyBorder="1" applyAlignment="1" applyProtection="1">
      <alignment horizontal="center"/>
      <protection hidden="1"/>
    </xf>
    <xf numFmtId="2" fontId="13" fillId="3" borderId="0" xfId="0" applyNumberFormat="1" applyFont="1" applyFill="1" applyBorder="1" applyAlignment="1" applyProtection="1">
      <alignment horizontal="center"/>
      <protection hidden="1"/>
    </xf>
    <xf numFmtId="0" fontId="9" fillId="3" borderId="0" xfId="0" applyFont="1" applyFill="1" applyBorder="1" applyAlignment="1" applyProtection="1">
      <protection hidden="1"/>
    </xf>
    <xf numFmtId="164" fontId="3" fillId="3" borderId="0" xfId="0" applyNumberFormat="1" applyFont="1" applyFill="1" applyBorder="1" applyAlignment="1" applyProtection="1">
      <alignment horizontal="right"/>
      <protection hidden="1"/>
    </xf>
    <xf numFmtId="0" fontId="16" fillId="3" borderId="5" xfId="0" applyFont="1" applyFill="1" applyBorder="1" applyAlignment="1" applyProtection="1">
      <protection hidden="1"/>
    </xf>
    <xf numFmtId="0" fontId="17" fillId="3" borderId="5" xfId="0" applyFont="1" applyFill="1" applyBorder="1" applyAlignment="1" applyProtection="1">
      <alignment horizontal="left"/>
      <protection hidden="1"/>
    </xf>
    <xf numFmtId="165" fontId="17" fillId="3" borderId="5" xfId="0" applyNumberFormat="1" applyFont="1" applyFill="1" applyBorder="1" applyAlignment="1" applyProtection="1">
      <alignment horizontal="left"/>
      <protection hidden="1"/>
    </xf>
    <xf numFmtId="0" fontId="3" fillId="3" borderId="5" xfId="0" applyFont="1" applyFill="1" applyBorder="1" applyAlignment="1" applyProtection="1">
      <alignment horizontal="right"/>
      <protection hidden="1"/>
    </xf>
    <xf numFmtId="0" fontId="15" fillId="3" borderId="0" xfId="0" applyFont="1" applyFill="1" applyBorder="1" applyProtection="1">
      <protection hidden="1"/>
    </xf>
    <xf numFmtId="2" fontId="19" fillId="3" borderId="0" xfId="0" applyNumberFormat="1" applyFont="1" applyFill="1" applyBorder="1" applyAlignment="1" applyProtection="1">
      <alignment horizontal="left"/>
      <protection hidden="1"/>
    </xf>
    <xf numFmtId="2" fontId="27" fillId="3" borderId="0" xfId="0" applyNumberFormat="1" applyFont="1" applyFill="1" applyBorder="1" applyAlignment="1" applyProtection="1">
      <alignment horizontal="left"/>
      <protection hidden="1"/>
    </xf>
    <xf numFmtId="2" fontId="28" fillId="3" borderId="0" xfId="0" applyNumberFormat="1" applyFont="1" applyFill="1" applyBorder="1" applyAlignment="1" applyProtection="1">
      <alignment horizontal="centerContinuous"/>
      <protection hidden="1"/>
    </xf>
    <xf numFmtId="0" fontId="29" fillId="3" borderId="0" xfId="0" applyFont="1" applyFill="1" applyBorder="1" applyAlignment="1" applyProtection="1">
      <alignment horizontal="centerContinuous"/>
      <protection hidden="1"/>
    </xf>
    <xf numFmtId="0" fontId="2" fillId="3" borderId="0" xfId="0" applyFont="1" applyFill="1" applyBorder="1" applyAlignment="1" applyProtection="1">
      <alignment horizontal="center"/>
      <protection hidden="1"/>
    </xf>
    <xf numFmtId="165" fontId="3" fillId="3" borderId="0" xfId="0" applyNumberFormat="1" applyFont="1" applyFill="1" applyBorder="1" applyAlignment="1" applyProtection="1">
      <alignment horizontal="right"/>
      <protection hidden="1"/>
    </xf>
    <xf numFmtId="0" fontId="20" fillId="3" borderId="0" xfId="0" applyFont="1" applyFill="1" applyBorder="1" applyAlignment="1" applyProtection="1">
      <alignment horizontal="right"/>
      <protection hidden="1"/>
    </xf>
    <xf numFmtId="0" fontId="26" fillId="3" borderId="5" xfId="0" applyFont="1" applyFill="1" applyBorder="1" applyAlignment="1" applyProtection="1">
      <alignment horizontal="right"/>
      <protection hidden="1"/>
    </xf>
    <xf numFmtId="0" fontId="0" fillId="3" borderId="0" xfId="0" applyFill="1" applyProtection="1">
      <protection hidden="1"/>
    </xf>
    <xf numFmtId="0" fontId="2" fillId="3" borderId="0" xfId="0" applyFont="1" applyFill="1" applyAlignment="1" applyProtection="1">
      <alignment horizontal="center"/>
      <protection hidden="1"/>
    </xf>
    <xf numFmtId="0" fontId="10" fillId="3" borderId="0" xfId="0" applyFont="1" applyFill="1" applyBorder="1" applyProtection="1">
      <protection hidden="1"/>
    </xf>
    <xf numFmtId="164" fontId="2" fillId="3" borderId="0" xfId="0" applyNumberFormat="1" applyFont="1" applyFill="1" applyAlignment="1" applyProtection="1">
      <alignment horizontal="center"/>
      <protection hidden="1"/>
    </xf>
    <xf numFmtId="164" fontId="2" fillId="3" borderId="0" xfId="0" applyNumberFormat="1" applyFont="1" applyFill="1" applyBorder="1" applyAlignment="1" applyProtection="1">
      <alignment horizontal="center"/>
      <protection hidden="1"/>
    </xf>
    <xf numFmtId="0" fontId="2" fillId="3" borderId="0" xfId="0" applyFont="1" applyFill="1" applyAlignment="1" applyProtection="1">
      <alignment horizontal="left"/>
      <protection hidden="1"/>
    </xf>
    <xf numFmtId="0" fontId="10" fillId="3" borderId="0" xfId="0" applyFont="1" applyFill="1" applyAlignment="1" applyProtection="1">
      <alignment horizontal="left"/>
      <protection hidden="1"/>
    </xf>
    <xf numFmtId="0" fontId="2" fillId="3" borderId="0" xfId="0" applyFont="1" applyFill="1" applyProtection="1">
      <protection hidden="1"/>
    </xf>
    <xf numFmtId="0" fontId="10" fillId="3" borderId="0" xfId="0" applyFont="1" applyFill="1" applyAlignment="1" applyProtection="1">
      <alignment horizontal="centerContinuous"/>
      <protection hidden="1"/>
    </xf>
    <xf numFmtId="0" fontId="2" fillId="3" borderId="0" xfId="0" applyFont="1" applyFill="1" applyAlignment="1" applyProtection="1">
      <alignment horizontal="centerContinuous"/>
      <protection hidden="1"/>
    </xf>
    <xf numFmtId="0" fontId="2" fillId="3" borderId="0" xfId="0" applyFont="1" applyFill="1" applyBorder="1" applyProtection="1">
      <protection hidden="1"/>
    </xf>
    <xf numFmtId="0" fontId="2" fillId="3" borderId="0" xfId="0" applyFont="1" applyFill="1" applyAlignment="1" applyProtection="1">
      <alignment horizontal="right"/>
      <protection hidden="1"/>
    </xf>
    <xf numFmtId="0" fontId="2" fillId="3" borderId="0" xfId="0" applyFont="1" applyFill="1" applyBorder="1" applyAlignment="1" applyProtection="1">
      <alignment horizontal="left"/>
      <protection hidden="1"/>
    </xf>
    <xf numFmtId="0" fontId="21" fillId="3" borderId="0" xfId="0" applyFont="1" applyFill="1" applyBorder="1" applyAlignment="1" applyProtection="1">
      <alignment horizontal="right"/>
      <protection hidden="1"/>
    </xf>
    <xf numFmtId="164" fontId="13" fillId="3" borderId="0" xfId="0" applyNumberFormat="1" applyFont="1" applyFill="1" applyBorder="1" applyAlignment="1" applyProtection="1">
      <alignment horizontal="left"/>
      <protection hidden="1"/>
    </xf>
    <xf numFmtId="0" fontId="10" fillId="3" borderId="0" xfId="0" applyFont="1" applyFill="1" applyProtection="1">
      <protection hidden="1"/>
    </xf>
    <xf numFmtId="164" fontId="13" fillId="3" borderId="0" xfId="0" applyNumberFormat="1" applyFont="1" applyFill="1" applyAlignment="1" applyProtection="1">
      <alignment horizontal="center"/>
      <protection hidden="1"/>
    </xf>
    <xf numFmtId="0" fontId="13" fillId="3" borderId="0" xfId="0" applyFont="1" applyFill="1" applyBorder="1" applyAlignment="1" applyProtection="1">
      <alignment horizontal="right"/>
      <protection hidden="1"/>
    </xf>
    <xf numFmtId="164" fontId="13" fillId="3" borderId="0" xfId="0" applyNumberFormat="1" applyFont="1" applyFill="1" applyAlignment="1" applyProtection="1">
      <alignment horizontal="left"/>
      <protection hidden="1"/>
    </xf>
    <xf numFmtId="164" fontId="2" fillId="3" borderId="0" xfId="0" applyNumberFormat="1" applyFont="1" applyFill="1" applyBorder="1" applyAlignment="1" applyProtection="1">
      <alignment horizontal="left"/>
      <protection hidden="1"/>
    </xf>
    <xf numFmtId="2" fontId="13" fillId="3" borderId="0" xfId="0" applyNumberFormat="1" applyFont="1" applyFill="1" applyAlignment="1" applyProtection="1">
      <alignment horizontal="center"/>
      <protection hidden="1"/>
    </xf>
    <xf numFmtId="164" fontId="2" fillId="3" borderId="0" xfId="0" applyNumberFormat="1" applyFont="1" applyFill="1" applyBorder="1" applyAlignment="1" applyProtection="1">
      <alignment horizontal="right"/>
      <protection hidden="1"/>
    </xf>
    <xf numFmtId="2" fontId="2" fillId="3" borderId="0" xfId="0" applyNumberFormat="1" applyFont="1" applyFill="1" applyAlignment="1" applyProtection="1">
      <alignment horizontal="center"/>
      <protection hidden="1"/>
    </xf>
    <xf numFmtId="0" fontId="2" fillId="3" borderId="0" xfId="0" quotePrefix="1" applyFont="1" applyFill="1" applyAlignment="1" applyProtection="1">
      <alignment horizontal="right"/>
      <protection hidden="1"/>
    </xf>
    <xf numFmtId="0" fontId="21" fillId="3" borderId="0" xfId="0" applyFont="1" applyFill="1" applyAlignment="1" applyProtection="1">
      <alignment horizontal="right"/>
      <protection hidden="1"/>
    </xf>
    <xf numFmtId="2" fontId="2" fillId="3" borderId="0" xfId="0" applyNumberFormat="1" applyFont="1" applyFill="1" applyAlignment="1" applyProtection="1">
      <alignment horizontal="left"/>
      <protection hidden="1"/>
    </xf>
    <xf numFmtId="2" fontId="0" fillId="3" borderId="0" xfId="0" applyNumberFormat="1" applyFill="1" applyProtection="1">
      <protection hidden="1"/>
    </xf>
    <xf numFmtId="0" fontId="13" fillId="3" borderId="0" xfId="0" applyFont="1" applyFill="1" applyProtection="1">
      <protection hidden="1"/>
    </xf>
    <xf numFmtId="0" fontId="2" fillId="3" borderId="0" xfId="0" applyFont="1" applyFill="1" applyBorder="1" applyAlignment="1" applyProtection="1">
      <alignment horizontal="right"/>
      <protection hidden="1"/>
    </xf>
    <xf numFmtId="0" fontId="21" fillId="3" borderId="0" xfId="0" applyFont="1" applyFill="1" applyAlignment="1" applyProtection="1">
      <alignment horizontal="left"/>
      <protection hidden="1"/>
    </xf>
    <xf numFmtId="0" fontId="13" fillId="3" borderId="0" xfId="0" applyFont="1" applyFill="1" applyAlignment="1" applyProtection="1">
      <alignment horizontal="right"/>
      <protection hidden="1"/>
    </xf>
    <xf numFmtId="164" fontId="2" fillId="3" borderId="0" xfId="0" applyNumberFormat="1" applyFont="1" applyFill="1" applyAlignment="1" applyProtection="1">
      <alignment horizontal="left"/>
      <protection hidden="1"/>
    </xf>
    <xf numFmtId="0" fontId="3" fillId="3" borderId="0" xfId="0" applyFont="1" applyFill="1" applyBorder="1" applyAlignment="1" applyProtection="1">
      <alignment horizontal="center"/>
      <protection hidden="1"/>
    </xf>
    <xf numFmtId="0" fontId="22" fillId="3" borderId="0" xfId="0" applyFont="1" applyFill="1" applyBorder="1" applyAlignment="1" applyProtection="1">
      <alignment horizontal="left"/>
      <protection hidden="1"/>
    </xf>
    <xf numFmtId="2" fontId="3" fillId="3" borderId="0" xfId="0" applyNumberFormat="1" applyFont="1" applyFill="1" applyBorder="1" applyAlignment="1" applyProtection="1">
      <alignment horizontal="center"/>
      <protection hidden="1"/>
    </xf>
    <xf numFmtId="164" fontId="0" fillId="3" borderId="0" xfId="0" applyNumberFormat="1" applyFill="1" applyProtection="1">
      <protection hidden="1"/>
    </xf>
    <xf numFmtId="0" fontId="31" fillId="2" borderId="15" xfId="0" applyFont="1" applyFill="1" applyBorder="1" applyAlignment="1" applyProtection="1">
      <alignment horizontal="centerContinuous" vertical="justify"/>
      <protection hidden="1"/>
    </xf>
    <xf numFmtId="0" fontId="3" fillId="2" borderId="4" xfId="0" applyFont="1" applyFill="1" applyBorder="1" applyAlignment="1" applyProtection="1">
      <alignment horizontal="centerContinuous" vertical="justify"/>
      <protection hidden="1"/>
    </xf>
    <xf numFmtId="0" fontId="3" fillId="2" borderId="12" xfId="0" applyFont="1" applyFill="1" applyBorder="1" applyAlignment="1" applyProtection="1">
      <alignment horizontal="center"/>
      <protection hidden="1"/>
    </xf>
    <xf numFmtId="0" fontId="2" fillId="4" borderId="8" xfId="0" applyFont="1" applyFill="1" applyBorder="1" applyAlignment="1" applyProtection="1">
      <alignment horizontal="center"/>
      <protection locked="0"/>
    </xf>
    <xf numFmtId="0" fontId="18" fillId="3" borderId="0" xfId="0" applyFont="1" applyFill="1" applyBorder="1" applyProtection="1">
      <protection hidden="1"/>
    </xf>
    <xf numFmtId="0" fontId="18" fillId="3" borderId="0" xfId="0" applyFont="1" applyFill="1" applyBorder="1" applyAlignment="1" applyProtection="1">
      <alignment horizontal="center"/>
      <protection hidden="1"/>
    </xf>
    <xf numFmtId="18" fontId="18" fillId="3" borderId="0" xfId="0" applyNumberFormat="1" applyFont="1" applyFill="1" applyBorder="1" applyAlignment="1" applyProtection="1">
      <alignment horizontal="center"/>
      <protection hidden="1"/>
    </xf>
    <xf numFmtId="0" fontId="18" fillId="3" borderId="0" xfId="0" applyFont="1" applyFill="1" applyBorder="1" applyAlignment="1" applyProtection="1">
      <protection hidden="1"/>
    </xf>
    <xf numFmtId="0" fontId="18" fillId="3" borderId="0" xfId="0" applyFont="1" applyFill="1" applyBorder="1" applyAlignment="1" applyProtection="1">
      <alignment horizontal="centerContinuous"/>
      <protection hidden="1"/>
    </xf>
    <xf numFmtId="164" fontId="2" fillId="4" borderId="16" xfId="0" applyNumberFormat="1" applyFont="1" applyFill="1" applyBorder="1" applyAlignment="1" applyProtection="1">
      <alignment horizontal="center"/>
      <protection locked="0"/>
    </xf>
    <xf numFmtId="164" fontId="2" fillId="4" borderId="17" xfId="0" applyNumberFormat="1" applyFont="1" applyFill="1" applyBorder="1" applyAlignment="1" applyProtection="1">
      <alignment horizontal="center"/>
      <protection locked="0"/>
    </xf>
    <xf numFmtId="2" fontId="2" fillId="4" borderId="17" xfId="0" applyNumberFormat="1" applyFont="1" applyFill="1" applyBorder="1" applyAlignment="1" applyProtection="1">
      <alignment horizontal="center"/>
      <protection locked="0"/>
    </xf>
    <xf numFmtId="2" fontId="2" fillId="4" borderId="18" xfId="0" applyNumberFormat="1" applyFont="1" applyFill="1" applyBorder="1" applyAlignment="1" applyProtection="1">
      <alignment horizontal="center"/>
      <protection locked="0"/>
    </xf>
    <xf numFmtId="164" fontId="2" fillId="4" borderId="19" xfId="0" applyNumberFormat="1" applyFont="1" applyFill="1" applyBorder="1" applyAlignment="1" applyProtection="1">
      <alignment horizontal="center"/>
      <protection locked="0"/>
    </xf>
    <xf numFmtId="164" fontId="2" fillId="4" borderId="20" xfId="0" applyNumberFormat="1" applyFont="1" applyFill="1" applyBorder="1" applyAlignment="1" applyProtection="1">
      <alignment horizontal="center"/>
      <protection locked="0"/>
    </xf>
    <xf numFmtId="2" fontId="2" fillId="4" borderId="20" xfId="0" applyNumberFormat="1" applyFont="1" applyFill="1" applyBorder="1" applyAlignment="1" applyProtection="1">
      <alignment horizontal="center"/>
      <protection locked="0"/>
    </xf>
    <xf numFmtId="2" fontId="2" fillId="4" borderId="21" xfId="0" applyNumberFormat="1" applyFont="1" applyFill="1" applyBorder="1" applyAlignment="1" applyProtection="1">
      <alignment horizontal="center"/>
      <protection locked="0"/>
    </xf>
    <xf numFmtId="2" fontId="2" fillId="3" borderId="16" xfId="0" applyNumberFormat="1" applyFont="1" applyFill="1" applyBorder="1" applyAlignment="1" applyProtection="1">
      <alignment horizontal="center"/>
      <protection hidden="1"/>
    </xf>
    <xf numFmtId="164" fontId="13" fillId="3" borderId="17" xfId="0" applyNumberFormat="1" applyFont="1" applyFill="1" applyBorder="1" applyAlignment="1" applyProtection="1">
      <alignment horizontal="center"/>
      <protection hidden="1"/>
    </xf>
    <xf numFmtId="164" fontId="13" fillId="3" borderId="18" xfId="0" applyNumberFormat="1" applyFont="1" applyFill="1" applyBorder="1" applyAlignment="1" applyProtection="1">
      <alignment horizontal="center"/>
      <protection hidden="1"/>
    </xf>
    <xf numFmtId="2" fontId="13" fillId="3" borderId="16" xfId="0" applyNumberFormat="1" applyFont="1" applyFill="1" applyBorder="1" applyAlignment="1" applyProtection="1">
      <alignment horizontal="center"/>
      <protection hidden="1"/>
    </xf>
    <xf numFmtId="2" fontId="2" fillId="3" borderId="17" xfId="0" applyNumberFormat="1" applyFont="1" applyFill="1" applyBorder="1" applyAlignment="1" applyProtection="1">
      <alignment horizontal="center"/>
      <protection hidden="1"/>
    </xf>
    <xf numFmtId="164" fontId="2" fillId="3" borderId="18" xfId="0" applyNumberFormat="1" applyFont="1" applyFill="1" applyBorder="1" applyAlignment="1" applyProtection="1">
      <alignment horizontal="center"/>
      <protection hidden="1"/>
    </xf>
    <xf numFmtId="164" fontId="2" fillId="3" borderId="17" xfId="0" applyNumberFormat="1" applyFont="1" applyFill="1" applyBorder="1" applyAlignment="1" applyProtection="1">
      <alignment horizontal="center"/>
      <protection hidden="1"/>
    </xf>
    <xf numFmtId="164" fontId="2" fillId="3" borderId="16" xfId="0" applyNumberFormat="1" applyFont="1" applyFill="1" applyBorder="1" applyAlignment="1" applyProtection="1">
      <alignment horizontal="center"/>
      <protection hidden="1"/>
    </xf>
    <xf numFmtId="2" fontId="27" fillId="3" borderId="0" xfId="0" applyNumberFormat="1" applyFont="1" applyFill="1" applyBorder="1" applyAlignment="1" applyProtection="1">
      <alignment horizontal="left" vertical="top"/>
      <protection hidden="1"/>
    </xf>
    <xf numFmtId="164" fontId="0" fillId="3" borderId="0" xfId="0" applyNumberFormat="1" applyFill="1" applyAlignment="1" applyProtection="1">
      <alignment horizontal="center"/>
      <protection hidden="1"/>
    </xf>
    <xf numFmtId="0" fontId="0" fillId="3" borderId="0" xfId="0" applyFill="1" applyAlignment="1" applyProtection="1">
      <alignment horizontal="center"/>
      <protection hidden="1"/>
    </xf>
    <xf numFmtId="0" fontId="0" fillId="3" borderId="8" xfId="0" applyFill="1" applyBorder="1" applyProtection="1">
      <protection hidden="1"/>
    </xf>
    <xf numFmtId="0" fontId="27" fillId="3" borderId="0" xfId="0" applyFont="1" applyFill="1" applyBorder="1" applyAlignment="1" applyProtection="1">
      <alignment horizontal="right"/>
      <protection hidden="1"/>
    </xf>
    <xf numFmtId="0" fontId="27" fillId="3" borderId="0" xfId="0" applyFont="1" applyFill="1" applyBorder="1" applyAlignment="1" applyProtection="1">
      <alignment horizontal="right" vertical="top"/>
      <protection hidden="1"/>
    </xf>
    <xf numFmtId="0" fontId="15" fillId="3" borderId="0" xfId="0" applyFont="1" applyFill="1" applyBorder="1" applyAlignment="1" applyProtection="1">
      <alignment vertical="top"/>
      <protection hidden="1"/>
    </xf>
    <xf numFmtId="0" fontId="3" fillId="3" borderId="0" xfId="0" applyFont="1" applyFill="1" applyBorder="1" applyAlignment="1" applyProtection="1">
      <alignment horizontal="left"/>
      <protection hidden="1"/>
    </xf>
    <xf numFmtId="0" fontId="32" fillId="3" borderId="0" xfId="0" applyFont="1" applyFill="1" applyProtection="1">
      <protection hidden="1"/>
    </xf>
    <xf numFmtId="0" fontId="0" fillId="3" borderId="5" xfId="0" applyFill="1" applyBorder="1" applyProtection="1">
      <protection locked="0"/>
    </xf>
    <xf numFmtId="0" fontId="0" fillId="3" borderId="0" xfId="0" applyFill="1" applyBorder="1" applyProtection="1">
      <protection locked="0"/>
    </xf>
    <xf numFmtId="0" fontId="0" fillId="3" borderId="14" xfId="0" applyFill="1" applyBorder="1" applyProtection="1">
      <protection locked="0"/>
    </xf>
    <xf numFmtId="0" fontId="0" fillId="3" borderId="7" xfId="0" applyFill="1" applyBorder="1" applyProtection="1">
      <protection locked="0"/>
    </xf>
    <xf numFmtId="164" fontId="2" fillId="3" borderId="0" xfId="0" applyNumberFormat="1" applyFont="1" applyFill="1" applyAlignment="1" applyProtection="1">
      <alignment horizontal="right"/>
      <protection hidden="1"/>
    </xf>
    <xf numFmtId="0" fontId="13" fillId="3" borderId="0" xfId="0" applyFont="1" applyFill="1" applyAlignment="1" applyProtection="1">
      <protection hidden="1"/>
    </xf>
    <xf numFmtId="0" fontId="13" fillId="3" borderId="0" xfId="0" applyFont="1" applyFill="1" applyBorder="1" applyAlignment="1" applyProtection="1">
      <alignment horizontal="centerContinuous"/>
      <protection hidden="1"/>
    </xf>
    <xf numFmtId="0" fontId="13" fillId="3" borderId="0" xfId="0" applyFont="1" applyFill="1" applyAlignment="1" applyProtection="1">
      <alignment horizontal="centerContinuous"/>
      <protection hidden="1"/>
    </xf>
    <xf numFmtId="2" fontId="13" fillId="3" borderId="0" xfId="0" applyNumberFormat="1" applyFont="1" applyFill="1" applyAlignment="1" applyProtection="1">
      <alignment horizontal="left"/>
      <protection hidden="1"/>
    </xf>
    <xf numFmtId="2" fontId="13" fillId="3" borderId="0" xfId="0" applyNumberFormat="1" applyFont="1" applyFill="1" applyProtection="1">
      <protection hidden="1"/>
    </xf>
    <xf numFmtId="0" fontId="3" fillId="3" borderId="0" xfId="0" applyFont="1" applyFill="1" applyBorder="1" applyAlignment="1" applyProtection="1">
      <alignment horizontal="centerContinuous"/>
      <protection hidden="1"/>
    </xf>
    <xf numFmtId="0" fontId="18" fillId="3" borderId="0" xfId="0" applyFont="1" applyFill="1" applyProtection="1">
      <protection hidden="1"/>
    </xf>
    <xf numFmtId="0" fontId="3" fillId="3" borderId="0" xfId="0" applyFont="1" applyFill="1" applyBorder="1" applyAlignment="1" applyProtection="1">
      <alignment horizontal="right"/>
      <protection hidden="1"/>
    </xf>
    <xf numFmtId="0" fontId="3" fillId="3" borderId="0" xfId="0" applyFont="1" applyFill="1" applyBorder="1" applyAlignment="1" applyProtection="1">
      <protection hidden="1"/>
    </xf>
    <xf numFmtId="49" fontId="2" fillId="3" borderId="12" xfId="0" applyNumberFormat="1" applyFont="1" applyFill="1" applyBorder="1" applyProtection="1">
      <protection locked="0"/>
    </xf>
    <xf numFmtId="0" fontId="32" fillId="3" borderId="0" xfId="0" quotePrefix="1" applyFont="1" applyFill="1" applyBorder="1" applyProtection="1">
      <protection hidden="1"/>
    </xf>
    <xf numFmtId="0" fontId="32" fillId="3" borderId="0" xfId="0" applyFont="1" applyFill="1" applyBorder="1" applyProtection="1">
      <protection hidden="1"/>
    </xf>
    <xf numFmtId="0" fontId="9" fillId="3" borderId="0" xfId="0" applyFont="1" applyFill="1" applyBorder="1" applyProtection="1">
      <protection hidden="1"/>
    </xf>
    <xf numFmtId="0" fontId="0" fillId="3" borderId="2" xfId="0" applyFill="1" applyBorder="1" applyProtection="1">
      <protection hidden="1"/>
    </xf>
    <xf numFmtId="0" fontId="0" fillId="3" borderId="3" xfId="0" applyFill="1" applyBorder="1" applyProtection="1">
      <protection hidden="1"/>
    </xf>
    <xf numFmtId="164" fontId="3" fillId="3" borderId="5" xfId="0" applyNumberFormat="1" applyFont="1" applyFill="1" applyBorder="1" applyAlignment="1" applyProtection="1">
      <alignment horizontal="right"/>
      <protection hidden="1"/>
    </xf>
    <xf numFmtId="0" fontId="0" fillId="0" borderId="5" xfId="0" applyBorder="1" applyAlignment="1" applyProtection="1">
      <alignment horizontal="right"/>
      <protection hidden="1"/>
    </xf>
    <xf numFmtId="0" fontId="0" fillId="3" borderId="5" xfId="0" applyFill="1" applyBorder="1" applyAlignment="1" applyProtection="1">
      <protection hidden="1"/>
    </xf>
    <xf numFmtId="2" fontId="27" fillId="3" borderId="5" xfId="0" applyNumberFormat="1" applyFont="1" applyFill="1" applyBorder="1" applyAlignment="1" applyProtection="1">
      <alignment horizontal="right"/>
      <protection hidden="1"/>
    </xf>
    <xf numFmtId="0" fontId="15" fillId="3" borderId="5" xfId="0" applyFont="1" applyFill="1" applyBorder="1" applyProtection="1">
      <protection hidden="1"/>
    </xf>
    <xf numFmtId="2" fontId="27" fillId="3" borderId="5" xfId="0" applyNumberFormat="1" applyFont="1" applyFill="1" applyBorder="1" applyAlignment="1" applyProtection="1">
      <alignment horizontal="right" vertical="top"/>
      <protection hidden="1"/>
    </xf>
    <xf numFmtId="0" fontId="27" fillId="0" borderId="12" xfId="0" applyFont="1" applyBorder="1" applyAlignment="1" applyProtection="1">
      <alignment horizontal="center"/>
      <protection hidden="1"/>
    </xf>
    <xf numFmtId="0" fontId="34" fillId="3" borderId="0" xfId="0" applyFont="1" applyFill="1" applyBorder="1" applyProtection="1">
      <protection hidden="1"/>
    </xf>
    <xf numFmtId="0" fontId="16" fillId="3" borderId="0" xfId="0" applyFont="1" applyFill="1" applyBorder="1" applyAlignment="1" applyProtection="1">
      <alignment horizontal="right"/>
      <protection hidden="1"/>
    </xf>
    <xf numFmtId="0" fontId="31" fillId="3" borderId="0" xfId="0" applyFont="1" applyFill="1" applyBorder="1" applyProtection="1">
      <protection hidden="1"/>
    </xf>
    <xf numFmtId="0" fontId="32" fillId="3" borderId="0" xfId="0" applyFont="1" applyFill="1" applyBorder="1" applyAlignment="1" applyProtection="1">
      <alignment vertical="top"/>
      <protection hidden="1"/>
    </xf>
    <xf numFmtId="0" fontId="16" fillId="3" borderId="0" xfId="0" applyFont="1" applyFill="1" applyBorder="1" applyAlignment="1" applyProtection="1">
      <alignment horizontal="centerContinuous"/>
      <protection hidden="1"/>
    </xf>
    <xf numFmtId="0" fontId="2" fillId="3" borderId="5" xfId="0" applyFont="1" applyFill="1" applyBorder="1" applyAlignment="1" applyProtection="1">
      <alignment horizontal="right"/>
      <protection locked="0"/>
    </xf>
    <xf numFmtId="2" fontId="2" fillId="3" borderId="0" xfId="0" applyNumberFormat="1" applyFont="1" applyFill="1" applyBorder="1" applyAlignment="1" applyProtection="1">
      <alignment horizontal="center"/>
      <protection locked="0"/>
    </xf>
    <xf numFmtId="0" fontId="2" fillId="3" borderId="0" xfId="0" applyFont="1" applyFill="1" applyBorder="1" applyAlignment="1" applyProtection="1">
      <alignment horizontal="right"/>
      <protection locked="0"/>
    </xf>
    <xf numFmtId="0" fontId="27" fillId="3" borderId="0" xfId="0" applyFont="1" applyFill="1" applyBorder="1" applyAlignment="1" applyProtection="1">
      <alignment horizontal="left"/>
      <protection locked="0"/>
    </xf>
    <xf numFmtId="0" fontId="2" fillId="3" borderId="14" xfId="0" applyFont="1" applyFill="1" applyBorder="1" applyProtection="1">
      <protection locked="0"/>
    </xf>
    <xf numFmtId="0" fontId="2" fillId="3" borderId="7" xfId="0" applyFont="1" applyFill="1" applyBorder="1" applyProtection="1">
      <protection locked="0"/>
    </xf>
    <xf numFmtId="0" fontId="24" fillId="3" borderId="3" xfId="0" applyFont="1" applyFill="1" applyBorder="1" applyProtection="1">
      <protection hidden="1"/>
    </xf>
    <xf numFmtId="0" fontId="24" fillId="3" borderId="4" xfId="0" applyFont="1" applyFill="1" applyBorder="1" applyProtection="1">
      <protection hidden="1"/>
    </xf>
    <xf numFmtId="0" fontId="24" fillId="3" borderId="5" xfId="0" applyFont="1" applyFill="1" applyBorder="1" applyProtection="1">
      <protection hidden="1"/>
    </xf>
    <xf numFmtId="0" fontId="36" fillId="3" borderId="0" xfId="0" applyFont="1" applyFill="1" applyBorder="1" applyProtection="1">
      <protection hidden="1"/>
    </xf>
    <xf numFmtId="0" fontId="24" fillId="3" borderId="0" xfId="0" applyFont="1" applyFill="1" applyBorder="1" applyProtection="1">
      <protection hidden="1"/>
    </xf>
    <xf numFmtId="0" fontId="24" fillId="3" borderId="6" xfId="0" applyFont="1" applyFill="1" applyBorder="1" applyProtection="1">
      <protection hidden="1"/>
    </xf>
    <xf numFmtId="0" fontId="36" fillId="3" borderId="7" xfId="0" applyFont="1" applyFill="1" applyBorder="1" applyProtection="1">
      <protection hidden="1"/>
    </xf>
    <xf numFmtId="0" fontId="24" fillId="3" borderId="7" xfId="0" applyFont="1" applyFill="1" applyBorder="1" applyProtection="1">
      <protection hidden="1"/>
    </xf>
    <xf numFmtId="0" fontId="24" fillId="3" borderId="8" xfId="0" applyFont="1" applyFill="1" applyBorder="1" applyProtection="1">
      <protection hidden="1"/>
    </xf>
    <xf numFmtId="0" fontId="36" fillId="3" borderId="5" xfId="0" applyFont="1" applyFill="1" applyBorder="1" applyAlignment="1" applyProtection="1">
      <protection hidden="1"/>
    </xf>
    <xf numFmtId="0" fontId="36" fillId="3" borderId="14" xfId="0" applyFont="1" applyFill="1" applyBorder="1" applyAlignment="1" applyProtection="1">
      <protection hidden="1"/>
    </xf>
    <xf numFmtId="0" fontId="2" fillId="3" borderId="3" xfId="0" applyFont="1" applyFill="1" applyBorder="1" applyProtection="1">
      <protection hidden="1"/>
    </xf>
    <xf numFmtId="0" fontId="2" fillId="3" borderId="4" xfId="0" applyFont="1" applyFill="1" applyBorder="1" applyProtection="1">
      <protection hidden="1"/>
    </xf>
    <xf numFmtId="0" fontId="2" fillId="3" borderId="5" xfId="0" applyFont="1" applyFill="1" applyBorder="1" applyProtection="1">
      <protection hidden="1"/>
    </xf>
    <xf numFmtId="0" fontId="2" fillId="3" borderId="6" xfId="0" applyFont="1" applyFill="1" applyBorder="1" applyProtection="1">
      <protection hidden="1"/>
    </xf>
    <xf numFmtId="0" fontId="2" fillId="3" borderId="14" xfId="0" applyFont="1" applyFill="1" applyBorder="1" applyProtection="1">
      <protection hidden="1"/>
    </xf>
    <xf numFmtId="0" fontId="2" fillId="3" borderId="7" xfId="0" applyFont="1" applyFill="1" applyBorder="1" applyProtection="1">
      <protection hidden="1"/>
    </xf>
    <xf numFmtId="0" fontId="2" fillId="3" borderId="8" xfId="0" applyFont="1" applyFill="1" applyBorder="1" applyProtection="1">
      <protection hidden="1"/>
    </xf>
    <xf numFmtId="0" fontId="35" fillId="3" borderId="2" xfId="0" applyFont="1" applyFill="1" applyBorder="1" applyAlignment="1" applyProtection="1">
      <alignment horizontal="center"/>
      <protection hidden="1"/>
    </xf>
    <xf numFmtId="0" fontId="37" fillId="3" borderId="2" xfId="0" applyFont="1" applyFill="1" applyBorder="1" applyAlignment="1" applyProtection="1">
      <alignment horizontal="center"/>
      <protection hidden="1"/>
    </xf>
    <xf numFmtId="49" fontId="2" fillId="3" borderId="5" xfId="0" applyNumberFormat="1" applyFont="1" applyFill="1" applyBorder="1" applyAlignment="1" applyProtection="1">
      <alignment horizontal="left"/>
      <protection locked="0"/>
    </xf>
    <xf numFmtId="49" fontId="12" fillId="3" borderId="0" xfId="0" applyNumberFormat="1" applyFont="1" applyFill="1" applyBorder="1" applyProtection="1">
      <protection locked="0"/>
    </xf>
    <xf numFmtId="49" fontId="2" fillId="3" borderId="13" xfId="0" applyNumberFormat="1" applyFont="1" applyFill="1" applyBorder="1" applyAlignment="1" applyProtection="1">
      <alignment horizontal="left"/>
      <protection locked="0"/>
    </xf>
    <xf numFmtId="0" fontId="14" fillId="3" borderId="8" xfId="0" applyFont="1" applyFill="1" applyBorder="1" applyAlignment="1" applyProtection="1">
      <alignment horizontal="center"/>
      <protection hidden="1"/>
    </xf>
    <xf numFmtId="0" fontId="0" fillId="3" borderId="6" xfId="0" applyFill="1" applyBorder="1" applyAlignment="1" applyProtection="1">
      <protection hidden="1"/>
    </xf>
    <xf numFmtId="0" fontId="2" fillId="3" borderId="0" xfId="0" applyFont="1" applyFill="1" applyBorder="1" applyAlignment="1" applyProtection="1">
      <alignment horizontal="left"/>
      <protection locked="0"/>
    </xf>
    <xf numFmtId="0" fontId="2" fillId="3" borderId="11" xfId="0" applyFont="1" applyFill="1" applyBorder="1" applyProtection="1">
      <protection locked="0"/>
    </xf>
    <xf numFmtId="0" fontId="27" fillId="0" borderId="0" xfId="0" applyFont="1" applyBorder="1" applyAlignment="1" applyProtection="1">
      <alignment horizontal="center"/>
      <protection locked="0"/>
    </xf>
    <xf numFmtId="0" fontId="2" fillId="3" borderId="0" xfId="0" applyFont="1" applyFill="1" applyBorder="1" applyAlignment="1" applyProtection="1">
      <alignment horizontal="center"/>
      <protection locked="0"/>
    </xf>
    <xf numFmtId="0" fontId="2" fillId="3" borderId="6" xfId="0" applyFont="1" applyFill="1" applyBorder="1" applyProtection="1">
      <protection locked="0"/>
    </xf>
    <xf numFmtId="14" fontId="2" fillId="3" borderId="3" xfId="0" applyNumberFormat="1" applyFont="1" applyFill="1" applyBorder="1" applyAlignment="1" applyProtection="1">
      <alignment horizontal="center"/>
      <protection locked="0"/>
    </xf>
    <xf numFmtId="0" fontId="3" fillId="3" borderId="5" xfId="0" applyFont="1" applyFill="1" applyBorder="1" applyAlignment="1" applyProtection="1">
      <alignment horizontal="right"/>
      <protection locked="0"/>
    </xf>
    <xf numFmtId="0" fontId="10" fillId="3" borderId="0" xfId="0" applyFont="1" applyFill="1" applyBorder="1" applyAlignment="1" applyProtection="1">
      <protection locked="0"/>
    </xf>
    <xf numFmtId="164" fontId="2" fillId="3" borderId="12" xfId="0" applyNumberFormat="1" applyFont="1" applyFill="1" applyBorder="1" applyAlignment="1" applyProtection="1">
      <alignment horizontal="center"/>
      <protection locked="0"/>
    </xf>
    <xf numFmtId="0" fontId="39" fillId="3" borderId="0" xfId="0" applyFont="1" applyFill="1" applyBorder="1" applyAlignment="1" applyProtection="1">
      <alignment horizontal="centerContinuous"/>
      <protection hidden="1"/>
    </xf>
    <xf numFmtId="0" fontId="16" fillId="3" borderId="0" xfId="0" applyFont="1" applyFill="1" applyBorder="1" applyProtection="1">
      <protection hidden="1"/>
    </xf>
    <xf numFmtId="0" fontId="30" fillId="3" borderId="0" xfId="0" applyFont="1" applyFill="1" applyBorder="1" applyProtection="1">
      <protection hidden="1"/>
    </xf>
    <xf numFmtId="0" fontId="9" fillId="3" borderId="13" xfId="0" applyFont="1" applyFill="1" applyBorder="1" applyAlignment="1" applyProtection="1">
      <alignment horizontal="centerContinuous"/>
      <protection hidden="1"/>
    </xf>
    <xf numFmtId="0" fontId="9" fillId="3" borderId="10" xfId="0" applyFont="1" applyFill="1" applyBorder="1" applyAlignment="1" applyProtection="1">
      <alignment horizontal="centerContinuous"/>
      <protection hidden="1"/>
    </xf>
    <xf numFmtId="0" fontId="9" fillId="3" borderId="11" xfId="0" applyFont="1" applyFill="1" applyBorder="1" applyAlignment="1" applyProtection="1">
      <alignment horizontal="centerContinuous"/>
      <protection hidden="1"/>
    </xf>
    <xf numFmtId="0" fontId="30" fillId="3" borderId="22" xfId="0" applyFont="1" applyFill="1" applyBorder="1" applyAlignment="1" applyProtection="1">
      <alignment horizontal="centerContinuous"/>
      <protection hidden="1"/>
    </xf>
    <xf numFmtId="0" fontId="30" fillId="3" borderId="23" xfId="0" applyFont="1" applyFill="1" applyBorder="1" applyAlignment="1" applyProtection="1">
      <alignment horizontal="centerContinuous"/>
      <protection hidden="1"/>
    </xf>
    <xf numFmtId="0" fontId="30" fillId="3" borderId="24" xfId="0" applyFont="1" applyFill="1" applyBorder="1" applyAlignment="1" applyProtection="1">
      <alignment horizontal="centerContinuous"/>
      <protection hidden="1"/>
    </xf>
    <xf numFmtId="0" fontId="30" fillId="3" borderId="5" xfId="0" applyFont="1" applyFill="1" applyBorder="1" applyAlignment="1" applyProtection="1">
      <alignment horizontal="centerContinuous"/>
      <protection hidden="1"/>
    </xf>
    <xf numFmtId="0" fontId="30" fillId="3" borderId="0" xfId="0" applyFont="1" applyFill="1" applyBorder="1" applyAlignment="1" applyProtection="1">
      <alignment horizontal="centerContinuous"/>
      <protection hidden="1"/>
    </xf>
    <xf numFmtId="0" fontId="30" fillId="3" borderId="6" xfId="0" applyFont="1" applyFill="1" applyBorder="1" applyAlignment="1" applyProtection="1">
      <alignment horizontal="centerContinuous"/>
      <protection hidden="1"/>
    </xf>
    <xf numFmtId="0" fontId="30" fillId="3" borderId="25" xfId="0" applyFont="1" applyFill="1" applyBorder="1" applyAlignment="1" applyProtection="1">
      <alignment horizontal="centerContinuous"/>
      <protection hidden="1"/>
    </xf>
    <xf numFmtId="0" fontId="30" fillId="3" borderId="26" xfId="0" applyFont="1" applyFill="1" applyBorder="1" applyAlignment="1" applyProtection="1">
      <alignment horizontal="centerContinuous"/>
      <protection hidden="1"/>
    </xf>
    <xf numFmtId="0" fontId="30" fillId="3" borderId="27" xfId="0" applyFont="1" applyFill="1" applyBorder="1" applyAlignment="1" applyProtection="1">
      <alignment horizontal="centerContinuous"/>
      <protection hidden="1"/>
    </xf>
    <xf numFmtId="0" fontId="30" fillId="3" borderId="0" xfId="0" applyFont="1" applyFill="1" applyProtection="1">
      <protection hidden="1"/>
    </xf>
    <xf numFmtId="0" fontId="30" fillId="3" borderId="0" xfId="0" applyFont="1" applyFill="1" applyAlignment="1" applyProtection="1">
      <alignment horizontal="right"/>
      <protection hidden="1"/>
    </xf>
    <xf numFmtId="0" fontId="30" fillId="3" borderId="0" xfId="0" applyFont="1" applyFill="1" applyBorder="1" applyAlignment="1" applyProtection="1">
      <alignment horizontal="right"/>
      <protection hidden="1"/>
    </xf>
    <xf numFmtId="0" fontId="30" fillId="3" borderId="0" xfId="0" applyFont="1" applyFill="1" applyBorder="1" applyAlignment="1" applyProtection="1">
      <alignment horizontal="left"/>
      <protection hidden="1"/>
    </xf>
    <xf numFmtId="0" fontId="2" fillId="3" borderId="0" xfId="0" applyFont="1" applyFill="1" applyBorder="1" applyAlignment="1" applyProtection="1">
      <protection locked="0"/>
    </xf>
    <xf numFmtId="0" fontId="13" fillId="3" borderId="0" xfId="0" applyFont="1" applyFill="1" applyBorder="1" applyProtection="1">
      <protection hidden="1"/>
    </xf>
    <xf numFmtId="0" fontId="18" fillId="3" borderId="5" xfId="0" applyFont="1" applyFill="1" applyBorder="1" applyAlignment="1" applyProtection="1">
      <alignment horizontal="right"/>
      <protection hidden="1"/>
    </xf>
    <xf numFmtId="0" fontId="27" fillId="3" borderId="28" xfId="0" applyFont="1" applyFill="1" applyBorder="1" applyAlignment="1" applyProtection="1">
      <protection hidden="1"/>
    </xf>
    <xf numFmtId="0" fontId="27" fillId="3" borderId="20" xfId="0" applyFont="1" applyFill="1" applyBorder="1" applyAlignment="1" applyProtection="1">
      <alignment horizontal="left"/>
      <protection hidden="1"/>
    </xf>
    <xf numFmtId="0" fontId="15" fillId="3" borderId="20" xfId="0" applyFont="1" applyFill="1" applyBorder="1" applyAlignment="1" applyProtection="1">
      <protection hidden="1"/>
    </xf>
    <xf numFmtId="2" fontId="15" fillId="3" borderId="20" xfId="0" applyNumberFormat="1" applyFont="1" applyFill="1" applyBorder="1" applyAlignment="1" applyProtection="1">
      <protection hidden="1"/>
    </xf>
    <xf numFmtId="164" fontId="15" fillId="3" borderId="20" xfId="0" applyNumberFormat="1" applyFont="1" applyFill="1" applyBorder="1" applyAlignment="1" applyProtection="1">
      <protection hidden="1"/>
    </xf>
    <xf numFmtId="164" fontId="15" fillId="3" borderId="29" xfId="0" applyNumberFormat="1" applyFont="1" applyFill="1" applyBorder="1" applyAlignment="1" applyProtection="1">
      <protection hidden="1"/>
    </xf>
    <xf numFmtId="0" fontId="27" fillId="3" borderId="30" xfId="0" applyFont="1" applyFill="1" applyBorder="1" applyAlignment="1" applyProtection="1">
      <alignment horizontal="right"/>
      <protection hidden="1"/>
    </xf>
    <xf numFmtId="0" fontId="27" fillId="3" borderId="30" xfId="0" applyFont="1" applyFill="1" applyBorder="1" applyAlignment="1" applyProtection="1">
      <alignment horizontal="center"/>
      <protection hidden="1"/>
    </xf>
    <xf numFmtId="2" fontId="27" fillId="3" borderId="30" xfId="0" applyNumberFormat="1" applyFont="1" applyFill="1" applyBorder="1" applyAlignment="1" applyProtection="1">
      <alignment horizontal="center"/>
      <protection hidden="1"/>
    </xf>
    <xf numFmtId="164" fontId="27" fillId="3" borderId="30" xfId="0" applyNumberFormat="1" applyFont="1" applyFill="1" applyBorder="1" applyAlignment="1" applyProtection="1">
      <alignment horizontal="center"/>
      <protection hidden="1"/>
    </xf>
    <xf numFmtId="164" fontId="27" fillId="3" borderId="0" xfId="0" applyNumberFormat="1" applyFont="1" applyFill="1" applyBorder="1" applyAlignment="1" applyProtection="1">
      <alignment horizontal="center"/>
      <protection hidden="1"/>
    </xf>
    <xf numFmtId="2" fontId="27" fillId="3" borderId="0" xfId="0" applyNumberFormat="1" applyFont="1" applyFill="1" applyBorder="1" applyAlignment="1" applyProtection="1">
      <alignment horizontal="center"/>
      <protection hidden="1"/>
    </xf>
    <xf numFmtId="164" fontId="27" fillId="3" borderId="0" xfId="0" applyNumberFormat="1" applyFont="1" applyFill="1" applyAlignment="1" applyProtection="1">
      <alignment horizontal="center"/>
      <protection hidden="1"/>
    </xf>
    <xf numFmtId="0" fontId="27" fillId="3" borderId="0" xfId="0" applyNumberFormat="1" applyFont="1" applyFill="1" applyBorder="1" applyAlignment="1" applyProtection="1">
      <alignment horizontal="center"/>
      <protection hidden="1"/>
    </xf>
    <xf numFmtId="0" fontId="18" fillId="3" borderId="0" xfId="0" applyFont="1" applyFill="1" applyBorder="1" applyAlignment="1" applyProtection="1">
      <alignment horizontal="right"/>
      <protection hidden="1"/>
    </xf>
    <xf numFmtId="0" fontId="27" fillId="3" borderId="0" xfId="0" applyFont="1" applyFill="1" applyBorder="1" applyProtection="1">
      <protection hidden="1"/>
    </xf>
    <xf numFmtId="0" fontId="13" fillId="3" borderId="0" xfId="0" applyFont="1" applyFill="1" applyBorder="1" applyAlignment="1" applyProtection="1">
      <alignment horizontal="left"/>
      <protection hidden="1"/>
    </xf>
    <xf numFmtId="0" fontId="40" fillId="3" borderId="0" xfId="0" applyFont="1" applyFill="1" applyBorder="1" applyAlignment="1" applyProtection="1">
      <alignment horizontal="left"/>
      <protection hidden="1"/>
    </xf>
    <xf numFmtId="2" fontId="13" fillId="3" borderId="17" xfId="0" applyNumberFormat="1" applyFont="1" applyFill="1" applyBorder="1" applyAlignment="1" applyProtection="1">
      <alignment horizontal="center"/>
      <protection hidden="1"/>
    </xf>
    <xf numFmtId="0" fontId="7" fillId="3" borderId="0" xfId="0" applyFont="1" applyFill="1" applyProtection="1">
      <protection hidden="1"/>
    </xf>
    <xf numFmtId="0" fontId="13" fillId="3" borderId="0" xfId="0" applyFont="1" applyFill="1" applyBorder="1" applyAlignment="1" applyProtection="1">
      <alignment horizontal="center"/>
      <protection hidden="1"/>
    </xf>
    <xf numFmtId="0" fontId="11" fillId="3" borderId="0" xfId="0" applyFont="1" applyFill="1" applyBorder="1" applyAlignment="1" applyProtection="1">
      <alignment horizontal="left"/>
      <protection hidden="1"/>
    </xf>
    <xf numFmtId="0" fontId="11" fillId="3" borderId="0" xfId="0" applyFont="1" applyFill="1" applyBorder="1" applyProtection="1">
      <protection hidden="1"/>
    </xf>
    <xf numFmtId="0" fontId="13" fillId="3" borderId="0" xfId="0" applyFont="1" applyFill="1" applyAlignment="1" applyProtection="1">
      <alignment horizontal="left"/>
      <protection hidden="1"/>
    </xf>
    <xf numFmtId="0" fontId="27" fillId="3" borderId="0" xfId="0" applyFont="1" applyFill="1" applyBorder="1" applyAlignment="1" applyProtection="1">
      <alignment horizontal="centerContinuous"/>
      <protection hidden="1"/>
    </xf>
    <xf numFmtId="0" fontId="2" fillId="3" borderId="18" xfId="0" applyFont="1" applyFill="1" applyBorder="1" applyAlignment="1" applyProtection="1">
      <alignment horizontal="center"/>
      <protection hidden="1"/>
    </xf>
    <xf numFmtId="0" fontId="45" fillId="3" borderId="0" xfId="0" applyFont="1" applyFill="1" applyBorder="1" applyAlignment="1" applyProtection="1">
      <alignment horizontal="centerContinuous"/>
      <protection hidden="1"/>
    </xf>
    <xf numFmtId="1" fontId="27" fillId="3" borderId="0" xfId="0" applyNumberFormat="1" applyFont="1" applyFill="1" applyAlignment="1" applyProtection="1">
      <alignment horizontal="center"/>
      <protection hidden="1"/>
    </xf>
    <xf numFmtId="0" fontId="27" fillId="3" borderId="0" xfId="0" applyFont="1" applyFill="1" applyAlignment="1" applyProtection="1">
      <alignment horizontal="center"/>
      <protection hidden="1"/>
    </xf>
    <xf numFmtId="0" fontId="0" fillId="3" borderId="7" xfId="0" applyFill="1" applyBorder="1" applyAlignment="1" applyProtection="1">
      <alignment horizontal="center"/>
      <protection hidden="1"/>
    </xf>
    <xf numFmtId="0" fontId="48" fillId="3" borderId="0" xfId="0" applyFont="1" applyFill="1" applyProtection="1">
      <protection hidden="1"/>
    </xf>
    <xf numFmtId="2" fontId="13" fillId="3" borderId="18" xfId="0" applyNumberFormat="1" applyFont="1" applyFill="1" applyBorder="1" applyAlignment="1" applyProtection="1">
      <alignment horizontal="center"/>
      <protection hidden="1"/>
    </xf>
    <xf numFmtId="0" fontId="40" fillId="3" borderId="0" xfId="0" applyFont="1" applyFill="1" applyProtection="1">
      <protection hidden="1"/>
    </xf>
    <xf numFmtId="0" fontId="36" fillId="3" borderId="0" xfId="0" applyFont="1" applyFill="1" applyProtection="1">
      <protection hidden="1"/>
    </xf>
    <xf numFmtId="0" fontId="50" fillId="3" borderId="0" xfId="0" applyFont="1" applyFill="1" applyProtection="1">
      <protection hidden="1"/>
    </xf>
    <xf numFmtId="0" fontId="26" fillId="3" borderId="0" xfId="0" applyFont="1" applyFill="1" applyBorder="1" applyAlignment="1" applyProtection="1">
      <protection hidden="1"/>
    </xf>
    <xf numFmtId="0" fontId="12" fillId="3" borderId="0" xfId="0" applyFont="1" applyFill="1" applyBorder="1" applyAlignment="1" applyProtection="1">
      <protection locked="0"/>
    </xf>
    <xf numFmtId="0" fontId="32" fillId="3" borderId="0" xfId="0" quotePrefix="1" applyFont="1" applyFill="1" applyBorder="1" applyProtection="1">
      <protection locked="0"/>
    </xf>
    <xf numFmtId="0" fontId="3" fillId="3" borderId="0" xfId="0" applyFont="1" applyFill="1" applyBorder="1" applyAlignment="1" applyProtection="1">
      <alignment horizontal="right"/>
      <protection locked="0"/>
    </xf>
    <xf numFmtId="0" fontId="31" fillId="3" borderId="0" xfId="0" applyFont="1" applyFill="1" applyBorder="1" applyAlignment="1" applyProtection="1">
      <alignment horizontal="left"/>
      <protection hidden="1"/>
    </xf>
    <xf numFmtId="0" fontId="16" fillId="3" borderId="0" xfId="0" applyFont="1" applyFill="1" applyProtection="1">
      <protection hidden="1"/>
    </xf>
    <xf numFmtId="165" fontId="31" fillId="3" borderId="0" xfId="0" applyNumberFormat="1" applyFont="1" applyFill="1" applyBorder="1" applyAlignment="1" applyProtection="1">
      <alignment horizontal="left"/>
      <protection hidden="1"/>
    </xf>
    <xf numFmtId="164" fontId="13" fillId="3" borderId="12" xfId="0" applyNumberFormat="1" applyFont="1" applyFill="1" applyBorder="1" applyAlignment="1" applyProtection="1">
      <alignment horizontal="center"/>
      <protection hidden="1"/>
    </xf>
    <xf numFmtId="2" fontId="13" fillId="3" borderId="12" xfId="0" applyNumberFormat="1" applyFont="1" applyFill="1" applyBorder="1" applyAlignment="1" applyProtection="1">
      <alignment horizontal="center"/>
      <protection hidden="1"/>
    </xf>
    <xf numFmtId="164" fontId="13" fillId="3" borderId="16" xfId="0" applyNumberFormat="1" applyFont="1" applyFill="1" applyBorder="1" applyAlignment="1" applyProtection="1">
      <alignment horizontal="center"/>
      <protection hidden="1"/>
    </xf>
    <xf numFmtId="0" fontId="40" fillId="3" borderId="8" xfId="0" applyFont="1" applyFill="1" applyBorder="1" applyAlignment="1" applyProtection="1">
      <alignment horizontal="right"/>
      <protection hidden="1"/>
    </xf>
    <xf numFmtId="0" fontId="9" fillId="3" borderId="0" xfId="0" applyFont="1" applyFill="1" applyBorder="1" applyAlignment="1" applyProtection="1">
      <alignment horizontal="left"/>
      <protection hidden="1"/>
    </xf>
    <xf numFmtId="164" fontId="1" fillId="6" borderId="17" xfId="9" applyNumberFormat="1" applyBorder="1" applyAlignment="1" applyProtection="1">
      <alignment horizontal="center"/>
      <protection locked="0"/>
    </xf>
    <xf numFmtId="164" fontId="52" fillId="5" borderId="31" xfId="8" applyNumberFormat="1" applyAlignment="1" applyProtection="1">
      <alignment horizontal="center"/>
      <protection locked="0"/>
    </xf>
    <xf numFmtId="0" fontId="1" fillId="6" borderId="12" xfId="9" applyBorder="1" applyAlignment="1" applyProtection="1">
      <alignment horizontal="center"/>
      <protection locked="0"/>
    </xf>
    <xf numFmtId="164" fontId="1" fillId="6" borderId="16" xfId="9" applyNumberFormat="1" applyBorder="1" applyAlignment="1" applyProtection="1">
      <alignment horizontal="center"/>
      <protection locked="0"/>
    </xf>
    <xf numFmtId="0" fontId="1" fillId="6" borderId="0" xfId="9"/>
    <xf numFmtId="0" fontId="52" fillId="5" borderId="31" xfId="8"/>
    <xf numFmtId="0" fontId="53" fillId="0" borderId="0" xfId="0" applyFont="1"/>
    <xf numFmtId="0" fontId="54" fillId="0" borderId="0" xfId="0" applyFont="1"/>
    <xf numFmtId="0" fontId="9" fillId="3" borderId="11" xfId="0" applyFont="1" applyFill="1" applyBorder="1" applyAlignment="1" applyProtection="1">
      <alignment horizontal="left"/>
      <protection hidden="1"/>
    </xf>
    <xf numFmtId="0" fontId="9" fillId="3" borderId="10" xfId="0" applyFont="1" applyFill="1" applyBorder="1" applyAlignment="1" applyProtection="1">
      <alignment horizontal="left"/>
      <protection hidden="1"/>
    </xf>
    <xf numFmtId="0" fontId="9" fillId="3" borderId="11" xfId="0" applyFont="1" applyFill="1" applyBorder="1" applyAlignment="1" applyProtection="1">
      <alignment horizontal="left" vertical="center"/>
      <protection hidden="1"/>
    </xf>
    <xf numFmtId="0" fontId="9" fillId="3" borderId="10" xfId="0" applyFont="1" applyFill="1" applyBorder="1" applyAlignment="1" applyProtection="1">
      <alignment horizontal="left" vertical="center"/>
      <protection hidden="1"/>
    </xf>
    <xf numFmtId="0" fontId="30" fillId="3" borderId="0" xfId="0" applyFont="1" applyFill="1" applyBorder="1" applyAlignment="1" applyProtection="1">
      <alignment horizontal="left" vertical="top" wrapText="1"/>
      <protection hidden="1"/>
    </xf>
  </cellXfs>
  <cellStyles count="10">
    <cellStyle name="40% - Акцент6" xfId="9" builtinId="51"/>
    <cellStyle name="Comma0" xfId="1"/>
    <cellStyle name="Currency0" xfId="2"/>
    <cellStyle name="Date" xfId="3"/>
    <cellStyle name="Fixed" xfId="4"/>
    <cellStyle name="Heading 1" xfId="5"/>
    <cellStyle name="Heading 2" xfId="6"/>
    <cellStyle name="Total" xfId="7"/>
    <cellStyle name="Вывод" xfId="8" builtinId="21"/>
    <cellStyle name="Обычный" xfId="0" builtinId="0"/>
  </cellStyles>
  <dxfs count="2">
    <dxf>
      <font>
        <b/>
        <i val="0"/>
        <condense val="0"/>
        <extend val="0"/>
        <color indexed="10"/>
      </font>
    </dxf>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9.7466072478969747E-3"/>
          <c:y val="1.7421602787456445E-2"/>
          <c:w val="0.98245801058801363"/>
          <c:h val="0.96864111498258043"/>
        </c:manualLayout>
      </c:layout>
      <c:scatterChart>
        <c:scatterStyle val="lineMarker"/>
        <c:ser>
          <c:idx val="1"/>
          <c:order val="0"/>
          <c:tx>
            <c:v>Footing</c:v>
          </c:tx>
          <c:spPr>
            <a:ln w="12700">
              <a:solidFill>
                <a:srgbClr val="000000"/>
              </a:solidFill>
              <a:prstDash val="solid"/>
            </a:ln>
          </c:spPr>
          <c:marker>
            <c:symbol val="none"/>
          </c:marker>
          <c:xVal>
            <c:numRef>
              <c:f>'MB-A'!$BL$6:$BP$6</c:f>
              <c:numCache>
                <c:formatCode>0.000</c:formatCode>
                <c:ptCount val="5"/>
                <c:pt idx="0">
                  <c:v>-4.5</c:v>
                </c:pt>
                <c:pt idx="1">
                  <c:v>4.5</c:v>
                </c:pt>
                <c:pt idx="2">
                  <c:v>4.5</c:v>
                </c:pt>
                <c:pt idx="3">
                  <c:v>-4.5</c:v>
                </c:pt>
                <c:pt idx="4">
                  <c:v>-4.5</c:v>
                </c:pt>
              </c:numCache>
            </c:numRef>
          </c:xVal>
          <c:yVal>
            <c:numRef>
              <c:f>'MB-A'!$BL$7:$BP$7</c:f>
              <c:numCache>
                <c:formatCode>0.000</c:formatCode>
                <c:ptCount val="5"/>
                <c:pt idx="0">
                  <c:v>2.5</c:v>
                </c:pt>
                <c:pt idx="1">
                  <c:v>2.5</c:v>
                </c:pt>
                <c:pt idx="2">
                  <c:v>-2.5</c:v>
                </c:pt>
                <c:pt idx="3">
                  <c:v>-2.5</c:v>
                </c:pt>
                <c:pt idx="4">
                  <c:v>2.5</c:v>
                </c:pt>
              </c:numCache>
            </c:numRef>
          </c:yVal>
        </c:ser>
        <c:ser>
          <c:idx val="0"/>
          <c:order val="1"/>
          <c:tx>
            <c:v>Pier #1 Coordinates</c:v>
          </c:tx>
          <c:spPr>
            <a:ln w="12700">
              <a:solidFill>
                <a:srgbClr val="000080"/>
              </a:solidFill>
              <a:prstDash val="solid"/>
            </a:ln>
          </c:spPr>
          <c:marker>
            <c:symbol val="plus"/>
            <c:size val="8"/>
            <c:spPr>
              <a:solidFill>
                <a:srgbClr val="FFFFFF"/>
              </a:solidFill>
              <a:ln>
                <a:solidFill>
                  <a:srgbClr val="0000FF"/>
                </a:solidFill>
                <a:prstDash val="solid"/>
              </a:ln>
            </c:spPr>
          </c:marker>
          <c:xVal>
            <c:numRef>
              <c:f>'MB-A'!$C$25</c:f>
              <c:numCache>
                <c:formatCode>0.000</c:formatCode>
                <c:ptCount val="1"/>
                <c:pt idx="0">
                  <c:v>0</c:v>
                </c:pt>
              </c:numCache>
            </c:numRef>
          </c:xVal>
          <c:yVal>
            <c:numRef>
              <c:f>'MB-A'!$C$26</c:f>
              <c:numCache>
                <c:formatCode>0.000</c:formatCode>
                <c:ptCount val="1"/>
                <c:pt idx="0">
                  <c:v>0</c:v>
                </c:pt>
              </c:numCache>
            </c:numRef>
          </c:yVal>
        </c:ser>
        <c:ser>
          <c:idx val="2"/>
          <c:order val="2"/>
          <c:tx>
            <c:v>Pier #1</c:v>
          </c:tx>
          <c:spPr>
            <a:ln w="12700">
              <a:solidFill>
                <a:srgbClr val="000000"/>
              </a:solidFill>
              <a:prstDash val="solid"/>
            </a:ln>
          </c:spPr>
          <c:marker>
            <c:symbol val="none"/>
          </c:marker>
          <c:xVal>
            <c:numRef>
              <c:f>'MB-A'!$BL$8:$BP$8</c:f>
              <c:numCache>
                <c:formatCode>0.000</c:formatCode>
                <c:ptCount val="5"/>
                <c:pt idx="0">
                  <c:v>-1</c:v>
                </c:pt>
                <c:pt idx="1">
                  <c:v>1</c:v>
                </c:pt>
                <c:pt idx="2">
                  <c:v>1</c:v>
                </c:pt>
                <c:pt idx="3">
                  <c:v>-1</c:v>
                </c:pt>
                <c:pt idx="4">
                  <c:v>-1</c:v>
                </c:pt>
              </c:numCache>
            </c:numRef>
          </c:xVal>
          <c:yVal>
            <c:numRef>
              <c:f>'MB-A'!$BL$9:$BP$9</c:f>
              <c:numCache>
                <c:formatCode>0.000</c:formatCode>
                <c:ptCount val="5"/>
                <c:pt idx="0">
                  <c:v>0.5625</c:v>
                </c:pt>
                <c:pt idx="1">
                  <c:v>0.5625</c:v>
                </c:pt>
                <c:pt idx="2">
                  <c:v>-0.5625</c:v>
                </c:pt>
                <c:pt idx="3">
                  <c:v>-0.5625</c:v>
                </c:pt>
                <c:pt idx="4">
                  <c:v>0.5625</c:v>
                </c:pt>
              </c:numCache>
            </c:numRef>
          </c:yVal>
        </c:ser>
        <c:ser>
          <c:idx val="3"/>
          <c:order val="3"/>
          <c:tx>
            <c:v>Pier #2 Coordinates</c:v>
          </c:tx>
          <c:spPr>
            <a:ln w="19050">
              <a:noFill/>
            </a:ln>
          </c:spPr>
          <c:marker>
            <c:symbol val="plus"/>
            <c:size val="8"/>
            <c:spPr>
              <a:noFill/>
              <a:ln>
                <a:solidFill>
                  <a:srgbClr val="0000FF"/>
                </a:solidFill>
                <a:prstDash val="solid"/>
              </a:ln>
            </c:spPr>
          </c:marker>
          <c:xVal>
            <c:numRef>
              <c:f>'MB-A'!$D$25</c:f>
              <c:numCache>
                <c:formatCode>0.000</c:formatCode>
                <c:ptCount val="1"/>
              </c:numCache>
            </c:numRef>
          </c:xVal>
          <c:yVal>
            <c:numRef>
              <c:f>'MB-A'!$D$26</c:f>
              <c:numCache>
                <c:formatCode>0.000</c:formatCode>
                <c:ptCount val="1"/>
              </c:numCache>
            </c:numRef>
          </c:yVal>
        </c:ser>
        <c:ser>
          <c:idx val="4"/>
          <c:order val="4"/>
          <c:tx>
            <c:v>Pier #2</c:v>
          </c:tx>
          <c:spPr>
            <a:ln w="12700">
              <a:solidFill>
                <a:srgbClr val="000000"/>
              </a:solidFill>
              <a:prstDash val="solid"/>
            </a:ln>
          </c:spPr>
          <c:marker>
            <c:symbol val="none"/>
          </c:marker>
          <c:xVal>
            <c:numRef>
              <c:f>'MB-A'!$BL$10:$BP$10</c:f>
              <c:numCache>
                <c:formatCode>0.000</c:formatCode>
                <c:ptCount val="5"/>
                <c:pt idx="0">
                  <c:v>0</c:v>
                </c:pt>
                <c:pt idx="1">
                  <c:v>0</c:v>
                </c:pt>
                <c:pt idx="2">
                  <c:v>0</c:v>
                </c:pt>
                <c:pt idx="3">
                  <c:v>0</c:v>
                </c:pt>
                <c:pt idx="4">
                  <c:v>0</c:v>
                </c:pt>
              </c:numCache>
            </c:numRef>
          </c:xVal>
          <c:yVal>
            <c:numRef>
              <c:f>'MB-A'!$BL$11:$BP$11</c:f>
              <c:numCache>
                <c:formatCode>0.000</c:formatCode>
                <c:ptCount val="5"/>
                <c:pt idx="0">
                  <c:v>0</c:v>
                </c:pt>
                <c:pt idx="1">
                  <c:v>0</c:v>
                </c:pt>
                <c:pt idx="2">
                  <c:v>0</c:v>
                </c:pt>
                <c:pt idx="3">
                  <c:v>0</c:v>
                </c:pt>
                <c:pt idx="4">
                  <c:v>0</c:v>
                </c:pt>
              </c:numCache>
            </c:numRef>
          </c:yVal>
        </c:ser>
        <c:ser>
          <c:idx val="5"/>
          <c:order val="5"/>
          <c:tx>
            <c:v>Pier #3 Coordinates</c:v>
          </c:tx>
          <c:spPr>
            <a:ln w="19050">
              <a:noFill/>
            </a:ln>
          </c:spPr>
          <c:marker>
            <c:symbol val="plus"/>
            <c:size val="8"/>
            <c:spPr>
              <a:solidFill>
                <a:srgbClr val="FFFFFF"/>
              </a:solidFill>
              <a:ln>
                <a:solidFill>
                  <a:srgbClr val="0000FF"/>
                </a:solidFill>
                <a:prstDash val="solid"/>
              </a:ln>
            </c:spPr>
          </c:marker>
          <c:xVal>
            <c:numRef>
              <c:f>'MB-A'!$E$25</c:f>
              <c:numCache>
                <c:formatCode>0.000</c:formatCode>
                <c:ptCount val="1"/>
              </c:numCache>
            </c:numRef>
          </c:xVal>
          <c:yVal>
            <c:numRef>
              <c:f>'MB-A'!$E$26</c:f>
              <c:numCache>
                <c:formatCode>0.000</c:formatCode>
                <c:ptCount val="1"/>
              </c:numCache>
            </c:numRef>
          </c:yVal>
        </c:ser>
        <c:ser>
          <c:idx val="6"/>
          <c:order val="6"/>
          <c:tx>
            <c:v>Pier $3</c:v>
          </c:tx>
          <c:spPr>
            <a:ln w="12700">
              <a:solidFill>
                <a:srgbClr val="000000"/>
              </a:solidFill>
              <a:prstDash val="solid"/>
            </a:ln>
          </c:spPr>
          <c:marker>
            <c:symbol val="none"/>
          </c:marker>
          <c:xVal>
            <c:numRef>
              <c:f>'MB-A'!$BL$12:$BP$12</c:f>
              <c:numCache>
                <c:formatCode>0.000</c:formatCode>
                <c:ptCount val="5"/>
                <c:pt idx="0">
                  <c:v>0</c:v>
                </c:pt>
                <c:pt idx="1">
                  <c:v>0</c:v>
                </c:pt>
                <c:pt idx="2">
                  <c:v>0</c:v>
                </c:pt>
                <c:pt idx="3">
                  <c:v>0</c:v>
                </c:pt>
                <c:pt idx="4">
                  <c:v>0</c:v>
                </c:pt>
              </c:numCache>
            </c:numRef>
          </c:xVal>
          <c:yVal>
            <c:numRef>
              <c:f>'MB-A'!$BL$13:$BP$13</c:f>
              <c:numCache>
                <c:formatCode>0.000</c:formatCode>
                <c:ptCount val="5"/>
                <c:pt idx="0">
                  <c:v>0</c:v>
                </c:pt>
                <c:pt idx="1">
                  <c:v>0</c:v>
                </c:pt>
                <c:pt idx="2">
                  <c:v>0</c:v>
                </c:pt>
                <c:pt idx="3">
                  <c:v>0</c:v>
                </c:pt>
                <c:pt idx="4">
                  <c:v>0</c:v>
                </c:pt>
              </c:numCache>
            </c:numRef>
          </c:yVal>
        </c:ser>
        <c:ser>
          <c:idx val="7"/>
          <c:order val="7"/>
          <c:tx>
            <c:v>Pier #4 Coordinates</c:v>
          </c:tx>
          <c:spPr>
            <a:ln w="19050">
              <a:noFill/>
            </a:ln>
          </c:spPr>
          <c:marker>
            <c:symbol val="plus"/>
            <c:size val="8"/>
            <c:spPr>
              <a:solidFill>
                <a:srgbClr val="FFFFFF"/>
              </a:solidFill>
              <a:ln>
                <a:solidFill>
                  <a:srgbClr val="0000FF"/>
                </a:solidFill>
                <a:prstDash val="solid"/>
              </a:ln>
            </c:spPr>
          </c:marker>
          <c:xVal>
            <c:numRef>
              <c:f>'MB-A'!$F$25</c:f>
              <c:numCache>
                <c:formatCode>0.000</c:formatCode>
                <c:ptCount val="1"/>
              </c:numCache>
            </c:numRef>
          </c:xVal>
          <c:yVal>
            <c:numRef>
              <c:f>'MB-A'!$F$26</c:f>
              <c:numCache>
                <c:formatCode>0.000</c:formatCode>
                <c:ptCount val="1"/>
              </c:numCache>
            </c:numRef>
          </c:yVal>
        </c:ser>
        <c:ser>
          <c:idx val="8"/>
          <c:order val="8"/>
          <c:tx>
            <c:v>Pier #4</c:v>
          </c:tx>
          <c:spPr>
            <a:ln w="12700">
              <a:solidFill>
                <a:srgbClr val="000000"/>
              </a:solidFill>
              <a:prstDash val="solid"/>
            </a:ln>
          </c:spPr>
          <c:marker>
            <c:symbol val="none"/>
          </c:marker>
          <c:xVal>
            <c:numRef>
              <c:f>'MB-A'!$BL$14:$BP$14</c:f>
              <c:numCache>
                <c:formatCode>0.000</c:formatCode>
                <c:ptCount val="5"/>
                <c:pt idx="0">
                  <c:v>0</c:v>
                </c:pt>
                <c:pt idx="1">
                  <c:v>0</c:v>
                </c:pt>
                <c:pt idx="2">
                  <c:v>0</c:v>
                </c:pt>
                <c:pt idx="3">
                  <c:v>0</c:v>
                </c:pt>
                <c:pt idx="4">
                  <c:v>0</c:v>
                </c:pt>
              </c:numCache>
            </c:numRef>
          </c:xVal>
          <c:yVal>
            <c:numRef>
              <c:f>'MB-A'!$BL$15:$BP$15</c:f>
              <c:numCache>
                <c:formatCode>0.000</c:formatCode>
                <c:ptCount val="5"/>
                <c:pt idx="0">
                  <c:v>0</c:v>
                </c:pt>
                <c:pt idx="1">
                  <c:v>0</c:v>
                </c:pt>
                <c:pt idx="2">
                  <c:v>0</c:v>
                </c:pt>
                <c:pt idx="3">
                  <c:v>0</c:v>
                </c:pt>
                <c:pt idx="4">
                  <c:v>0</c:v>
                </c:pt>
              </c:numCache>
            </c:numRef>
          </c:yVal>
        </c:ser>
        <c:ser>
          <c:idx val="9"/>
          <c:order val="9"/>
          <c:tx>
            <c:v>Pier #5 Coordinates</c:v>
          </c:tx>
          <c:spPr>
            <a:ln w="19050">
              <a:noFill/>
            </a:ln>
          </c:spPr>
          <c:marker>
            <c:symbol val="plus"/>
            <c:size val="8"/>
            <c:spPr>
              <a:solidFill>
                <a:srgbClr val="FFFFFF"/>
              </a:solidFill>
              <a:ln>
                <a:solidFill>
                  <a:srgbClr val="0000FF"/>
                </a:solidFill>
                <a:prstDash val="solid"/>
              </a:ln>
            </c:spPr>
          </c:marker>
          <c:xVal>
            <c:numRef>
              <c:f>'MB-A'!$G$25</c:f>
              <c:numCache>
                <c:formatCode>0.000</c:formatCode>
                <c:ptCount val="1"/>
              </c:numCache>
            </c:numRef>
          </c:xVal>
          <c:yVal>
            <c:numRef>
              <c:f>'MB-A'!$G$26</c:f>
              <c:numCache>
                <c:formatCode>0.000</c:formatCode>
                <c:ptCount val="1"/>
              </c:numCache>
            </c:numRef>
          </c:yVal>
        </c:ser>
        <c:ser>
          <c:idx val="10"/>
          <c:order val="10"/>
          <c:tx>
            <c:v>Pier #5</c:v>
          </c:tx>
          <c:spPr>
            <a:ln w="12700">
              <a:solidFill>
                <a:srgbClr val="000000"/>
              </a:solidFill>
              <a:prstDash val="solid"/>
            </a:ln>
          </c:spPr>
          <c:marker>
            <c:symbol val="none"/>
          </c:marker>
          <c:xVal>
            <c:numRef>
              <c:f>'MB-A'!$BL$16:$BP$16</c:f>
              <c:numCache>
                <c:formatCode>0.000</c:formatCode>
                <c:ptCount val="5"/>
                <c:pt idx="0">
                  <c:v>0</c:v>
                </c:pt>
                <c:pt idx="1">
                  <c:v>0</c:v>
                </c:pt>
                <c:pt idx="2">
                  <c:v>0</c:v>
                </c:pt>
                <c:pt idx="3">
                  <c:v>0</c:v>
                </c:pt>
                <c:pt idx="4">
                  <c:v>0</c:v>
                </c:pt>
              </c:numCache>
            </c:numRef>
          </c:xVal>
          <c:yVal>
            <c:numRef>
              <c:f>'MB-A'!$BL$17:$BP$17</c:f>
              <c:numCache>
                <c:formatCode>0.000</c:formatCode>
                <c:ptCount val="5"/>
                <c:pt idx="0">
                  <c:v>0</c:v>
                </c:pt>
                <c:pt idx="1">
                  <c:v>0</c:v>
                </c:pt>
                <c:pt idx="2">
                  <c:v>0</c:v>
                </c:pt>
                <c:pt idx="3">
                  <c:v>0</c:v>
                </c:pt>
                <c:pt idx="4">
                  <c:v>0</c:v>
                </c:pt>
              </c:numCache>
            </c:numRef>
          </c:yVal>
        </c:ser>
        <c:ser>
          <c:idx val="11"/>
          <c:order val="11"/>
          <c:tx>
            <c:v>Pier #6 Coordinates</c:v>
          </c:tx>
          <c:spPr>
            <a:ln w="19050">
              <a:noFill/>
            </a:ln>
          </c:spPr>
          <c:marker>
            <c:symbol val="plus"/>
            <c:size val="8"/>
            <c:spPr>
              <a:solidFill>
                <a:srgbClr val="FFFFFF"/>
              </a:solidFill>
              <a:ln>
                <a:solidFill>
                  <a:srgbClr val="0000FF"/>
                </a:solidFill>
                <a:prstDash val="solid"/>
              </a:ln>
            </c:spPr>
          </c:marker>
          <c:xVal>
            <c:numRef>
              <c:f>'MB-A'!$H$25</c:f>
              <c:numCache>
                <c:formatCode>0.000</c:formatCode>
                <c:ptCount val="1"/>
              </c:numCache>
            </c:numRef>
          </c:xVal>
          <c:yVal>
            <c:numRef>
              <c:f>'MB-A'!$H$26</c:f>
              <c:numCache>
                <c:formatCode>0.000</c:formatCode>
                <c:ptCount val="1"/>
              </c:numCache>
            </c:numRef>
          </c:yVal>
        </c:ser>
        <c:ser>
          <c:idx val="12"/>
          <c:order val="12"/>
          <c:tx>
            <c:v>Pier #6</c:v>
          </c:tx>
          <c:spPr>
            <a:ln w="12700">
              <a:solidFill>
                <a:srgbClr val="000000"/>
              </a:solidFill>
              <a:prstDash val="solid"/>
            </a:ln>
          </c:spPr>
          <c:marker>
            <c:symbol val="none"/>
          </c:marker>
          <c:xVal>
            <c:numRef>
              <c:f>'MB-A'!$BL$18:$BP$18</c:f>
              <c:numCache>
                <c:formatCode>0.000</c:formatCode>
                <c:ptCount val="5"/>
                <c:pt idx="0">
                  <c:v>0</c:v>
                </c:pt>
                <c:pt idx="1">
                  <c:v>0</c:v>
                </c:pt>
                <c:pt idx="2">
                  <c:v>0</c:v>
                </c:pt>
                <c:pt idx="3">
                  <c:v>0</c:v>
                </c:pt>
                <c:pt idx="4">
                  <c:v>0</c:v>
                </c:pt>
              </c:numCache>
            </c:numRef>
          </c:xVal>
          <c:yVal>
            <c:numRef>
              <c:f>'MB-A'!$BL$19:$BP$19</c:f>
              <c:numCache>
                <c:formatCode>0.000</c:formatCode>
                <c:ptCount val="5"/>
                <c:pt idx="0">
                  <c:v>0</c:v>
                </c:pt>
                <c:pt idx="1">
                  <c:v>0</c:v>
                </c:pt>
                <c:pt idx="2">
                  <c:v>0</c:v>
                </c:pt>
                <c:pt idx="3">
                  <c:v>0</c:v>
                </c:pt>
                <c:pt idx="4">
                  <c:v>0</c:v>
                </c:pt>
              </c:numCache>
            </c:numRef>
          </c:yVal>
        </c:ser>
        <c:ser>
          <c:idx val="13"/>
          <c:order val="13"/>
          <c:tx>
            <c:v>Pier #7 Coordinates</c:v>
          </c:tx>
          <c:spPr>
            <a:ln w="19050">
              <a:noFill/>
            </a:ln>
          </c:spPr>
          <c:marker>
            <c:symbol val="plus"/>
            <c:size val="8"/>
            <c:spPr>
              <a:noFill/>
              <a:ln>
                <a:solidFill>
                  <a:srgbClr val="0000FF"/>
                </a:solidFill>
                <a:prstDash val="solid"/>
              </a:ln>
            </c:spPr>
          </c:marker>
          <c:xVal>
            <c:numRef>
              <c:f>'MB-A'!$I$25</c:f>
              <c:numCache>
                <c:formatCode>0.000</c:formatCode>
                <c:ptCount val="1"/>
              </c:numCache>
            </c:numRef>
          </c:xVal>
          <c:yVal>
            <c:numRef>
              <c:f>'MB-A'!$I$26</c:f>
              <c:numCache>
                <c:formatCode>0.000</c:formatCode>
                <c:ptCount val="1"/>
              </c:numCache>
            </c:numRef>
          </c:yVal>
        </c:ser>
        <c:ser>
          <c:idx val="14"/>
          <c:order val="14"/>
          <c:tx>
            <c:v>Pier #7</c:v>
          </c:tx>
          <c:spPr>
            <a:ln w="12700">
              <a:solidFill>
                <a:srgbClr val="000000"/>
              </a:solidFill>
              <a:prstDash val="solid"/>
            </a:ln>
          </c:spPr>
          <c:marker>
            <c:symbol val="none"/>
          </c:marker>
          <c:xVal>
            <c:numRef>
              <c:f>'MB-A'!$BL$20:$BP$20</c:f>
              <c:numCache>
                <c:formatCode>0.000</c:formatCode>
                <c:ptCount val="5"/>
                <c:pt idx="0">
                  <c:v>0</c:v>
                </c:pt>
                <c:pt idx="1">
                  <c:v>0</c:v>
                </c:pt>
                <c:pt idx="2">
                  <c:v>0</c:v>
                </c:pt>
                <c:pt idx="3">
                  <c:v>0</c:v>
                </c:pt>
                <c:pt idx="4">
                  <c:v>0</c:v>
                </c:pt>
              </c:numCache>
            </c:numRef>
          </c:xVal>
          <c:yVal>
            <c:numRef>
              <c:f>'MB-A'!$BL$21:$BP$21</c:f>
              <c:numCache>
                <c:formatCode>0.000</c:formatCode>
                <c:ptCount val="5"/>
                <c:pt idx="0">
                  <c:v>0</c:v>
                </c:pt>
                <c:pt idx="1">
                  <c:v>0</c:v>
                </c:pt>
                <c:pt idx="2">
                  <c:v>0</c:v>
                </c:pt>
                <c:pt idx="3">
                  <c:v>0</c:v>
                </c:pt>
                <c:pt idx="4">
                  <c:v>0</c:v>
                </c:pt>
              </c:numCache>
            </c:numRef>
          </c:yVal>
        </c:ser>
        <c:ser>
          <c:idx val="15"/>
          <c:order val="15"/>
          <c:tx>
            <c:v>Pier #8 Coordinates</c:v>
          </c:tx>
          <c:spPr>
            <a:ln w="19050">
              <a:noFill/>
            </a:ln>
          </c:spPr>
          <c:marker>
            <c:symbol val="plus"/>
            <c:size val="8"/>
            <c:spPr>
              <a:noFill/>
              <a:ln>
                <a:solidFill>
                  <a:srgbClr val="0000FF"/>
                </a:solidFill>
                <a:prstDash val="solid"/>
              </a:ln>
            </c:spPr>
          </c:marker>
          <c:xVal>
            <c:numRef>
              <c:f>'MB-A'!$J$25</c:f>
              <c:numCache>
                <c:formatCode>0.000</c:formatCode>
                <c:ptCount val="1"/>
              </c:numCache>
            </c:numRef>
          </c:xVal>
          <c:yVal>
            <c:numRef>
              <c:f>'MB-A'!$J$26</c:f>
              <c:numCache>
                <c:formatCode>0.000</c:formatCode>
                <c:ptCount val="1"/>
              </c:numCache>
            </c:numRef>
          </c:yVal>
        </c:ser>
        <c:ser>
          <c:idx val="16"/>
          <c:order val="16"/>
          <c:tx>
            <c:v>Pier #8</c:v>
          </c:tx>
          <c:spPr>
            <a:ln w="12700">
              <a:solidFill>
                <a:srgbClr val="000000"/>
              </a:solidFill>
              <a:prstDash val="solid"/>
            </a:ln>
          </c:spPr>
          <c:marker>
            <c:symbol val="none"/>
          </c:marker>
          <c:xVal>
            <c:numRef>
              <c:f>'MB-A'!$BL$22:$BP$22</c:f>
              <c:numCache>
                <c:formatCode>0.000</c:formatCode>
                <c:ptCount val="5"/>
                <c:pt idx="0">
                  <c:v>0</c:v>
                </c:pt>
                <c:pt idx="1">
                  <c:v>0</c:v>
                </c:pt>
                <c:pt idx="2">
                  <c:v>0</c:v>
                </c:pt>
                <c:pt idx="3">
                  <c:v>0</c:v>
                </c:pt>
                <c:pt idx="4">
                  <c:v>0</c:v>
                </c:pt>
              </c:numCache>
            </c:numRef>
          </c:xVal>
          <c:yVal>
            <c:numRef>
              <c:f>'MB-A'!$BL$23:$BP$23</c:f>
              <c:numCache>
                <c:formatCode>0.000</c:formatCode>
                <c:ptCount val="5"/>
                <c:pt idx="0">
                  <c:v>0</c:v>
                </c:pt>
                <c:pt idx="1">
                  <c:v>0</c:v>
                </c:pt>
                <c:pt idx="2">
                  <c:v>0</c:v>
                </c:pt>
                <c:pt idx="3">
                  <c:v>0</c:v>
                </c:pt>
                <c:pt idx="4">
                  <c:v>0</c:v>
                </c:pt>
              </c:numCache>
            </c:numRef>
          </c:yVal>
        </c:ser>
        <c:ser>
          <c:idx val="17"/>
          <c:order val="17"/>
          <c:tx>
            <c:v>Resultant Eccentricity</c:v>
          </c:tx>
          <c:spPr>
            <a:ln w="19050">
              <a:noFill/>
            </a:ln>
          </c:spPr>
          <c:marker>
            <c:symbol val="diamond"/>
            <c:size val="8"/>
            <c:spPr>
              <a:solidFill>
                <a:srgbClr val="00FFFF"/>
              </a:solidFill>
              <a:ln>
                <a:solidFill>
                  <a:srgbClr val="000000"/>
                </a:solidFill>
                <a:prstDash val="solid"/>
              </a:ln>
            </c:spPr>
          </c:marker>
          <c:xVal>
            <c:numRef>
              <c:f>'MB-A'!$BL$24</c:f>
              <c:numCache>
                <c:formatCode>0.000</c:formatCode>
                <c:ptCount val="1"/>
                <c:pt idx="0">
                  <c:v>-0.75</c:v>
                </c:pt>
              </c:numCache>
            </c:numRef>
          </c:xVal>
          <c:yVal>
            <c:numRef>
              <c:f>'MB-A'!$BL$25</c:f>
              <c:numCache>
                <c:formatCode>0.000</c:formatCode>
                <c:ptCount val="1"/>
                <c:pt idx="0">
                  <c:v>0</c:v>
                </c:pt>
              </c:numCache>
            </c:numRef>
          </c:yVal>
        </c:ser>
        <c:ser>
          <c:idx val="18"/>
          <c:order val="18"/>
          <c:tx>
            <c:v>Plot Scale Factor #1</c:v>
          </c:tx>
          <c:spPr>
            <a:ln w="12700">
              <a:solidFill>
                <a:srgbClr val="FFFFFF"/>
              </a:solidFill>
              <a:prstDash val="solid"/>
            </a:ln>
          </c:spPr>
          <c:marker>
            <c:symbol val="diamond"/>
            <c:size val="2"/>
            <c:spPr>
              <a:solidFill>
                <a:srgbClr val="FFFFFF"/>
              </a:solidFill>
              <a:ln>
                <a:solidFill>
                  <a:srgbClr val="FFFFFF"/>
                </a:solidFill>
                <a:prstDash val="solid"/>
              </a:ln>
            </c:spPr>
          </c:marker>
          <c:xVal>
            <c:numRef>
              <c:f>'MB-A'!$BL$26</c:f>
              <c:numCache>
                <c:formatCode>0</c:formatCode>
                <c:ptCount val="1"/>
                <c:pt idx="0">
                  <c:v>8.25</c:v>
                </c:pt>
              </c:numCache>
            </c:numRef>
          </c:xVal>
          <c:yVal>
            <c:numRef>
              <c:f>'MB-A'!$BM$26</c:f>
              <c:numCache>
                <c:formatCode>General</c:formatCode>
                <c:ptCount val="1"/>
                <c:pt idx="0">
                  <c:v>5</c:v>
                </c:pt>
              </c:numCache>
            </c:numRef>
          </c:yVal>
        </c:ser>
        <c:ser>
          <c:idx val="19"/>
          <c:order val="19"/>
          <c:tx>
            <c:v>Plot Scale Factor #2</c:v>
          </c:tx>
          <c:spPr>
            <a:ln w="12700">
              <a:solidFill>
                <a:srgbClr val="FFFFFF"/>
              </a:solidFill>
              <a:prstDash val="solid"/>
            </a:ln>
          </c:spPr>
          <c:marker>
            <c:symbol val="square"/>
            <c:size val="2"/>
            <c:spPr>
              <a:solidFill>
                <a:srgbClr val="FFFFFF"/>
              </a:solidFill>
              <a:ln>
                <a:solidFill>
                  <a:srgbClr val="FFFFFF"/>
                </a:solidFill>
                <a:prstDash val="solid"/>
              </a:ln>
            </c:spPr>
          </c:marker>
          <c:xVal>
            <c:numRef>
              <c:f>'MB-A'!$BL$27</c:f>
              <c:numCache>
                <c:formatCode>0</c:formatCode>
                <c:ptCount val="1"/>
                <c:pt idx="0">
                  <c:v>-8.25</c:v>
                </c:pt>
              </c:numCache>
            </c:numRef>
          </c:xVal>
          <c:yVal>
            <c:numRef>
              <c:f>'MB-A'!$BM$27</c:f>
              <c:numCache>
                <c:formatCode>General</c:formatCode>
                <c:ptCount val="1"/>
                <c:pt idx="0">
                  <c:v>5</c:v>
                </c:pt>
              </c:numCache>
            </c:numRef>
          </c:yVal>
        </c:ser>
        <c:ser>
          <c:idx val="20"/>
          <c:order val="20"/>
          <c:tx>
            <c:v>Plot Scale Factor #3</c:v>
          </c:tx>
          <c:spPr>
            <a:ln w="12700">
              <a:solidFill>
                <a:srgbClr val="FFFFFF"/>
              </a:solidFill>
              <a:prstDash val="solid"/>
            </a:ln>
          </c:spPr>
          <c:marker>
            <c:symbol val="triangle"/>
            <c:size val="2"/>
            <c:spPr>
              <a:solidFill>
                <a:srgbClr val="FFFFFF"/>
              </a:solidFill>
              <a:ln>
                <a:solidFill>
                  <a:srgbClr val="FFFFFF"/>
                </a:solidFill>
                <a:prstDash val="solid"/>
              </a:ln>
            </c:spPr>
          </c:marker>
          <c:xVal>
            <c:numRef>
              <c:f>'MB-A'!$BL$28</c:f>
              <c:numCache>
                <c:formatCode>0</c:formatCode>
                <c:ptCount val="1"/>
                <c:pt idx="0">
                  <c:v>-8.25</c:v>
                </c:pt>
              </c:numCache>
            </c:numRef>
          </c:xVal>
          <c:yVal>
            <c:numRef>
              <c:f>'MB-A'!$BM$28</c:f>
              <c:numCache>
                <c:formatCode>General</c:formatCode>
                <c:ptCount val="1"/>
                <c:pt idx="0">
                  <c:v>-5</c:v>
                </c:pt>
              </c:numCache>
            </c:numRef>
          </c:yVal>
        </c:ser>
        <c:ser>
          <c:idx val="21"/>
          <c:order val="21"/>
          <c:tx>
            <c:v>Plot Scale Factor #4</c:v>
          </c:tx>
          <c:spPr>
            <a:ln w="12700">
              <a:solidFill>
                <a:srgbClr val="FFFFFF"/>
              </a:solidFill>
              <a:prstDash val="solid"/>
            </a:ln>
          </c:spPr>
          <c:marker>
            <c:symbol val="plus"/>
            <c:size val="2"/>
            <c:spPr>
              <a:solidFill>
                <a:srgbClr val="FFFFFF"/>
              </a:solidFill>
              <a:ln>
                <a:solidFill>
                  <a:srgbClr val="FFFFFF"/>
                </a:solidFill>
                <a:prstDash val="solid"/>
              </a:ln>
            </c:spPr>
          </c:marker>
          <c:xVal>
            <c:numRef>
              <c:f>'MB-A'!$BL$29</c:f>
              <c:numCache>
                <c:formatCode>0</c:formatCode>
                <c:ptCount val="1"/>
                <c:pt idx="0">
                  <c:v>8.25</c:v>
                </c:pt>
              </c:numCache>
            </c:numRef>
          </c:xVal>
          <c:yVal>
            <c:numRef>
              <c:f>'MB-A'!$BM$29</c:f>
              <c:numCache>
                <c:formatCode>General</c:formatCode>
                <c:ptCount val="1"/>
                <c:pt idx="0">
                  <c:v>-5</c:v>
                </c:pt>
              </c:numCache>
            </c:numRef>
          </c:yVal>
        </c:ser>
        <c:axId val="101343232"/>
        <c:axId val="101345152"/>
      </c:scatterChart>
      <c:valAx>
        <c:axId val="101343232"/>
        <c:scaling>
          <c:orientation val="minMax"/>
        </c:scaling>
        <c:axPos val="b"/>
        <c:numFmt formatCode="0.000" sourceLinked="1"/>
        <c:majorTickMark val="in"/>
        <c:minorTickMark val="in"/>
        <c:tickLblPos val="none"/>
        <c:spPr>
          <a:ln w="3175">
            <a:solidFill>
              <a:srgbClr val="000000"/>
            </a:solidFill>
            <a:prstDash val="solid"/>
          </a:ln>
        </c:spPr>
        <c:crossAx val="101345152"/>
        <c:crosses val="autoZero"/>
        <c:crossBetween val="midCat"/>
      </c:valAx>
      <c:valAx>
        <c:axId val="101345152"/>
        <c:scaling>
          <c:orientation val="minMax"/>
        </c:scaling>
        <c:axPos val="l"/>
        <c:numFmt formatCode="0.000" sourceLinked="1"/>
        <c:tickLblPos val="none"/>
        <c:spPr>
          <a:ln w="3175">
            <a:solidFill>
              <a:srgbClr val="000000"/>
            </a:solidFill>
            <a:prstDash val="solid"/>
          </a:ln>
        </c:spPr>
        <c:crossAx val="101343232"/>
        <c:crosses val="autoZero"/>
        <c:crossBetween val="midCat"/>
      </c:valAx>
      <c:spPr>
        <a:solidFill>
          <a:srgbClr val="FFFFFF"/>
        </a:solidFill>
        <a:ln w="25400">
          <a:noFill/>
        </a:ln>
      </c:spPr>
    </c:plotArea>
    <c:plotVisOnly val="1"/>
    <c:dispBlanksAs val="gap"/>
  </c:chart>
  <c:spPr>
    <a:solidFill>
      <a:srgbClr val="FFFFFF"/>
    </a:solidFill>
    <a:ln w="6350">
      <a:noFill/>
    </a:ln>
  </c:spPr>
  <c:txPr>
    <a:bodyPr/>
    <a:lstStyle/>
    <a:p>
      <a:pPr>
        <a:defRPr sz="1050" b="0" i="0" u="none" strike="noStrike" baseline="0">
          <a:solidFill>
            <a:srgbClr val="000000"/>
          </a:solidFill>
          <a:latin typeface="Arial"/>
          <a:ea typeface="Arial"/>
          <a:cs typeface="Arial"/>
        </a:defRPr>
      </a:pPr>
      <a:endParaRPr lang="ru-RU"/>
    </a:p>
  </c:txPr>
  <c:printSettings>
    <c:headerFooter alignWithMargins="0"/>
    <c:pageMargins b="1" l="0.75000000000000122" r="0.75000000000000122"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9.7466072478969747E-3"/>
          <c:y val="1.7421602787456445E-2"/>
          <c:w val="0.98245801058801363"/>
          <c:h val="0.96864111498257999"/>
        </c:manualLayout>
      </c:layout>
      <c:scatterChart>
        <c:scatterStyle val="lineMarker"/>
        <c:ser>
          <c:idx val="1"/>
          <c:order val="0"/>
          <c:tx>
            <c:v>Footing</c:v>
          </c:tx>
          <c:spPr>
            <a:ln w="12700">
              <a:solidFill>
                <a:srgbClr val="000000"/>
              </a:solidFill>
              <a:prstDash val="solid"/>
            </a:ln>
          </c:spPr>
          <c:marker>
            <c:symbol val="none"/>
          </c:marker>
          <c:xVal>
            <c:numRef>
              <c:f>'MB-H'!$BL$6:$BP$6</c:f>
              <c:numCache>
                <c:formatCode>0.000</c:formatCode>
                <c:ptCount val="5"/>
                <c:pt idx="0">
                  <c:v>-5</c:v>
                </c:pt>
                <c:pt idx="1">
                  <c:v>5</c:v>
                </c:pt>
                <c:pt idx="2">
                  <c:v>5</c:v>
                </c:pt>
                <c:pt idx="3">
                  <c:v>-5</c:v>
                </c:pt>
                <c:pt idx="4">
                  <c:v>-5</c:v>
                </c:pt>
              </c:numCache>
            </c:numRef>
          </c:xVal>
          <c:yVal>
            <c:numRef>
              <c:f>'MB-H'!$BL$7:$BP$7</c:f>
              <c:numCache>
                <c:formatCode>0.000</c:formatCode>
                <c:ptCount val="5"/>
                <c:pt idx="0">
                  <c:v>4</c:v>
                </c:pt>
                <c:pt idx="1">
                  <c:v>4</c:v>
                </c:pt>
                <c:pt idx="2">
                  <c:v>-4</c:v>
                </c:pt>
                <c:pt idx="3">
                  <c:v>-4</c:v>
                </c:pt>
                <c:pt idx="4">
                  <c:v>4</c:v>
                </c:pt>
              </c:numCache>
            </c:numRef>
          </c:yVal>
        </c:ser>
        <c:ser>
          <c:idx val="0"/>
          <c:order val="1"/>
          <c:tx>
            <c:v>Pier #1 Coordinates</c:v>
          </c:tx>
          <c:spPr>
            <a:ln w="12700">
              <a:solidFill>
                <a:srgbClr val="000080"/>
              </a:solidFill>
              <a:prstDash val="solid"/>
            </a:ln>
          </c:spPr>
          <c:marker>
            <c:symbol val="plus"/>
            <c:size val="8"/>
            <c:spPr>
              <a:solidFill>
                <a:srgbClr val="FFFFFF"/>
              </a:solidFill>
              <a:ln>
                <a:solidFill>
                  <a:srgbClr val="0000FF"/>
                </a:solidFill>
                <a:prstDash val="solid"/>
              </a:ln>
            </c:spPr>
          </c:marker>
          <c:xVal>
            <c:numRef>
              <c:f>'MB-H'!$C$25</c:f>
              <c:numCache>
                <c:formatCode>0.000</c:formatCode>
                <c:ptCount val="1"/>
                <c:pt idx="0">
                  <c:v>-1.5</c:v>
                </c:pt>
              </c:numCache>
            </c:numRef>
          </c:xVal>
          <c:yVal>
            <c:numRef>
              <c:f>'MB-H'!$C$26</c:f>
              <c:numCache>
                <c:formatCode>0.000</c:formatCode>
                <c:ptCount val="1"/>
                <c:pt idx="0">
                  <c:v>0</c:v>
                </c:pt>
              </c:numCache>
            </c:numRef>
          </c:yVal>
        </c:ser>
        <c:ser>
          <c:idx val="2"/>
          <c:order val="2"/>
          <c:tx>
            <c:v>Pier #1</c:v>
          </c:tx>
          <c:spPr>
            <a:ln w="12700">
              <a:solidFill>
                <a:srgbClr val="000000"/>
              </a:solidFill>
              <a:prstDash val="solid"/>
            </a:ln>
          </c:spPr>
          <c:marker>
            <c:symbol val="none"/>
          </c:marker>
          <c:xVal>
            <c:numRef>
              <c:f>'MB-H'!$BL$8:$BP$8</c:f>
              <c:numCache>
                <c:formatCode>0.000</c:formatCode>
                <c:ptCount val="5"/>
                <c:pt idx="0">
                  <c:v>-2.875</c:v>
                </c:pt>
                <c:pt idx="1">
                  <c:v>-0.125</c:v>
                </c:pt>
                <c:pt idx="2">
                  <c:v>-0.125</c:v>
                </c:pt>
                <c:pt idx="3">
                  <c:v>-2.875</c:v>
                </c:pt>
                <c:pt idx="4">
                  <c:v>-2.875</c:v>
                </c:pt>
              </c:numCache>
            </c:numRef>
          </c:xVal>
          <c:yVal>
            <c:numRef>
              <c:f>'MB-H'!$BL$9:$BP$9</c:f>
              <c:numCache>
                <c:formatCode>0.000</c:formatCode>
                <c:ptCount val="5"/>
                <c:pt idx="0">
                  <c:v>0.875</c:v>
                </c:pt>
                <c:pt idx="1">
                  <c:v>0.875</c:v>
                </c:pt>
                <c:pt idx="2">
                  <c:v>-0.875</c:v>
                </c:pt>
                <c:pt idx="3">
                  <c:v>-0.875</c:v>
                </c:pt>
                <c:pt idx="4">
                  <c:v>0.875</c:v>
                </c:pt>
              </c:numCache>
            </c:numRef>
          </c:yVal>
        </c:ser>
        <c:ser>
          <c:idx val="3"/>
          <c:order val="3"/>
          <c:tx>
            <c:v>Pier #2 Coordinates</c:v>
          </c:tx>
          <c:spPr>
            <a:ln w="19050">
              <a:noFill/>
            </a:ln>
          </c:spPr>
          <c:marker>
            <c:symbol val="plus"/>
            <c:size val="8"/>
            <c:spPr>
              <a:noFill/>
              <a:ln>
                <a:solidFill>
                  <a:srgbClr val="0000FF"/>
                </a:solidFill>
                <a:prstDash val="solid"/>
              </a:ln>
            </c:spPr>
          </c:marker>
          <c:xVal>
            <c:numRef>
              <c:f>'MB-H'!$D$25</c:f>
              <c:numCache>
                <c:formatCode>0.000</c:formatCode>
                <c:ptCount val="1"/>
                <c:pt idx="0">
                  <c:v>1.5</c:v>
                </c:pt>
              </c:numCache>
            </c:numRef>
          </c:xVal>
          <c:yVal>
            <c:numRef>
              <c:f>'MB-H'!$D$26</c:f>
              <c:numCache>
                <c:formatCode>0.000</c:formatCode>
                <c:ptCount val="1"/>
                <c:pt idx="0">
                  <c:v>0</c:v>
                </c:pt>
              </c:numCache>
            </c:numRef>
          </c:yVal>
        </c:ser>
        <c:ser>
          <c:idx val="4"/>
          <c:order val="4"/>
          <c:tx>
            <c:v>Pier #2</c:v>
          </c:tx>
          <c:spPr>
            <a:ln w="12700">
              <a:solidFill>
                <a:srgbClr val="000000"/>
              </a:solidFill>
              <a:prstDash val="solid"/>
            </a:ln>
          </c:spPr>
          <c:marker>
            <c:symbol val="none"/>
          </c:marker>
          <c:xVal>
            <c:numRef>
              <c:f>'MB-H'!$BL$10:$BP$10</c:f>
              <c:numCache>
                <c:formatCode>0.000</c:formatCode>
                <c:ptCount val="5"/>
                <c:pt idx="0">
                  <c:v>0.125</c:v>
                </c:pt>
                <c:pt idx="1">
                  <c:v>2.875</c:v>
                </c:pt>
                <c:pt idx="2">
                  <c:v>2.875</c:v>
                </c:pt>
                <c:pt idx="3">
                  <c:v>0.125</c:v>
                </c:pt>
                <c:pt idx="4">
                  <c:v>0.125</c:v>
                </c:pt>
              </c:numCache>
            </c:numRef>
          </c:xVal>
          <c:yVal>
            <c:numRef>
              <c:f>'MB-H'!$BL$11:$BP$11</c:f>
              <c:numCache>
                <c:formatCode>0.000</c:formatCode>
                <c:ptCount val="5"/>
                <c:pt idx="0">
                  <c:v>0.875</c:v>
                </c:pt>
                <c:pt idx="1">
                  <c:v>0.875</c:v>
                </c:pt>
                <c:pt idx="2">
                  <c:v>-0.875</c:v>
                </c:pt>
                <c:pt idx="3">
                  <c:v>-0.875</c:v>
                </c:pt>
                <c:pt idx="4">
                  <c:v>0.875</c:v>
                </c:pt>
              </c:numCache>
            </c:numRef>
          </c:yVal>
        </c:ser>
        <c:ser>
          <c:idx val="5"/>
          <c:order val="5"/>
          <c:tx>
            <c:v>Pier #3 Coordinates</c:v>
          </c:tx>
          <c:spPr>
            <a:ln w="19050">
              <a:noFill/>
            </a:ln>
          </c:spPr>
          <c:marker>
            <c:symbol val="plus"/>
            <c:size val="8"/>
            <c:spPr>
              <a:solidFill>
                <a:srgbClr val="FFFFFF"/>
              </a:solidFill>
              <a:ln>
                <a:solidFill>
                  <a:srgbClr val="0000FF"/>
                </a:solidFill>
                <a:prstDash val="solid"/>
              </a:ln>
            </c:spPr>
          </c:marker>
          <c:xVal>
            <c:numRef>
              <c:f>'MB-H'!$E$25</c:f>
              <c:numCache>
                <c:formatCode>0.000</c:formatCode>
                <c:ptCount val="1"/>
              </c:numCache>
            </c:numRef>
          </c:xVal>
          <c:yVal>
            <c:numRef>
              <c:f>'MB-H'!$E$26</c:f>
              <c:numCache>
                <c:formatCode>0.000</c:formatCode>
                <c:ptCount val="1"/>
              </c:numCache>
            </c:numRef>
          </c:yVal>
        </c:ser>
        <c:ser>
          <c:idx val="6"/>
          <c:order val="6"/>
          <c:tx>
            <c:v>Pier $3</c:v>
          </c:tx>
          <c:spPr>
            <a:ln w="12700">
              <a:solidFill>
                <a:srgbClr val="000000"/>
              </a:solidFill>
              <a:prstDash val="solid"/>
            </a:ln>
          </c:spPr>
          <c:marker>
            <c:symbol val="none"/>
          </c:marker>
          <c:xVal>
            <c:numRef>
              <c:f>'MB-H'!$BL$12:$BP$12</c:f>
              <c:numCache>
                <c:formatCode>0.000</c:formatCode>
                <c:ptCount val="5"/>
                <c:pt idx="0">
                  <c:v>0</c:v>
                </c:pt>
                <c:pt idx="1">
                  <c:v>0</c:v>
                </c:pt>
                <c:pt idx="2">
                  <c:v>0</c:v>
                </c:pt>
                <c:pt idx="3">
                  <c:v>0</c:v>
                </c:pt>
                <c:pt idx="4">
                  <c:v>0</c:v>
                </c:pt>
              </c:numCache>
            </c:numRef>
          </c:xVal>
          <c:yVal>
            <c:numRef>
              <c:f>'MB-H'!$BL$13:$BP$13</c:f>
              <c:numCache>
                <c:formatCode>0.000</c:formatCode>
                <c:ptCount val="5"/>
                <c:pt idx="0">
                  <c:v>0</c:v>
                </c:pt>
                <c:pt idx="1">
                  <c:v>0</c:v>
                </c:pt>
                <c:pt idx="2">
                  <c:v>0</c:v>
                </c:pt>
                <c:pt idx="3">
                  <c:v>0</c:v>
                </c:pt>
                <c:pt idx="4">
                  <c:v>0</c:v>
                </c:pt>
              </c:numCache>
            </c:numRef>
          </c:yVal>
        </c:ser>
        <c:ser>
          <c:idx val="7"/>
          <c:order val="7"/>
          <c:tx>
            <c:v>Pier #4 Coordinates</c:v>
          </c:tx>
          <c:spPr>
            <a:ln w="19050">
              <a:noFill/>
            </a:ln>
          </c:spPr>
          <c:marker>
            <c:symbol val="plus"/>
            <c:size val="8"/>
            <c:spPr>
              <a:solidFill>
                <a:srgbClr val="FFFFFF"/>
              </a:solidFill>
              <a:ln>
                <a:solidFill>
                  <a:srgbClr val="0000FF"/>
                </a:solidFill>
                <a:prstDash val="solid"/>
              </a:ln>
            </c:spPr>
          </c:marker>
          <c:xVal>
            <c:numRef>
              <c:f>'MB-H'!$F$25</c:f>
              <c:numCache>
                <c:formatCode>0.000</c:formatCode>
                <c:ptCount val="1"/>
              </c:numCache>
            </c:numRef>
          </c:xVal>
          <c:yVal>
            <c:numRef>
              <c:f>'MB-H'!$F$26</c:f>
              <c:numCache>
                <c:formatCode>0.000</c:formatCode>
                <c:ptCount val="1"/>
              </c:numCache>
            </c:numRef>
          </c:yVal>
        </c:ser>
        <c:ser>
          <c:idx val="8"/>
          <c:order val="8"/>
          <c:tx>
            <c:v>Pier #4</c:v>
          </c:tx>
          <c:spPr>
            <a:ln w="12700">
              <a:solidFill>
                <a:srgbClr val="000000"/>
              </a:solidFill>
              <a:prstDash val="solid"/>
            </a:ln>
          </c:spPr>
          <c:marker>
            <c:symbol val="none"/>
          </c:marker>
          <c:xVal>
            <c:numRef>
              <c:f>'MB-H'!$BL$14:$BP$14</c:f>
              <c:numCache>
                <c:formatCode>0.000</c:formatCode>
                <c:ptCount val="5"/>
                <c:pt idx="0">
                  <c:v>0</c:v>
                </c:pt>
                <c:pt idx="1">
                  <c:v>0</c:v>
                </c:pt>
                <c:pt idx="2">
                  <c:v>0</c:v>
                </c:pt>
                <c:pt idx="3">
                  <c:v>0</c:v>
                </c:pt>
                <c:pt idx="4">
                  <c:v>0</c:v>
                </c:pt>
              </c:numCache>
            </c:numRef>
          </c:xVal>
          <c:yVal>
            <c:numRef>
              <c:f>'MB-H'!$BL$15:$BP$15</c:f>
              <c:numCache>
                <c:formatCode>0.000</c:formatCode>
                <c:ptCount val="5"/>
                <c:pt idx="0">
                  <c:v>0</c:v>
                </c:pt>
                <c:pt idx="1">
                  <c:v>0</c:v>
                </c:pt>
                <c:pt idx="2">
                  <c:v>0</c:v>
                </c:pt>
                <c:pt idx="3">
                  <c:v>0</c:v>
                </c:pt>
                <c:pt idx="4">
                  <c:v>0</c:v>
                </c:pt>
              </c:numCache>
            </c:numRef>
          </c:yVal>
        </c:ser>
        <c:ser>
          <c:idx val="9"/>
          <c:order val="9"/>
          <c:tx>
            <c:v>Pier #5 Coordinates</c:v>
          </c:tx>
          <c:spPr>
            <a:ln w="19050">
              <a:noFill/>
            </a:ln>
          </c:spPr>
          <c:marker>
            <c:symbol val="plus"/>
            <c:size val="8"/>
            <c:spPr>
              <a:solidFill>
                <a:srgbClr val="FFFFFF"/>
              </a:solidFill>
              <a:ln>
                <a:solidFill>
                  <a:srgbClr val="0000FF"/>
                </a:solidFill>
                <a:prstDash val="solid"/>
              </a:ln>
            </c:spPr>
          </c:marker>
          <c:xVal>
            <c:numRef>
              <c:f>'MB-H'!$G$25</c:f>
              <c:numCache>
                <c:formatCode>0.000</c:formatCode>
                <c:ptCount val="1"/>
              </c:numCache>
            </c:numRef>
          </c:xVal>
          <c:yVal>
            <c:numRef>
              <c:f>'MB-H'!$G$26</c:f>
              <c:numCache>
                <c:formatCode>0.000</c:formatCode>
                <c:ptCount val="1"/>
              </c:numCache>
            </c:numRef>
          </c:yVal>
        </c:ser>
        <c:ser>
          <c:idx val="10"/>
          <c:order val="10"/>
          <c:tx>
            <c:v>Pier #5</c:v>
          </c:tx>
          <c:spPr>
            <a:ln w="12700">
              <a:solidFill>
                <a:srgbClr val="000000"/>
              </a:solidFill>
              <a:prstDash val="solid"/>
            </a:ln>
          </c:spPr>
          <c:marker>
            <c:symbol val="none"/>
          </c:marker>
          <c:xVal>
            <c:numRef>
              <c:f>'MB-H'!$BL$16:$BP$16</c:f>
              <c:numCache>
                <c:formatCode>0.000</c:formatCode>
                <c:ptCount val="5"/>
                <c:pt idx="0">
                  <c:v>0</c:v>
                </c:pt>
                <c:pt idx="1">
                  <c:v>0</c:v>
                </c:pt>
                <c:pt idx="2">
                  <c:v>0</c:v>
                </c:pt>
                <c:pt idx="3">
                  <c:v>0</c:v>
                </c:pt>
                <c:pt idx="4">
                  <c:v>0</c:v>
                </c:pt>
              </c:numCache>
            </c:numRef>
          </c:xVal>
          <c:yVal>
            <c:numRef>
              <c:f>'MB-H'!$BL$17:$BP$17</c:f>
              <c:numCache>
                <c:formatCode>0.000</c:formatCode>
                <c:ptCount val="5"/>
                <c:pt idx="0">
                  <c:v>0</c:v>
                </c:pt>
                <c:pt idx="1">
                  <c:v>0</c:v>
                </c:pt>
                <c:pt idx="2">
                  <c:v>0</c:v>
                </c:pt>
                <c:pt idx="3">
                  <c:v>0</c:v>
                </c:pt>
                <c:pt idx="4">
                  <c:v>0</c:v>
                </c:pt>
              </c:numCache>
            </c:numRef>
          </c:yVal>
        </c:ser>
        <c:ser>
          <c:idx val="11"/>
          <c:order val="11"/>
          <c:tx>
            <c:v>Pier #6 Coordinates</c:v>
          </c:tx>
          <c:spPr>
            <a:ln w="19050">
              <a:noFill/>
            </a:ln>
          </c:spPr>
          <c:marker>
            <c:symbol val="plus"/>
            <c:size val="8"/>
            <c:spPr>
              <a:solidFill>
                <a:srgbClr val="FFFFFF"/>
              </a:solidFill>
              <a:ln>
                <a:solidFill>
                  <a:srgbClr val="0000FF"/>
                </a:solidFill>
                <a:prstDash val="solid"/>
              </a:ln>
            </c:spPr>
          </c:marker>
          <c:xVal>
            <c:numRef>
              <c:f>'MB-H'!$H$25</c:f>
              <c:numCache>
                <c:formatCode>0.000</c:formatCode>
                <c:ptCount val="1"/>
              </c:numCache>
            </c:numRef>
          </c:xVal>
          <c:yVal>
            <c:numRef>
              <c:f>'MB-H'!$H$26</c:f>
              <c:numCache>
                <c:formatCode>0.000</c:formatCode>
                <c:ptCount val="1"/>
              </c:numCache>
            </c:numRef>
          </c:yVal>
        </c:ser>
        <c:ser>
          <c:idx val="12"/>
          <c:order val="12"/>
          <c:tx>
            <c:v>Pier #6</c:v>
          </c:tx>
          <c:spPr>
            <a:ln w="12700">
              <a:solidFill>
                <a:srgbClr val="000000"/>
              </a:solidFill>
              <a:prstDash val="solid"/>
            </a:ln>
          </c:spPr>
          <c:marker>
            <c:symbol val="none"/>
          </c:marker>
          <c:xVal>
            <c:numRef>
              <c:f>'MB-H'!$BL$18:$BP$18</c:f>
              <c:numCache>
                <c:formatCode>0.000</c:formatCode>
                <c:ptCount val="5"/>
                <c:pt idx="0">
                  <c:v>0</c:v>
                </c:pt>
                <c:pt idx="1">
                  <c:v>0</c:v>
                </c:pt>
                <c:pt idx="2">
                  <c:v>0</c:v>
                </c:pt>
                <c:pt idx="3">
                  <c:v>0</c:v>
                </c:pt>
                <c:pt idx="4">
                  <c:v>0</c:v>
                </c:pt>
              </c:numCache>
            </c:numRef>
          </c:xVal>
          <c:yVal>
            <c:numRef>
              <c:f>'MB-H'!$BL$19:$BP$19</c:f>
              <c:numCache>
                <c:formatCode>0.000</c:formatCode>
                <c:ptCount val="5"/>
                <c:pt idx="0">
                  <c:v>0</c:v>
                </c:pt>
                <c:pt idx="1">
                  <c:v>0</c:v>
                </c:pt>
                <c:pt idx="2">
                  <c:v>0</c:v>
                </c:pt>
                <c:pt idx="3">
                  <c:v>0</c:v>
                </c:pt>
                <c:pt idx="4">
                  <c:v>0</c:v>
                </c:pt>
              </c:numCache>
            </c:numRef>
          </c:yVal>
        </c:ser>
        <c:ser>
          <c:idx val="13"/>
          <c:order val="13"/>
          <c:tx>
            <c:v>Pier #7 Coordinates</c:v>
          </c:tx>
          <c:spPr>
            <a:ln w="19050">
              <a:noFill/>
            </a:ln>
          </c:spPr>
          <c:marker>
            <c:symbol val="plus"/>
            <c:size val="8"/>
            <c:spPr>
              <a:noFill/>
              <a:ln>
                <a:solidFill>
                  <a:srgbClr val="0000FF"/>
                </a:solidFill>
                <a:prstDash val="solid"/>
              </a:ln>
            </c:spPr>
          </c:marker>
          <c:xVal>
            <c:numRef>
              <c:f>'MB-H'!$I$25</c:f>
              <c:numCache>
                <c:formatCode>0.000</c:formatCode>
                <c:ptCount val="1"/>
              </c:numCache>
            </c:numRef>
          </c:xVal>
          <c:yVal>
            <c:numRef>
              <c:f>'MB-H'!$I$26</c:f>
              <c:numCache>
                <c:formatCode>0.000</c:formatCode>
                <c:ptCount val="1"/>
              </c:numCache>
            </c:numRef>
          </c:yVal>
        </c:ser>
        <c:ser>
          <c:idx val="14"/>
          <c:order val="14"/>
          <c:tx>
            <c:v>Pier #7</c:v>
          </c:tx>
          <c:spPr>
            <a:ln w="12700">
              <a:solidFill>
                <a:srgbClr val="000000"/>
              </a:solidFill>
              <a:prstDash val="solid"/>
            </a:ln>
          </c:spPr>
          <c:marker>
            <c:symbol val="none"/>
          </c:marker>
          <c:xVal>
            <c:numRef>
              <c:f>'MB-H'!$BL$20:$BP$20</c:f>
              <c:numCache>
                <c:formatCode>0.000</c:formatCode>
                <c:ptCount val="5"/>
                <c:pt idx="0">
                  <c:v>0</c:v>
                </c:pt>
                <c:pt idx="1">
                  <c:v>0</c:v>
                </c:pt>
                <c:pt idx="2">
                  <c:v>0</c:v>
                </c:pt>
                <c:pt idx="3">
                  <c:v>0</c:v>
                </c:pt>
                <c:pt idx="4">
                  <c:v>0</c:v>
                </c:pt>
              </c:numCache>
            </c:numRef>
          </c:xVal>
          <c:yVal>
            <c:numRef>
              <c:f>'MB-H'!$BL$21:$BP$21</c:f>
              <c:numCache>
                <c:formatCode>0.000</c:formatCode>
                <c:ptCount val="5"/>
                <c:pt idx="0">
                  <c:v>0</c:v>
                </c:pt>
                <c:pt idx="1">
                  <c:v>0</c:v>
                </c:pt>
                <c:pt idx="2">
                  <c:v>0</c:v>
                </c:pt>
                <c:pt idx="3">
                  <c:v>0</c:v>
                </c:pt>
                <c:pt idx="4">
                  <c:v>0</c:v>
                </c:pt>
              </c:numCache>
            </c:numRef>
          </c:yVal>
        </c:ser>
        <c:ser>
          <c:idx val="15"/>
          <c:order val="15"/>
          <c:tx>
            <c:v>Pier #8 Coordinates</c:v>
          </c:tx>
          <c:spPr>
            <a:ln w="19050">
              <a:noFill/>
            </a:ln>
          </c:spPr>
          <c:marker>
            <c:symbol val="plus"/>
            <c:size val="8"/>
            <c:spPr>
              <a:noFill/>
              <a:ln>
                <a:solidFill>
                  <a:srgbClr val="0000FF"/>
                </a:solidFill>
                <a:prstDash val="solid"/>
              </a:ln>
            </c:spPr>
          </c:marker>
          <c:xVal>
            <c:numRef>
              <c:f>'MB-H'!$J$25</c:f>
              <c:numCache>
                <c:formatCode>0.000</c:formatCode>
                <c:ptCount val="1"/>
              </c:numCache>
            </c:numRef>
          </c:xVal>
          <c:yVal>
            <c:numRef>
              <c:f>'MB-H'!$J$26</c:f>
              <c:numCache>
                <c:formatCode>0.000</c:formatCode>
                <c:ptCount val="1"/>
              </c:numCache>
            </c:numRef>
          </c:yVal>
        </c:ser>
        <c:ser>
          <c:idx val="16"/>
          <c:order val="16"/>
          <c:tx>
            <c:v>Pier #8</c:v>
          </c:tx>
          <c:spPr>
            <a:ln w="12700">
              <a:solidFill>
                <a:srgbClr val="000000"/>
              </a:solidFill>
              <a:prstDash val="solid"/>
            </a:ln>
          </c:spPr>
          <c:marker>
            <c:symbol val="none"/>
          </c:marker>
          <c:xVal>
            <c:numRef>
              <c:f>'MB-H'!$BL$22:$BP$22</c:f>
              <c:numCache>
                <c:formatCode>0.000</c:formatCode>
                <c:ptCount val="5"/>
                <c:pt idx="0">
                  <c:v>0</c:v>
                </c:pt>
                <c:pt idx="1">
                  <c:v>0</c:v>
                </c:pt>
                <c:pt idx="2">
                  <c:v>0</c:v>
                </c:pt>
                <c:pt idx="3">
                  <c:v>0</c:v>
                </c:pt>
                <c:pt idx="4">
                  <c:v>0</c:v>
                </c:pt>
              </c:numCache>
            </c:numRef>
          </c:xVal>
          <c:yVal>
            <c:numRef>
              <c:f>'MB-H'!$BL$23:$BP$23</c:f>
              <c:numCache>
                <c:formatCode>0.000</c:formatCode>
                <c:ptCount val="5"/>
                <c:pt idx="0">
                  <c:v>0</c:v>
                </c:pt>
                <c:pt idx="1">
                  <c:v>0</c:v>
                </c:pt>
                <c:pt idx="2">
                  <c:v>0</c:v>
                </c:pt>
                <c:pt idx="3">
                  <c:v>0</c:v>
                </c:pt>
                <c:pt idx="4">
                  <c:v>0</c:v>
                </c:pt>
              </c:numCache>
            </c:numRef>
          </c:yVal>
        </c:ser>
        <c:ser>
          <c:idx val="17"/>
          <c:order val="17"/>
          <c:tx>
            <c:v>Resultant Eccentricity</c:v>
          </c:tx>
          <c:spPr>
            <a:ln w="19050">
              <a:noFill/>
            </a:ln>
          </c:spPr>
          <c:marker>
            <c:symbol val="diamond"/>
            <c:size val="8"/>
            <c:spPr>
              <a:solidFill>
                <a:srgbClr val="00FFFF"/>
              </a:solidFill>
              <a:ln>
                <a:solidFill>
                  <a:srgbClr val="000000"/>
                </a:solidFill>
                <a:prstDash val="solid"/>
              </a:ln>
            </c:spPr>
          </c:marker>
          <c:xVal>
            <c:numRef>
              <c:f>'MB-H'!$BL$24</c:f>
              <c:numCache>
                <c:formatCode>0.000</c:formatCode>
                <c:ptCount val="1"/>
                <c:pt idx="0">
                  <c:v>-0.77</c:v>
                </c:pt>
              </c:numCache>
            </c:numRef>
          </c:xVal>
          <c:yVal>
            <c:numRef>
              <c:f>'MB-H'!$BL$25</c:f>
              <c:numCache>
                <c:formatCode>0.000</c:formatCode>
                <c:ptCount val="1"/>
                <c:pt idx="0">
                  <c:v>0</c:v>
                </c:pt>
              </c:numCache>
            </c:numRef>
          </c:yVal>
        </c:ser>
        <c:ser>
          <c:idx val="18"/>
          <c:order val="18"/>
          <c:tx>
            <c:v>Plot Scale Factor #1</c:v>
          </c:tx>
          <c:spPr>
            <a:ln w="12700">
              <a:solidFill>
                <a:srgbClr val="FFFFFF"/>
              </a:solidFill>
              <a:prstDash val="solid"/>
            </a:ln>
          </c:spPr>
          <c:marker>
            <c:symbol val="diamond"/>
            <c:size val="2"/>
            <c:spPr>
              <a:solidFill>
                <a:srgbClr val="FFFFFF"/>
              </a:solidFill>
              <a:ln>
                <a:solidFill>
                  <a:srgbClr val="FFFFFF"/>
                </a:solidFill>
                <a:prstDash val="solid"/>
              </a:ln>
            </c:spPr>
          </c:marker>
          <c:xVal>
            <c:numRef>
              <c:f>'MB-H'!$BL$26</c:f>
              <c:numCache>
                <c:formatCode>0</c:formatCode>
                <c:ptCount val="1"/>
                <c:pt idx="0">
                  <c:v>8.25</c:v>
                </c:pt>
              </c:numCache>
            </c:numRef>
          </c:xVal>
          <c:yVal>
            <c:numRef>
              <c:f>'MB-H'!$BM$26</c:f>
              <c:numCache>
                <c:formatCode>General</c:formatCode>
                <c:ptCount val="1"/>
                <c:pt idx="0">
                  <c:v>5</c:v>
                </c:pt>
              </c:numCache>
            </c:numRef>
          </c:yVal>
        </c:ser>
        <c:ser>
          <c:idx val="19"/>
          <c:order val="19"/>
          <c:tx>
            <c:v>Plot Scale Factor #2</c:v>
          </c:tx>
          <c:spPr>
            <a:ln w="12700">
              <a:solidFill>
                <a:srgbClr val="FFFFFF"/>
              </a:solidFill>
              <a:prstDash val="solid"/>
            </a:ln>
          </c:spPr>
          <c:marker>
            <c:symbol val="square"/>
            <c:size val="2"/>
            <c:spPr>
              <a:solidFill>
                <a:srgbClr val="FFFFFF"/>
              </a:solidFill>
              <a:ln>
                <a:solidFill>
                  <a:srgbClr val="FFFFFF"/>
                </a:solidFill>
                <a:prstDash val="solid"/>
              </a:ln>
            </c:spPr>
          </c:marker>
          <c:xVal>
            <c:numRef>
              <c:f>'MB-H'!$BL$27</c:f>
              <c:numCache>
                <c:formatCode>0</c:formatCode>
                <c:ptCount val="1"/>
                <c:pt idx="0">
                  <c:v>-8.25</c:v>
                </c:pt>
              </c:numCache>
            </c:numRef>
          </c:xVal>
          <c:yVal>
            <c:numRef>
              <c:f>'MB-H'!$BM$27</c:f>
              <c:numCache>
                <c:formatCode>General</c:formatCode>
                <c:ptCount val="1"/>
                <c:pt idx="0">
                  <c:v>5</c:v>
                </c:pt>
              </c:numCache>
            </c:numRef>
          </c:yVal>
        </c:ser>
        <c:ser>
          <c:idx val="20"/>
          <c:order val="20"/>
          <c:tx>
            <c:v>Plot Scale Factor #3</c:v>
          </c:tx>
          <c:spPr>
            <a:ln w="12700">
              <a:solidFill>
                <a:srgbClr val="FFFFFF"/>
              </a:solidFill>
              <a:prstDash val="solid"/>
            </a:ln>
          </c:spPr>
          <c:marker>
            <c:symbol val="triangle"/>
            <c:size val="2"/>
            <c:spPr>
              <a:solidFill>
                <a:srgbClr val="FFFFFF"/>
              </a:solidFill>
              <a:ln>
                <a:solidFill>
                  <a:srgbClr val="FFFFFF"/>
                </a:solidFill>
                <a:prstDash val="solid"/>
              </a:ln>
            </c:spPr>
          </c:marker>
          <c:xVal>
            <c:numRef>
              <c:f>'MB-H'!$BL$28</c:f>
              <c:numCache>
                <c:formatCode>0</c:formatCode>
                <c:ptCount val="1"/>
                <c:pt idx="0">
                  <c:v>-8.25</c:v>
                </c:pt>
              </c:numCache>
            </c:numRef>
          </c:xVal>
          <c:yVal>
            <c:numRef>
              <c:f>'MB-H'!$BM$28</c:f>
              <c:numCache>
                <c:formatCode>General</c:formatCode>
                <c:ptCount val="1"/>
                <c:pt idx="0">
                  <c:v>-5</c:v>
                </c:pt>
              </c:numCache>
            </c:numRef>
          </c:yVal>
        </c:ser>
        <c:ser>
          <c:idx val="21"/>
          <c:order val="21"/>
          <c:tx>
            <c:v>Plot Scale Factor #4</c:v>
          </c:tx>
          <c:spPr>
            <a:ln w="12700">
              <a:solidFill>
                <a:srgbClr val="FFFFFF"/>
              </a:solidFill>
              <a:prstDash val="solid"/>
            </a:ln>
          </c:spPr>
          <c:marker>
            <c:symbol val="plus"/>
            <c:size val="2"/>
            <c:spPr>
              <a:solidFill>
                <a:srgbClr val="FFFFFF"/>
              </a:solidFill>
              <a:ln>
                <a:solidFill>
                  <a:srgbClr val="FFFFFF"/>
                </a:solidFill>
                <a:prstDash val="solid"/>
              </a:ln>
            </c:spPr>
          </c:marker>
          <c:xVal>
            <c:numRef>
              <c:f>'MB-H'!$BL$29</c:f>
              <c:numCache>
                <c:formatCode>0</c:formatCode>
                <c:ptCount val="1"/>
                <c:pt idx="0">
                  <c:v>8.25</c:v>
                </c:pt>
              </c:numCache>
            </c:numRef>
          </c:xVal>
          <c:yVal>
            <c:numRef>
              <c:f>'MB-H'!$BM$29</c:f>
              <c:numCache>
                <c:formatCode>General</c:formatCode>
                <c:ptCount val="1"/>
                <c:pt idx="0">
                  <c:v>-5</c:v>
                </c:pt>
              </c:numCache>
            </c:numRef>
          </c:yVal>
        </c:ser>
        <c:axId val="89236608"/>
        <c:axId val="89238528"/>
      </c:scatterChart>
      <c:valAx>
        <c:axId val="89236608"/>
        <c:scaling>
          <c:orientation val="minMax"/>
        </c:scaling>
        <c:axPos val="b"/>
        <c:numFmt formatCode="0.000" sourceLinked="1"/>
        <c:majorTickMark val="in"/>
        <c:minorTickMark val="in"/>
        <c:tickLblPos val="none"/>
        <c:spPr>
          <a:ln w="3175">
            <a:solidFill>
              <a:srgbClr val="000000"/>
            </a:solidFill>
            <a:prstDash val="solid"/>
          </a:ln>
        </c:spPr>
        <c:crossAx val="89238528"/>
        <c:crosses val="autoZero"/>
        <c:crossBetween val="midCat"/>
      </c:valAx>
      <c:valAx>
        <c:axId val="89238528"/>
        <c:scaling>
          <c:orientation val="minMax"/>
        </c:scaling>
        <c:axPos val="l"/>
        <c:numFmt formatCode="0.000" sourceLinked="1"/>
        <c:tickLblPos val="none"/>
        <c:spPr>
          <a:ln w="3175">
            <a:solidFill>
              <a:srgbClr val="000000"/>
            </a:solidFill>
            <a:prstDash val="solid"/>
          </a:ln>
        </c:spPr>
        <c:crossAx val="89236608"/>
        <c:crosses val="autoZero"/>
        <c:crossBetween val="midCat"/>
      </c:valAx>
      <c:spPr>
        <a:solidFill>
          <a:srgbClr val="FFFFFF"/>
        </a:solidFill>
        <a:ln w="25400">
          <a:noFill/>
        </a:ln>
      </c:spPr>
    </c:plotArea>
    <c:plotVisOnly val="1"/>
    <c:dispBlanksAs val="gap"/>
  </c:chart>
  <c:spPr>
    <a:solidFill>
      <a:srgbClr val="FFFFFF"/>
    </a:solidFill>
    <a:ln w="6350">
      <a:noFill/>
    </a:ln>
  </c:spPr>
  <c:txPr>
    <a:bodyPr/>
    <a:lstStyle/>
    <a:p>
      <a:pPr>
        <a:defRPr sz="1050" b="0" i="0" u="none" strike="noStrike" baseline="0">
          <a:solidFill>
            <a:srgbClr val="000000"/>
          </a:solidFill>
          <a:latin typeface="Arial"/>
          <a:ea typeface="Arial"/>
          <a:cs typeface="Arial"/>
        </a:defRPr>
      </a:pPr>
      <a:endParaRPr lang="ru-RU"/>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647700</xdr:colOff>
      <xdr:row>34</xdr:row>
      <xdr:rowOff>152400</xdr:rowOff>
    </xdr:from>
    <xdr:to>
      <xdr:col>9</xdr:col>
      <xdr:colOff>219075</xdr:colOff>
      <xdr:row>51</xdr:row>
      <xdr:rowOff>133350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390525</xdr:colOff>
      <xdr:row>34</xdr:row>
      <xdr:rowOff>123825</xdr:rowOff>
    </xdr:from>
    <xdr:to>
      <xdr:col>5</xdr:col>
      <xdr:colOff>542925</xdr:colOff>
      <xdr:row>35</xdr:row>
      <xdr:rowOff>104775</xdr:rowOff>
    </xdr:to>
    <xdr:sp macro="" textlink="">
      <xdr:nvSpPr>
        <xdr:cNvPr id="3" name="Text Box 10"/>
        <xdr:cNvSpPr txBox="1">
          <a:spLocks noChangeArrowheads="1"/>
        </xdr:cNvSpPr>
      </xdr:nvSpPr>
      <xdr:spPr bwMode="auto">
        <a:xfrm>
          <a:off x="3467100" y="6153150"/>
          <a:ext cx="152400" cy="14287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Y</a:t>
          </a:r>
        </a:p>
      </xdr:txBody>
    </xdr:sp>
    <xdr:clientData/>
  </xdr:twoCellAnchor>
  <xdr:twoCellAnchor editAs="oneCell">
    <xdr:from>
      <xdr:col>9</xdr:col>
      <xdr:colOff>66675</xdr:colOff>
      <xdr:row>43</xdr:row>
      <xdr:rowOff>114300</xdr:rowOff>
    </xdr:from>
    <xdr:to>
      <xdr:col>9</xdr:col>
      <xdr:colOff>228600</xdr:colOff>
      <xdr:row>44</xdr:row>
      <xdr:rowOff>114300</xdr:rowOff>
    </xdr:to>
    <xdr:sp macro="" textlink="">
      <xdr:nvSpPr>
        <xdr:cNvPr id="4" name="Text Box 11"/>
        <xdr:cNvSpPr txBox="1">
          <a:spLocks noChangeArrowheads="1"/>
        </xdr:cNvSpPr>
      </xdr:nvSpPr>
      <xdr:spPr bwMode="auto">
        <a:xfrm>
          <a:off x="5695950" y="7600950"/>
          <a:ext cx="161925" cy="1619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X</a:t>
          </a:r>
        </a:p>
      </xdr:txBody>
    </xdr:sp>
    <xdr:clientData/>
  </xdr:twoCellAnchor>
  <xdr:twoCellAnchor>
    <xdr:from>
      <xdr:col>2</xdr:col>
      <xdr:colOff>19050</xdr:colOff>
      <xdr:row>98</xdr:row>
      <xdr:rowOff>114300</xdr:rowOff>
    </xdr:from>
    <xdr:to>
      <xdr:col>3</xdr:col>
      <xdr:colOff>600075</xdr:colOff>
      <xdr:row>102</xdr:row>
      <xdr:rowOff>19050</xdr:rowOff>
    </xdr:to>
    <xdr:sp macro="" textlink="">
      <xdr:nvSpPr>
        <xdr:cNvPr id="5" name="AutoShape 14"/>
        <xdr:cNvSpPr>
          <a:spLocks noChangeArrowheads="1"/>
        </xdr:cNvSpPr>
      </xdr:nvSpPr>
      <xdr:spPr bwMode="auto">
        <a:xfrm>
          <a:off x="1219200" y="16506825"/>
          <a:ext cx="1219200" cy="552450"/>
        </a:xfrm>
        <a:prstGeom prst="cube">
          <a:avLst>
            <a:gd name="adj" fmla="val 65306"/>
          </a:avLst>
        </a:prstGeom>
        <a:solidFill>
          <a:srgbClr val="C0C0C0"/>
        </a:solidFill>
        <a:ln w="9525">
          <a:solidFill>
            <a:srgbClr val="000000"/>
          </a:solidFill>
          <a:miter lim="800000"/>
          <a:headEnd/>
          <a:tailEnd/>
        </a:ln>
      </xdr:spPr>
    </xdr:sp>
    <xdr:clientData/>
  </xdr:twoCellAnchor>
  <xdr:twoCellAnchor>
    <xdr:from>
      <xdr:col>5</xdr:col>
      <xdr:colOff>171450</xdr:colOff>
      <xdr:row>7</xdr:row>
      <xdr:rowOff>38100</xdr:rowOff>
    </xdr:from>
    <xdr:to>
      <xdr:col>10</xdr:col>
      <xdr:colOff>47625</xdr:colOff>
      <xdr:row>23</xdr:row>
      <xdr:rowOff>47625</xdr:rowOff>
    </xdr:to>
    <xdr:grpSp>
      <xdr:nvGrpSpPr>
        <xdr:cNvPr id="6" name="Group 223"/>
        <xdr:cNvGrpSpPr>
          <a:grpSpLocks/>
        </xdr:cNvGrpSpPr>
      </xdr:nvGrpSpPr>
      <xdr:grpSpPr bwMode="auto">
        <a:xfrm>
          <a:off x="3248025" y="1209675"/>
          <a:ext cx="3038475" cy="2886075"/>
          <a:chOff x="308" y="127"/>
          <a:chExt cx="319" cy="273"/>
        </a:xfrm>
      </xdr:grpSpPr>
      <xdr:sp macro="" textlink="">
        <xdr:nvSpPr>
          <xdr:cNvPr id="7" name="Rectangle 141"/>
          <xdr:cNvSpPr>
            <a:spLocks noChangeArrowheads="1"/>
          </xdr:cNvSpPr>
        </xdr:nvSpPr>
        <xdr:spPr bwMode="auto">
          <a:xfrm>
            <a:off x="314" y="270"/>
            <a:ext cx="238" cy="46"/>
          </a:xfrm>
          <a:prstGeom prst="rect">
            <a:avLst/>
          </a:prstGeom>
          <a:solidFill>
            <a:srgbClr val="C0C0C0"/>
          </a:solidFill>
          <a:ln w="9525">
            <a:solidFill>
              <a:srgbClr val="000000"/>
            </a:solidFill>
            <a:miter lim="800000"/>
            <a:headEnd/>
            <a:tailEnd/>
          </a:ln>
        </xdr:spPr>
      </xdr:sp>
      <xdr:sp macro="" textlink="">
        <xdr:nvSpPr>
          <xdr:cNvPr id="8" name="Rectangle 142"/>
          <xdr:cNvSpPr>
            <a:spLocks noChangeArrowheads="1"/>
          </xdr:cNvSpPr>
        </xdr:nvSpPr>
        <xdr:spPr bwMode="auto">
          <a:xfrm>
            <a:off x="410" y="197"/>
            <a:ext cx="46" cy="73"/>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xdr:txBody>
      </xdr:sp>
      <xdr:sp macro="" textlink="">
        <xdr:nvSpPr>
          <xdr:cNvPr id="9" name="Rectangle 143" descr="Small confetti"/>
          <xdr:cNvSpPr>
            <a:spLocks noChangeArrowheads="1"/>
          </xdr:cNvSpPr>
        </xdr:nvSpPr>
        <xdr:spPr bwMode="auto">
          <a:xfrm>
            <a:off x="456" y="216"/>
            <a:ext cx="96"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10" name="Rectangle 144" descr="Small confetti"/>
          <xdr:cNvSpPr>
            <a:spLocks noChangeArrowheads="1"/>
          </xdr:cNvSpPr>
        </xdr:nvSpPr>
        <xdr:spPr bwMode="auto">
          <a:xfrm>
            <a:off x="314" y="216"/>
            <a:ext cx="96"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11" name="Line 145"/>
          <xdr:cNvSpPr>
            <a:spLocks noChangeShapeType="1"/>
          </xdr:cNvSpPr>
        </xdr:nvSpPr>
        <xdr:spPr bwMode="auto">
          <a:xfrm>
            <a:off x="552" y="216"/>
            <a:ext cx="0" cy="53"/>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12" name="Line 146"/>
          <xdr:cNvSpPr>
            <a:spLocks noChangeShapeType="1"/>
          </xdr:cNvSpPr>
        </xdr:nvSpPr>
        <xdr:spPr bwMode="auto">
          <a:xfrm>
            <a:off x="314" y="216"/>
            <a:ext cx="0" cy="53"/>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13" name="Rectangle 147" descr="Small confetti"/>
          <xdr:cNvSpPr>
            <a:spLocks noChangeArrowheads="1"/>
          </xdr:cNvSpPr>
        </xdr:nvSpPr>
        <xdr:spPr bwMode="auto">
          <a:xfrm>
            <a:off x="314" y="316"/>
            <a:ext cx="238" cy="22"/>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14" name="Line 148"/>
          <xdr:cNvSpPr>
            <a:spLocks noChangeShapeType="1"/>
          </xdr:cNvSpPr>
        </xdr:nvSpPr>
        <xdr:spPr bwMode="auto">
          <a:xfrm>
            <a:off x="314" y="338"/>
            <a:ext cx="238" cy="0"/>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15" name="Line 149"/>
          <xdr:cNvSpPr>
            <a:spLocks noChangeShapeType="1"/>
          </xdr:cNvSpPr>
        </xdr:nvSpPr>
        <xdr:spPr bwMode="auto">
          <a:xfrm>
            <a:off x="314" y="317"/>
            <a:ext cx="0" cy="22"/>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16" name="Line 150"/>
          <xdr:cNvSpPr>
            <a:spLocks noChangeShapeType="1"/>
          </xdr:cNvSpPr>
        </xdr:nvSpPr>
        <xdr:spPr bwMode="auto">
          <a:xfrm>
            <a:off x="552" y="317"/>
            <a:ext cx="0" cy="22"/>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17" name="Line 151"/>
          <xdr:cNvSpPr>
            <a:spLocks noChangeShapeType="1"/>
          </xdr:cNvSpPr>
        </xdr:nvSpPr>
        <xdr:spPr bwMode="auto">
          <a:xfrm>
            <a:off x="558" y="270"/>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18" name="Line 152"/>
          <xdr:cNvSpPr>
            <a:spLocks noChangeShapeType="1"/>
          </xdr:cNvSpPr>
        </xdr:nvSpPr>
        <xdr:spPr bwMode="auto">
          <a:xfrm>
            <a:off x="560" y="316"/>
            <a:ext cx="24"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19" name="Line 153"/>
          <xdr:cNvSpPr>
            <a:spLocks noChangeShapeType="1"/>
          </xdr:cNvSpPr>
        </xdr:nvSpPr>
        <xdr:spPr bwMode="auto">
          <a:xfrm>
            <a:off x="559" y="216"/>
            <a:ext cx="24"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20" name="Line 154"/>
          <xdr:cNvSpPr>
            <a:spLocks noChangeShapeType="1"/>
          </xdr:cNvSpPr>
        </xdr:nvSpPr>
        <xdr:spPr bwMode="auto">
          <a:xfrm>
            <a:off x="461" y="197"/>
            <a:ext cx="150"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21" name="Line 155"/>
          <xdr:cNvSpPr>
            <a:spLocks noChangeShapeType="1"/>
          </xdr:cNvSpPr>
        </xdr:nvSpPr>
        <xdr:spPr bwMode="auto">
          <a:xfrm>
            <a:off x="571" y="216"/>
            <a:ext cx="0" cy="54"/>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22" name="Line 156"/>
          <xdr:cNvSpPr>
            <a:spLocks noChangeShapeType="1"/>
          </xdr:cNvSpPr>
        </xdr:nvSpPr>
        <xdr:spPr bwMode="auto">
          <a:xfrm>
            <a:off x="571" y="270"/>
            <a:ext cx="0" cy="4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23" name="Line 157"/>
          <xdr:cNvSpPr>
            <a:spLocks noChangeShapeType="1"/>
          </xdr:cNvSpPr>
        </xdr:nvSpPr>
        <xdr:spPr bwMode="auto">
          <a:xfrm>
            <a:off x="362" y="197"/>
            <a:ext cx="45" cy="0"/>
          </a:xfrm>
          <a:prstGeom prst="line">
            <a:avLst/>
          </a:prstGeom>
          <a:noFill/>
          <a:ln w="9525">
            <a:solidFill>
              <a:srgbClr val="000000"/>
            </a:solidFill>
            <a:round/>
            <a:headEnd/>
            <a:tailEnd type="triangle" w="sm" len="med"/>
          </a:ln>
          <a:extLst>
            <a:ext uri="{909E8E84-426E-40DD-AFC4-6F175D3DCCD1}">
              <a14:hiddenFill xmlns="" xmlns:a14="http://schemas.microsoft.com/office/drawing/2010/main">
                <a:noFill/>
              </a14:hiddenFill>
            </a:ext>
          </a:extLst>
        </xdr:spPr>
      </xdr:sp>
      <xdr:sp macro="" textlink="">
        <xdr:nvSpPr>
          <xdr:cNvPr id="24" name="Line 158"/>
          <xdr:cNvSpPr>
            <a:spLocks noChangeShapeType="1"/>
          </xdr:cNvSpPr>
        </xdr:nvSpPr>
        <xdr:spPr bwMode="auto">
          <a:xfrm>
            <a:off x="314" y="320"/>
            <a:ext cx="0" cy="52"/>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25" name="Line 159"/>
          <xdr:cNvSpPr>
            <a:spLocks noChangeShapeType="1"/>
          </xdr:cNvSpPr>
        </xdr:nvSpPr>
        <xdr:spPr bwMode="auto">
          <a:xfrm>
            <a:off x="552" y="319"/>
            <a:ext cx="0" cy="52"/>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26" name="Line 160"/>
          <xdr:cNvSpPr>
            <a:spLocks noChangeShapeType="1"/>
          </xdr:cNvSpPr>
        </xdr:nvSpPr>
        <xdr:spPr bwMode="auto">
          <a:xfrm>
            <a:off x="314" y="363"/>
            <a:ext cx="238"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27" name="Arc 161"/>
          <xdr:cNvSpPr>
            <a:spLocks/>
          </xdr:cNvSpPr>
        </xdr:nvSpPr>
        <xdr:spPr bwMode="auto">
          <a:xfrm rot="18900000">
            <a:off x="408" y="146"/>
            <a:ext cx="51" cy="48"/>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type="triangle" w="sm" len="me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28" name="Line 162"/>
          <xdr:cNvSpPr>
            <a:spLocks noChangeShapeType="1"/>
          </xdr:cNvSpPr>
        </xdr:nvSpPr>
        <xdr:spPr bwMode="auto">
          <a:xfrm>
            <a:off x="599" y="197"/>
            <a:ext cx="0" cy="73"/>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29" name="Line 163"/>
          <xdr:cNvSpPr>
            <a:spLocks noChangeShapeType="1"/>
          </xdr:cNvSpPr>
        </xdr:nvSpPr>
        <xdr:spPr bwMode="auto">
          <a:xfrm flipH="1" flipV="1">
            <a:off x="433" y="135"/>
            <a:ext cx="0" cy="58"/>
          </a:xfrm>
          <a:prstGeom prst="line">
            <a:avLst/>
          </a:prstGeom>
          <a:noFill/>
          <a:ln w="9525">
            <a:solidFill>
              <a:srgbClr val="000000"/>
            </a:solidFill>
            <a:round/>
            <a:headEnd/>
            <a:tailEnd type="triangle" w="sm" len="med"/>
          </a:ln>
          <a:extLst>
            <a:ext uri="{909E8E84-426E-40DD-AFC4-6F175D3DCCD1}">
              <a14:hiddenFill xmlns="" xmlns:a14="http://schemas.microsoft.com/office/drawing/2010/main">
                <a:noFill/>
              </a14:hiddenFill>
            </a:ext>
          </a:extLst>
        </xdr:spPr>
      </xdr:sp>
      <xdr:pic>
        <xdr:nvPicPr>
          <xdr:cNvPr id="30" name="Picture 164"/>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3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31" name="Picture 165"/>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2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32" name="Picture 16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83"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33" name="Picture 167"/>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62"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34" name="Picture 168"/>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0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35" name="Picture 169"/>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94"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36" name="Picture 1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1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37" name="Picture 171"/>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72"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38" name="Picture 172"/>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96"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39" name="Picture 173"/>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86"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40" name="Picture 174"/>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43"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41" name="Picture 175"/>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23"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42" name="Picture 17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6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43" name="Picture 177"/>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54"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44" name="Picture 178"/>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76"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45" name="Picture 179"/>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33" y="202"/>
            <a:ext cx="9" cy="16"/>
          </a:xfrm>
          <a:prstGeom prst="rect">
            <a:avLst/>
          </a:prstGeom>
          <a:noFill/>
          <a:extLst>
            <a:ext uri="{909E8E84-426E-40DD-AFC4-6F175D3DCCD1}">
              <a14:hiddenFill xmlns="" xmlns:a14="http://schemas.microsoft.com/office/drawing/2010/main">
                <a:solidFill>
                  <a:srgbClr val="FFFFFF"/>
                </a:solidFill>
              </a14:hiddenFill>
            </a:ext>
          </a:extLst>
        </xdr:spPr>
      </xdr:pic>
      <xdr:sp macro="" textlink="">
        <xdr:nvSpPr>
          <xdr:cNvPr id="46" name="Line 180"/>
          <xdr:cNvSpPr>
            <a:spLocks noChangeShapeType="1"/>
          </xdr:cNvSpPr>
        </xdr:nvSpPr>
        <xdr:spPr bwMode="auto">
          <a:xfrm>
            <a:off x="322" y="203"/>
            <a:ext cx="8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47" name="Line 181"/>
          <xdr:cNvSpPr>
            <a:spLocks noChangeShapeType="1"/>
          </xdr:cNvSpPr>
        </xdr:nvSpPr>
        <xdr:spPr bwMode="auto">
          <a:xfrm>
            <a:off x="461" y="203"/>
            <a:ext cx="8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48" name="Line 182"/>
          <xdr:cNvSpPr>
            <a:spLocks noChangeShapeType="1"/>
          </xdr:cNvSpPr>
        </xdr:nvSpPr>
        <xdr:spPr bwMode="auto">
          <a:xfrm>
            <a:off x="410" y="249"/>
            <a:ext cx="46"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49" name="Text Box 183"/>
          <xdr:cNvSpPr txBox="1">
            <a:spLocks noChangeArrowheads="1"/>
          </xdr:cNvSpPr>
        </xdr:nvSpPr>
        <xdr:spPr bwMode="auto">
          <a:xfrm>
            <a:off x="436" y="127"/>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50" name="Text Box 184"/>
          <xdr:cNvSpPr txBox="1">
            <a:spLocks noChangeArrowheads="1"/>
          </xdr:cNvSpPr>
        </xdr:nvSpPr>
        <xdr:spPr bwMode="auto">
          <a:xfrm>
            <a:off x="468" y="158"/>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51" name="Text Box 185"/>
          <xdr:cNvSpPr txBox="1">
            <a:spLocks noChangeArrowheads="1"/>
          </xdr:cNvSpPr>
        </xdr:nvSpPr>
        <xdr:spPr bwMode="auto">
          <a:xfrm>
            <a:off x="365" y="180"/>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52" name="Text Box 186"/>
          <xdr:cNvSpPr txBox="1">
            <a:spLocks noChangeArrowheads="1"/>
          </xdr:cNvSpPr>
        </xdr:nvSpPr>
        <xdr:spPr bwMode="auto">
          <a:xfrm>
            <a:off x="308" y="193"/>
            <a:ext cx="30" cy="2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53" name="Text Box 187"/>
          <xdr:cNvSpPr txBox="1">
            <a:spLocks noChangeArrowheads="1"/>
          </xdr:cNvSpPr>
        </xdr:nvSpPr>
        <xdr:spPr bwMode="auto">
          <a:xfrm>
            <a:off x="572" y="233"/>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54" name="Text Box 188"/>
          <xdr:cNvSpPr txBox="1">
            <a:spLocks noChangeArrowheads="1"/>
          </xdr:cNvSpPr>
        </xdr:nvSpPr>
        <xdr:spPr bwMode="auto">
          <a:xfrm>
            <a:off x="600" y="222"/>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55" name="Text Box 189"/>
          <xdr:cNvSpPr txBox="1">
            <a:spLocks noChangeArrowheads="1"/>
          </xdr:cNvSpPr>
        </xdr:nvSpPr>
        <xdr:spPr bwMode="auto">
          <a:xfrm>
            <a:off x="572" y="283"/>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56" name="Text Box 190"/>
          <xdr:cNvSpPr txBox="1">
            <a:spLocks noChangeArrowheads="1"/>
          </xdr:cNvSpPr>
        </xdr:nvSpPr>
        <xdr:spPr bwMode="auto">
          <a:xfrm>
            <a:off x="428" y="346"/>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57" name="Text Box 191"/>
          <xdr:cNvSpPr txBox="1">
            <a:spLocks noChangeArrowheads="1"/>
          </xdr:cNvSpPr>
        </xdr:nvSpPr>
        <xdr:spPr bwMode="auto">
          <a:xfrm>
            <a:off x="382" y="374"/>
            <a:ext cx="118" cy="26"/>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Nomenclature</a:t>
            </a:r>
          </a:p>
        </xdr:txBody>
      </xdr:sp>
      <xdr:sp macro="" textlink="">
        <xdr:nvSpPr>
          <xdr:cNvPr id="58" name="Text Box 192"/>
          <xdr:cNvSpPr txBox="1">
            <a:spLocks noChangeArrowheads="1"/>
          </xdr:cNvSpPr>
        </xdr:nvSpPr>
        <xdr:spPr bwMode="auto">
          <a:xfrm>
            <a:off x="421" y="232"/>
            <a:ext cx="40"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grpSp>
    <xdr:clientData/>
  </xdr:twoCellAnchor>
  <xdr:twoCellAnchor>
    <xdr:from>
      <xdr:col>5</xdr:col>
      <xdr:colOff>190500</xdr:colOff>
      <xdr:row>60</xdr:row>
      <xdr:rowOff>9525</xdr:rowOff>
    </xdr:from>
    <xdr:to>
      <xdr:col>10</xdr:col>
      <xdr:colOff>276225</xdr:colOff>
      <xdr:row>108</xdr:row>
      <xdr:rowOff>152400</xdr:rowOff>
    </xdr:to>
    <xdr:grpSp>
      <xdr:nvGrpSpPr>
        <xdr:cNvPr id="59" name="Group 218"/>
        <xdr:cNvGrpSpPr>
          <a:grpSpLocks/>
        </xdr:cNvGrpSpPr>
      </xdr:nvGrpSpPr>
      <xdr:grpSpPr bwMode="auto">
        <a:xfrm>
          <a:off x="3267075" y="10248900"/>
          <a:ext cx="3248025" cy="7915275"/>
          <a:chOff x="280" y="991"/>
          <a:chExt cx="341" cy="831"/>
        </a:xfrm>
      </xdr:grpSpPr>
      <xdr:sp macro="" textlink="">
        <xdr:nvSpPr>
          <xdr:cNvPr id="60" name="Rectangle 35"/>
          <xdr:cNvSpPr>
            <a:spLocks noChangeArrowheads="1"/>
          </xdr:cNvSpPr>
        </xdr:nvSpPr>
        <xdr:spPr bwMode="auto">
          <a:xfrm>
            <a:off x="314" y="1022"/>
            <a:ext cx="238" cy="13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1" name="Rectangle 36"/>
          <xdr:cNvSpPr>
            <a:spLocks noChangeArrowheads="1"/>
          </xdr:cNvSpPr>
        </xdr:nvSpPr>
        <xdr:spPr bwMode="auto">
          <a:xfrm>
            <a:off x="314" y="1466"/>
            <a:ext cx="238" cy="13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 name="Rectangle 37"/>
          <xdr:cNvSpPr>
            <a:spLocks noChangeArrowheads="1"/>
          </xdr:cNvSpPr>
        </xdr:nvSpPr>
        <xdr:spPr bwMode="auto">
          <a:xfrm>
            <a:off x="314" y="1687"/>
            <a:ext cx="238" cy="13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3" name="Line 38"/>
          <xdr:cNvSpPr>
            <a:spLocks noChangeShapeType="1"/>
          </xdr:cNvSpPr>
        </xdr:nvSpPr>
        <xdr:spPr bwMode="auto">
          <a:xfrm>
            <a:off x="552" y="1157"/>
            <a:ext cx="0" cy="3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4" name="Line 39"/>
          <xdr:cNvSpPr>
            <a:spLocks noChangeShapeType="1"/>
          </xdr:cNvSpPr>
        </xdr:nvSpPr>
        <xdr:spPr bwMode="auto">
          <a:xfrm flipH="1">
            <a:off x="281" y="1022"/>
            <a:ext cx="33" cy="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5" name="Line 40"/>
          <xdr:cNvSpPr>
            <a:spLocks noChangeShapeType="1"/>
          </xdr:cNvSpPr>
        </xdr:nvSpPr>
        <xdr:spPr bwMode="auto">
          <a:xfrm>
            <a:off x="552" y="1601"/>
            <a:ext cx="0" cy="3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6" name="Line 41"/>
          <xdr:cNvSpPr>
            <a:spLocks noChangeShapeType="1"/>
          </xdr:cNvSpPr>
        </xdr:nvSpPr>
        <xdr:spPr bwMode="auto">
          <a:xfrm>
            <a:off x="344" y="1687"/>
            <a:ext cx="208" cy="104"/>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7" name="Line 42"/>
          <xdr:cNvSpPr>
            <a:spLocks noChangeShapeType="1"/>
          </xdr:cNvSpPr>
        </xdr:nvSpPr>
        <xdr:spPr bwMode="auto">
          <a:xfrm flipV="1">
            <a:off x="552" y="999"/>
            <a:ext cx="0" cy="1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8" name="Line 43"/>
          <xdr:cNvSpPr>
            <a:spLocks noChangeShapeType="1"/>
          </xdr:cNvSpPr>
        </xdr:nvSpPr>
        <xdr:spPr bwMode="auto">
          <a:xfrm>
            <a:off x="281" y="1008"/>
            <a:ext cx="271"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9" name="Line 44"/>
          <xdr:cNvSpPr>
            <a:spLocks noChangeShapeType="1"/>
          </xdr:cNvSpPr>
        </xdr:nvSpPr>
        <xdr:spPr bwMode="auto">
          <a:xfrm>
            <a:off x="558" y="1188"/>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70" name="Line 45"/>
          <xdr:cNvSpPr>
            <a:spLocks noChangeShapeType="1"/>
          </xdr:cNvSpPr>
        </xdr:nvSpPr>
        <xdr:spPr bwMode="auto">
          <a:xfrm>
            <a:off x="559" y="1022"/>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71" name="Line 46"/>
          <xdr:cNvSpPr>
            <a:spLocks noChangeShapeType="1"/>
          </xdr:cNvSpPr>
        </xdr:nvSpPr>
        <xdr:spPr bwMode="auto">
          <a:xfrm>
            <a:off x="602" y="1022"/>
            <a:ext cx="0" cy="16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72" name="Line 47"/>
          <xdr:cNvSpPr>
            <a:spLocks noChangeShapeType="1"/>
          </xdr:cNvSpPr>
        </xdr:nvSpPr>
        <xdr:spPr bwMode="auto">
          <a:xfrm>
            <a:off x="314" y="1041"/>
            <a:ext cx="190" cy="116"/>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73" name="Line 48"/>
          <xdr:cNvSpPr>
            <a:spLocks noChangeShapeType="1"/>
          </xdr:cNvSpPr>
        </xdr:nvSpPr>
        <xdr:spPr bwMode="auto">
          <a:xfrm flipH="1" flipV="1">
            <a:off x="281" y="1022"/>
            <a:ext cx="33" cy="19"/>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74" name="Line 49"/>
          <xdr:cNvSpPr>
            <a:spLocks noChangeShapeType="1"/>
          </xdr:cNvSpPr>
        </xdr:nvSpPr>
        <xdr:spPr bwMode="auto">
          <a:xfrm>
            <a:off x="504" y="1157"/>
            <a:ext cx="48" cy="31"/>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75" name="Line 50"/>
          <xdr:cNvSpPr>
            <a:spLocks noChangeShapeType="1"/>
          </xdr:cNvSpPr>
        </xdr:nvSpPr>
        <xdr:spPr bwMode="auto">
          <a:xfrm>
            <a:off x="344" y="1466"/>
            <a:ext cx="171" cy="13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76" name="Line 51"/>
          <xdr:cNvSpPr>
            <a:spLocks noChangeShapeType="1"/>
          </xdr:cNvSpPr>
        </xdr:nvSpPr>
        <xdr:spPr bwMode="auto">
          <a:xfrm>
            <a:off x="515" y="1601"/>
            <a:ext cx="37" cy="3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77" name="Line 52"/>
          <xdr:cNvSpPr>
            <a:spLocks noChangeShapeType="1"/>
          </xdr:cNvSpPr>
        </xdr:nvSpPr>
        <xdr:spPr bwMode="auto">
          <a:xfrm flipV="1">
            <a:off x="344" y="1438"/>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78" name="Line 53"/>
          <xdr:cNvSpPr>
            <a:spLocks noChangeShapeType="1"/>
          </xdr:cNvSpPr>
        </xdr:nvSpPr>
        <xdr:spPr bwMode="auto">
          <a:xfrm flipV="1">
            <a:off x="552" y="1438"/>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79" name="Line 54"/>
          <xdr:cNvSpPr>
            <a:spLocks noChangeShapeType="1"/>
          </xdr:cNvSpPr>
        </xdr:nvSpPr>
        <xdr:spPr bwMode="auto">
          <a:xfrm>
            <a:off x="344" y="1451"/>
            <a:ext cx="208"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80" name="Line 55"/>
          <xdr:cNvSpPr>
            <a:spLocks noChangeShapeType="1"/>
          </xdr:cNvSpPr>
        </xdr:nvSpPr>
        <xdr:spPr bwMode="auto">
          <a:xfrm>
            <a:off x="559" y="1466"/>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81" name="Line 56"/>
          <xdr:cNvSpPr>
            <a:spLocks noChangeShapeType="1"/>
          </xdr:cNvSpPr>
        </xdr:nvSpPr>
        <xdr:spPr bwMode="auto">
          <a:xfrm>
            <a:off x="558" y="1631"/>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82" name="Line 57"/>
          <xdr:cNvSpPr>
            <a:spLocks noChangeShapeType="1"/>
          </xdr:cNvSpPr>
        </xdr:nvSpPr>
        <xdr:spPr bwMode="auto">
          <a:xfrm>
            <a:off x="602" y="1466"/>
            <a:ext cx="0" cy="16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83" name="Line 58"/>
          <xdr:cNvSpPr>
            <a:spLocks noChangeShapeType="1"/>
          </xdr:cNvSpPr>
        </xdr:nvSpPr>
        <xdr:spPr bwMode="auto">
          <a:xfrm flipV="1">
            <a:off x="344" y="1659"/>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84" name="Line 59"/>
          <xdr:cNvSpPr>
            <a:spLocks noChangeShapeType="1"/>
          </xdr:cNvSpPr>
        </xdr:nvSpPr>
        <xdr:spPr bwMode="auto">
          <a:xfrm flipV="1">
            <a:off x="552" y="1659"/>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85" name="Line 60"/>
          <xdr:cNvSpPr>
            <a:spLocks noChangeShapeType="1"/>
          </xdr:cNvSpPr>
        </xdr:nvSpPr>
        <xdr:spPr bwMode="auto">
          <a:xfrm>
            <a:off x="344" y="1670"/>
            <a:ext cx="208"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86" name="Line 61"/>
          <xdr:cNvSpPr>
            <a:spLocks noChangeShapeType="1"/>
          </xdr:cNvSpPr>
        </xdr:nvSpPr>
        <xdr:spPr bwMode="auto">
          <a:xfrm>
            <a:off x="558" y="1687"/>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87" name="Line 62"/>
          <xdr:cNvSpPr>
            <a:spLocks noChangeShapeType="1"/>
          </xdr:cNvSpPr>
        </xdr:nvSpPr>
        <xdr:spPr bwMode="auto">
          <a:xfrm>
            <a:off x="558" y="1791"/>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88" name="Line 63"/>
          <xdr:cNvSpPr>
            <a:spLocks noChangeShapeType="1"/>
          </xdr:cNvSpPr>
        </xdr:nvSpPr>
        <xdr:spPr bwMode="auto">
          <a:xfrm>
            <a:off x="602" y="1687"/>
            <a:ext cx="0" cy="104"/>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89" name="Line 64"/>
          <xdr:cNvSpPr>
            <a:spLocks noChangeShapeType="1"/>
          </xdr:cNvSpPr>
        </xdr:nvSpPr>
        <xdr:spPr bwMode="auto">
          <a:xfrm flipV="1">
            <a:off x="401" y="1104"/>
            <a:ext cx="13" cy="13"/>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90" name="Line 65"/>
          <xdr:cNvSpPr>
            <a:spLocks noChangeShapeType="1"/>
          </xdr:cNvSpPr>
        </xdr:nvSpPr>
        <xdr:spPr bwMode="auto">
          <a:xfrm flipV="1">
            <a:off x="416" y="1541"/>
            <a:ext cx="23" cy="20"/>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91" name="Line 66"/>
          <xdr:cNvSpPr>
            <a:spLocks noChangeShapeType="1"/>
          </xdr:cNvSpPr>
        </xdr:nvSpPr>
        <xdr:spPr bwMode="auto">
          <a:xfrm flipV="1">
            <a:off x="456" y="1750"/>
            <a:ext cx="14" cy="14"/>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92" name="Line 67"/>
          <xdr:cNvSpPr>
            <a:spLocks noChangeShapeType="1"/>
          </xdr:cNvSpPr>
        </xdr:nvSpPr>
        <xdr:spPr bwMode="auto">
          <a:xfrm flipV="1">
            <a:off x="503" y="1134"/>
            <a:ext cx="0" cy="1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93" name="Line 68"/>
          <xdr:cNvSpPr>
            <a:spLocks noChangeShapeType="1"/>
          </xdr:cNvSpPr>
        </xdr:nvSpPr>
        <xdr:spPr bwMode="auto">
          <a:xfrm>
            <a:off x="503" y="1143"/>
            <a:ext cx="49"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94" name="Line 69"/>
          <xdr:cNvSpPr>
            <a:spLocks noChangeShapeType="1"/>
          </xdr:cNvSpPr>
        </xdr:nvSpPr>
        <xdr:spPr bwMode="auto">
          <a:xfrm>
            <a:off x="320" y="1041"/>
            <a:ext cx="29"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95" name="Line 70"/>
          <xdr:cNvSpPr>
            <a:spLocks noChangeShapeType="1"/>
          </xdr:cNvSpPr>
        </xdr:nvSpPr>
        <xdr:spPr bwMode="auto">
          <a:xfrm>
            <a:off x="343" y="1022"/>
            <a:ext cx="0" cy="19"/>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96" name="Line 71"/>
          <xdr:cNvSpPr>
            <a:spLocks noChangeShapeType="1"/>
          </xdr:cNvSpPr>
        </xdr:nvSpPr>
        <xdr:spPr bwMode="auto">
          <a:xfrm flipV="1">
            <a:off x="515" y="1584"/>
            <a:ext cx="0" cy="14"/>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97" name="Line 72"/>
          <xdr:cNvSpPr>
            <a:spLocks noChangeShapeType="1"/>
          </xdr:cNvSpPr>
        </xdr:nvSpPr>
        <xdr:spPr bwMode="auto">
          <a:xfrm>
            <a:off x="515" y="1589"/>
            <a:ext cx="37"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98" name="Rectangle 73"/>
          <xdr:cNvSpPr>
            <a:spLocks noChangeArrowheads="1"/>
          </xdr:cNvSpPr>
        </xdr:nvSpPr>
        <xdr:spPr bwMode="auto">
          <a:xfrm>
            <a:off x="314" y="1245"/>
            <a:ext cx="238" cy="13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9" name="Line 74"/>
          <xdr:cNvSpPr>
            <a:spLocks noChangeShapeType="1"/>
          </xdr:cNvSpPr>
        </xdr:nvSpPr>
        <xdr:spPr bwMode="auto">
          <a:xfrm flipV="1">
            <a:off x="552" y="1217"/>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100" name="Line 75"/>
          <xdr:cNvSpPr>
            <a:spLocks noChangeShapeType="1"/>
          </xdr:cNvSpPr>
        </xdr:nvSpPr>
        <xdr:spPr bwMode="auto">
          <a:xfrm>
            <a:off x="281" y="1230"/>
            <a:ext cx="271"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101" name="Line 76"/>
          <xdr:cNvSpPr>
            <a:spLocks noChangeShapeType="1"/>
          </xdr:cNvSpPr>
        </xdr:nvSpPr>
        <xdr:spPr bwMode="auto">
          <a:xfrm flipV="1">
            <a:off x="416" y="1314"/>
            <a:ext cx="29" cy="26"/>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102" name="Line 77"/>
          <xdr:cNvSpPr>
            <a:spLocks noChangeShapeType="1"/>
          </xdr:cNvSpPr>
        </xdr:nvSpPr>
        <xdr:spPr bwMode="auto">
          <a:xfrm flipH="1">
            <a:off x="281" y="1245"/>
            <a:ext cx="33" cy="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103" name="Line 78"/>
          <xdr:cNvSpPr>
            <a:spLocks noChangeShapeType="1"/>
          </xdr:cNvSpPr>
        </xdr:nvSpPr>
        <xdr:spPr bwMode="auto">
          <a:xfrm>
            <a:off x="320" y="1259"/>
            <a:ext cx="29"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104" name="Line 79"/>
          <xdr:cNvSpPr>
            <a:spLocks noChangeShapeType="1"/>
          </xdr:cNvSpPr>
        </xdr:nvSpPr>
        <xdr:spPr bwMode="auto">
          <a:xfrm>
            <a:off x="343" y="1245"/>
            <a:ext cx="0" cy="14"/>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105" name="Line 80"/>
          <xdr:cNvSpPr>
            <a:spLocks noChangeShapeType="1"/>
          </xdr:cNvSpPr>
        </xdr:nvSpPr>
        <xdr:spPr bwMode="auto">
          <a:xfrm>
            <a:off x="558" y="1245"/>
            <a:ext cx="58"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106" name="Line 81"/>
          <xdr:cNvSpPr>
            <a:spLocks noChangeShapeType="1"/>
          </xdr:cNvSpPr>
        </xdr:nvSpPr>
        <xdr:spPr bwMode="auto">
          <a:xfrm>
            <a:off x="558" y="1358"/>
            <a:ext cx="58"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107" name="Line 82"/>
          <xdr:cNvSpPr>
            <a:spLocks noChangeShapeType="1"/>
          </xdr:cNvSpPr>
        </xdr:nvSpPr>
        <xdr:spPr bwMode="auto">
          <a:xfrm>
            <a:off x="607" y="1245"/>
            <a:ext cx="0" cy="113"/>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108" name="Line 83"/>
          <xdr:cNvSpPr>
            <a:spLocks noChangeShapeType="1"/>
          </xdr:cNvSpPr>
        </xdr:nvSpPr>
        <xdr:spPr bwMode="auto">
          <a:xfrm>
            <a:off x="314" y="1259"/>
            <a:ext cx="238" cy="9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109" name="Line 84"/>
          <xdr:cNvSpPr>
            <a:spLocks noChangeShapeType="1"/>
          </xdr:cNvSpPr>
        </xdr:nvSpPr>
        <xdr:spPr bwMode="auto">
          <a:xfrm flipH="1" flipV="1">
            <a:off x="281" y="1245"/>
            <a:ext cx="33" cy="14"/>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110" name="Line 127"/>
          <xdr:cNvSpPr>
            <a:spLocks noChangeShapeType="1"/>
          </xdr:cNvSpPr>
        </xdr:nvSpPr>
        <xdr:spPr bwMode="auto">
          <a:xfrm flipV="1">
            <a:off x="281" y="1216"/>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111" name="Line 128"/>
          <xdr:cNvSpPr>
            <a:spLocks noChangeShapeType="1"/>
          </xdr:cNvSpPr>
        </xdr:nvSpPr>
        <xdr:spPr bwMode="auto">
          <a:xfrm flipV="1">
            <a:off x="280" y="999"/>
            <a:ext cx="0" cy="1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112" name="Text Box 193"/>
          <xdr:cNvSpPr txBox="1">
            <a:spLocks noChangeArrowheads="1"/>
          </xdr:cNvSpPr>
        </xdr:nvSpPr>
        <xdr:spPr bwMode="auto">
          <a:xfrm>
            <a:off x="405" y="1450"/>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Lx2</a:t>
            </a:r>
          </a:p>
        </xdr:txBody>
      </xdr:sp>
      <xdr:sp macro="" textlink="">
        <xdr:nvSpPr>
          <xdr:cNvPr id="113" name="Text Box 194"/>
          <xdr:cNvSpPr txBox="1">
            <a:spLocks noChangeArrowheads="1"/>
          </xdr:cNvSpPr>
        </xdr:nvSpPr>
        <xdr:spPr bwMode="auto">
          <a:xfrm>
            <a:off x="384" y="991"/>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114" name="Text Box 195"/>
          <xdr:cNvSpPr txBox="1">
            <a:spLocks noChangeArrowheads="1"/>
          </xdr:cNvSpPr>
        </xdr:nvSpPr>
        <xdr:spPr bwMode="auto">
          <a:xfrm>
            <a:off x="558" y="1006"/>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115" name="Text Box 196"/>
          <xdr:cNvSpPr txBox="1">
            <a:spLocks noChangeArrowheads="1"/>
          </xdr:cNvSpPr>
        </xdr:nvSpPr>
        <xdr:spPr bwMode="auto">
          <a:xfrm>
            <a:off x="561" y="1093"/>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116" name="Text Box 197"/>
          <xdr:cNvSpPr txBox="1">
            <a:spLocks noChangeArrowheads="1"/>
          </xdr:cNvSpPr>
        </xdr:nvSpPr>
        <xdr:spPr bwMode="auto">
          <a:xfrm>
            <a:off x="564" y="1280"/>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117" name="Text Box 198"/>
          <xdr:cNvSpPr txBox="1">
            <a:spLocks noChangeArrowheads="1"/>
          </xdr:cNvSpPr>
        </xdr:nvSpPr>
        <xdr:spPr bwMode="auto">
          <a:xfrm>
            <a:off x="561" y="1535"/>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118" name="Text Box 199"/>
          <xdr:cNvSpPr txBox="1">
            <a:spLocks noChangeArrowheads="1"/>
          </xdr:cNvSpPr>
        </xdr:nvSpPr>
        <xdr:spPr bwMode="auto">
          <a:xfrm>
            <a:off x="561" y="1722"/>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119" name="Text Box 200"/>
          <xdr:cNvSpPr txBox="1">
            <a:spLocks noChangeArrowheads="1"/>
          </xdr:cNvSpPr>
        </xdr:nvSpPr>
        <xdr:spPr bwMode="auto">
          <a:xfrm>
            <a:off x="345" y="1023"/>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sp macro="" textlink="">
        <xdr:nvSpPr>
          <xdr:cNvPr id="120" name="Text Box 201"/>
          <xdr:cNvSpPr txBox="1">
            <a:spLocks noChangeArrowheads="1"/>
          </xdr:cNvSpPr>
        </xdr:nvSpPr>
        <xdr:spPr bwMode="auto">
          <a:xfrm>
            <a:off x="333" y="1112"/>
            <a:ext cx="76" cy="4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121" name="Text Box 202"/>
          <xdr:cNvSpPr txBox="1">
            <a:spLocks noChangeArrowheads="1"/>
          </xdr:cNvSpPr>
        </xdr:nvSpPr>
        <xdr:spPr bwMode="auto">
          <a:xfrm>
            <a:off x="506" y="1126"/>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122" name="Text Box 203"/>
          <xdr:cNvSpPr txBox="1">
            <a:spLocks noChangeArrowheads="1"/>
          </xdr:cNvSpPr>
        </xdr:nvSpPr>
        <xdr:spPr bwMode="auto">
          <a:xfrm>
            <a:off x="348" y="1333"/>
            <a:ext cx="76" cy="4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123" name="Text Box 204"/>
          <xdr:cNvSpPr txBox="1">
            <a:spLocks noChangeArrowheads="1"/>
          </xdr:cNvSpPr>
        </xdr:nvSpPr>
        <xdr:spPr bwMode="auto">
          <a:xfrm>
            <a:off x="350" y="1245"/>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Ly1</a:t>
            </a:r>
          </a:p>
        </xdr:txBody>
      </xdr:sp>
      <xdr:sp macro="" textlink="">
        <xdr:nvSpPr>
          <xdr:cNvPr id="124" name="Text Box 205"/>
          <xdr:cNvSpPr txBox="1">
            <a:spLocks noChangeArrowheads="1"/>
          </xdr:cNvSpPr>
        </xdr:nvSpPr>
        <xdr:spPr bwMode="auto">
          <a:xfrm>
            <a:off x="384" y="1213"/>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125" name="Text Box 206"/>
          <xdr:cNvSpPr txBox="1">
            <a:spLocks noChangeArrowheads="1"/>
          </xdr:cNvSpPr>
        </xdr:nvSpPr>
        <xdr:spPr bwMode="auto">
          <a:xfrm>
            <a:off x="558" y="1229"/>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126" name="Text Box 207"/>
          <xdr:cNvSpPr txBox="1">
            <a:spLocks noChangeArrowheads="1"/>
          </xdr:cNvSpPr>
        </xdr:nvSpPr>
        <xdr:spPr bwMode="auto">
          <a:xfrm>
            <a:off x="558" y="1297"/>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Ly2</a:t>
            </a:r>
          </a:p>
        </xdr:txBody>
      </xdr:sp>
      <xdr:sp macro="" textlink="">
        <xdr:nvSpPr>
          <xdr:cNvPr id="127" name="Text Box 208"/>
          <xdr:cNvSpPr txBox="1">
            <a:spLocks noChangeArrowheads="1"/>
          </xdr:cNvSpPr>
        </xdr:nvSpPr>
        <xdr:spPr bwMode="auto">
          <a:xfrm>
            <a:off x="408" y="1433"/>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128" name="Text Box 209"/>
          <xdr:cNvSpPr txBox="1">
            <a:spLocks noChangeArrowheads="1"/>
          </xdr:cNvSpPr>
        </xdr:nvSpPr>
        <xdr:spPr bwMode="auto">
          <a:xfrm>
            <a:off x="558" y="1450"/>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129" name="Text Box 210"/>
          <xdr:cNvSpPr txBox="1">
            <a:spLocks noChangeArrowheads="1"/>
          </xdr:cNvSpPr>
        </xdr:nvSpPr>
        <xdr:spPr bwMode="auto">
          <a:xfrm>
            <a:off x="348" y="1553"/>
            <a:ext cx="76" cy="4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130" name="Text Box 211"/>
          <xdr:cNvSpPr txBox="1">
            <a:spLocks noChangeArrowheads="1"/>
          </xdr:cNvSpPr>
        </xdr:nvSpPr>
        <xdr:spPr bwMode="auto">
          <a:xfrm>
            <a:off x="388" y="1757"/>
            <a:ext cx="76" cy="4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131" name="Text Box 212"/>
          <xdr:cNvSpPr txBox="1">
            <a:spLocks noChangeArrowheads="1"/>
          </xdr:cNvSpPr>
        </xdr:nvSpPr>
        <xdr:spPr bwMode="auto">
          <a:xfrm>
            <a:off x="502" y="1569"/>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Lx1</a:t>
            </a:r>
          </a:p>
        </xdr:txBody>
      </xdr:sp>
      <xdr:sp macro="" textlink="">
        <xdr:nvSpPr>
          <xdr:cNvPr id="132" name="Text Box 213"/>
          <xdr:cNvSpPr txBox="1">
            <a:spLocks noChangeArrowheads="1"/>
          </xdr:cNvSpPr>
        </xdr:nvSpPr>
        <xdr:spPr bwMode="auto">
          <a:xfrm>
            <a:off x="408" y="1654"/>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133" name="Text Box 214"/>
          <xdr:cNvSpPr txBox="1">
            <a:spLocks noChangeArrowheads="1"/>
          </xdr:cNvSpPr>
        </xdr:nvSpPr>
        <xdr:spPr bwMode="auto">
          <a:xfrm>
            <a:off x="408" y="1670"/>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134" name="Text Box 215"/>
          <xdr:cNvSpPr txBox="1">
            <a:spLocks noChangeArrowheads="1"/>
          </xdr:cNvSpPr>
        </xdr:nvSpPr>
        <xdr:spPr bwMode="auto">
          <a:xfrm>
            <a:off x="558" y="1671"/>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135" name="Text Box 217"/>
          <xdr:cNvSpPr txBox="1">
            <a:spLocks noChangeArrowheads="1"/>
          </xdr:cNvSpPr>
        </xdr:nvSpPr>
        <xdr:spPr bwMode="auto">
          <a:xfrm>
            <a:off x="558" y="1739"/>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grpSp>
    <xdr:clientData/>
  </xdr:twoCellAnchor>
  <xdr:twoCellAnchor>
    <xdr:from>
      <xdr:col>3</xdr:col>
      <xdr:colOff>476250</xdr:colOff>
      <xdr:row>100</xdr:row>
      <xdr:rowOff>85725</xdr:rowOff>
    </xdr:from>
    <xdr:to>
      <xdr:col>4</xdr:col>
      <xdr:colOff>85725</xdr:colOff>
      <xdr:row>101</xdr:row>
      <xdr:rowOff>152400</xdr:rowOff>
    </xdr:to>
    <xdr:sp macro="" textlink="">
      <xdr:nvSpPr>
        <xdr:cNvPr id="136" name="Text Box 221"/>
        <xdr:cNvSpPr txBox="1">
          <a:spLocks noChangeArrowheads="1"/>
        </xdr:cNvSpPr>
      </xdr:nvSpPr>
      <xdr:spPr bwMode="auto">
        <a:xfrm>
          <a:off x="2314575" y="16802100"/>
          <a:ext cx="20955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B</a:t>
          </a:r>
        </a:p>
      </xdr:txBody>
    </xdr:sp>
    <xdr:clientData/>
  </xdr:twoCellAnchor>
  <xdr:twoCellAnchor>
    <xdr:from>
      <xdr:col>2</xdr:col>
      <xdr:colOff>400050</xdr:colOff>
      <xdr:row>102</xdr:row>
      <xdr:rowOff>19050</xdr:rowOff>
    </xdr:from>
    <xdr:to>
      <xdr:col>3</xdr:col>
      <xdr:colOff>9525</xdr:colOff>
      <xdr:row>103</xdr:row>
      <xdr:rowOff>85725</xdr:rowOff>
    </xdr:to>
    <xdr:sp macro="" textlink="">
      <xdr:nvSpPr>
        <xdr:cNvPr id="137" name="Text Box 222"/>
        <xdr:cNvSpPr txBox="1">
          <a:spLocks noChangeArrowheads="1"/>
        </xdr:cNvSpPr>
      </xdr:nvSpPr>
      <xdr:spPr bwMode="auto">
        <a:xfrm>
          <a:off x="1600200" y="17059275"/>
          <a:ext cx="24765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647700</xdr:colOff>
      <xdr:row>34</xdr:row>
      <xdr:rowOff>152400</xdr:rowOff>
    </xdr:from>
    <xdr:to>
      <xdr:col>9</xdr:col>
      <xdr:colOff>219075</xdr:colOff>
      <xdr:row>51</xdr:row>
      <xdr:rowOff>133350</xdr:rowOff>
    </xdr:to>
    <xdr:graphicFrame macro="">
      <xdr:nvGraphicFramePr>
        <xdr:cNvPr id="624641"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390525</xdr:colOff>
      <xdr:row>34</xdr:row>
      <xdr:rowOff>123825</xdr:rowOff>
    </xdr:from>
    <xdr:to>
      <xdr:col>5</xdr:col>
      <xdr:colOff>542925</xdr:colOff>
      <xdr:row>35</xdr:row>
      <xdr:rowOff>104775</xdr:rowOff>
    </xdr:to>
    <xdr:sp macro="" textlink="">
      <xdr:nvSpPr>
        <xdr:cNvPr id="624650" name="Text Box 10"/>
        <xdr:cNvSpPr txBox="1">
          <a:spLocks noChangeArrowheads="1"/>
        </xdr:cNvSpPr>
      </xdr:nvSpPr>
      <xdr:spPr bwMode="auto">
        <a:xfrm>
          <a:off x="3152775" y="5667375"/>
          <a:ext cx="152400" cy="14287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Y</a:t>
          </a:r>
        </a:p>
      </xdr:txBody>
    </xdr:sp>
    <xdr:clientData/>
  </xdr:twoCellAnchor>
  <xdr:twoCellAnchor editAs="oneCell">
    <xdr:from>
      <xdr:col>9</xdr:col>
      <xdr:colOff>66675</xdr:colOff>
      <xdr:row>43</xdr:row>
      <xdr:rowOff>114300</xdr:rowOff>
    </xdr:from>
    <xdr:to>
      <xdr:col>9</xdr:col>
      <xdr:colOff>228600</xdr:colOff>
      <xdr:row>44</xdr:row>
      <xdr:rowOff>114300</xdr:rowOff>
    </xdr:to>
    <xdr:sp macro="" textlink="">
      <xdr:nvSpPr>
        <xdr:cNvPr id="624651" name="Text Box 11"/>
        <xdr:cNvSpPr txBox="1">
          <a:spLocks noChangeArrowheads="1"/>
        </xdr:cNvSpPr>
      </xdr:nvSpPr>
      <xdr:spPr bwMode="auto">
        <a:xfrm>
          <a:off x="5381625" y="7115175"/>
          <a:ext cx="161925" cy="1619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X</a:t>
          </a:r>
        </a:p>
      </xdr:txBody>
    </xdr:sp>
    <xdr:clientData/>
  </xdr:twoCellAnchor>
  <xdr:twoCellAnchor>
    <xdr:from>
      <xdr:col>2</xdr:col>
      <xdr:colOff>19050</xdr:colOff>
      <xdr:row>98</xdr:row>
      <xdr:rowOff>114300</xdr:rowOff>
    </xdr:from>
    <xdr:to>
      <xdr:col>3</xdr:col>
      <xdr:colOff>600075</xdr:colOff>
      <xdr:row>102</xdr:row>
      <xdr:rowOff>19050</xdr:rowOff>
    </xdr:to>
    <xdr:sp macro="" textlink="">
      <xdr:nvSpPr>
        <xdr:cNvPr id="624654" name="AutoShape 14"/>
        <xdr:cNvSpPr>
          <a:spLocks noChangeArrowheads="1"/>
        </xdr:cNvSpPr>
      </xdr:nvSpPr>
      <xdr:spPr bwMode="auto">
        <a:xfrm>
          <a:off x="866775" y="16021050"/>
          <a:ext cx="1219200" cy="552450"/>
        </a:xfrm>
        <a:prstGeom prst="cube">
          <a:avLst>
            <a:gd name="adj" fmla="val 65306"/>
          </a:avLst>
        </a:prstGeom>
        <a:solidFill>
          <a:srgbClr val="C0C0C0"/>
        </a:solidFill>
        <a:ln w="9525">
          <a:solidFill>
            <a:srgbClr val="000000"/>
          </a:solidFill>
          <a:miter lim="800000"/>
          <a:headEnd/>
          <a:tailEnd/>
        </a:ln>
      </xdr:spPr>
    </xdr:sp>
    <xdr:clientData/>
  </xdr:twoCellAnchor>
  <xdr:twoCellAnchor>
    <xdr:from>
      <xdr:col>5</xdr:col>
      <xdr:colOff>171450</xdr:colOff>
      <xdr:row>7</xdr:row>
      <xdr:rowOff>38100</xdr:rowOff>
    </xdr:from>
    <xdr:to>
      <xdr:col>10</xdr:col>
      <xdr:colOff>47625</xdr:colOff>
      <xdr:row>23</xdr:row>
      <xdr:rowOff>47625</xdr:rowOff>
    </xdr:to>
    <xdr:grpSp>
      <xdr:nvGrpSpPr>
        <xdr:cNvPr id="624863" name="Group 223"/>
        <xdr:cNvGrpSpPr>
          <a:grpSpLocks/>
        </xdr:cNvGrpSpPr>
      </xdr:nvGrpSpPr>
      <xdr:grpSpPr bwMode="auto">
        <a:xfrm>
          <a:off x="3248025" y="1209675"/>
          <a:ext cx="3038475" cy="2886075"/>
          <a:chOff x="308" y="127"/>
          <a:chExt cx="319" cy="273"/>
        </a:xfrm>
      </xdr:grpSpPr>
      <xdr:sp macro="" textlink="">
        <xdr:nvSpPr>
          <xdr:cNvPr id="624781" name="Rectangle 141"/>
          <xdr:cNvSpPr>
            <a:spLocks noChangeArrowheads="1"/>
          </xdr:cNvSpPr>
        </xdr:nvSpPr>
        <xdr:spPr bwMode="auto">
          <a:xfrm>
            <a:off x="314" y="270"/>
            <a:ext cx="238" cy="46"/>
          </a:xfrm>
          <a:prstGeom prst="rect">
            <a:avLst/>
          </a:prstGeom>
          <a:solidFill>
            <a:srgbClr val="C0C0C0"/>
          </a:solidFill>
          <a:ln w="9525">
            <a:solidFill>
              <a:srgbClr val="000000"/>
            </a:solidFill>
            <a:miter lim="800000"/>
            <a:headEnd/>
            <a:tailEnd/>
          </a:ln>
        </xdr:spPr>
      </xdr:sp>
      <xdr:sp macro="" textlink="">
        <xdr:nvSpPr>
          <xdr:cNvPr id="624782" name="Rectangle 142"/>
          <xdr:cNvSpPr>
            <a:spLocks noChangeArrowheads="1"/>
          </xdr:cNvSpPr>
        </xdr:nvSpPr>
        <xdr:spPr bwMode="auto">
          <a:xfrm>
            <a:off x="410" y="197"/>
            <a:ext cx="46" cy="73"/>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xdr:txBody>
      </xdr:sp>
      <xdr:sp macro="" textlink="">
        <xdr:nvSpPr>
          <xdr:cNvPr id="624783" name="Rectangle 143" descr="Small confetti"/>
          <xdr:cNvSpPr>
            <a:spLocks noChangeArrowheads="1"/>
          </xdr:cNvSpPr>
        </xdr:nvSpPr>
        <xdr:spPr bwMode="auto">
          <a:xfrm>
            <a:off x="456" y="216"/>
            <a:ext cx="96"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24784" name="Rectangle 144" descr="Small confetti"/>
          <xdr:cNvSpPr>
            <a:spLocks noChangeArrowheads="1"/>
          </xdr:cNvSpPr>
        </xdr:nvSpPr>
        <xdr:spPr bwMode="auto">
          <a:xfrm>
            <a:off x="314" y="216"/>
            <a:ext cx="96"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24785" name="Line 145"/>
          <xdr:cNvSpPr>
            <a:spLocks noChangeShapeType="1"/>
          </xdr:cNvSpPr>
        </xdr:nvSpPr>
        <xdr:spPr bwMode="auto">
          <a:xfrm>
            <a:off x="552" y="216"/>
            <a:ext cx="0" cy="53"/>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24786" name="Line 146"/>
          <xdr:cNvSpPr>
            <a:spLocks noChangeShapeType="1"/>
          </xdr:cNvSpPr>
        </xdr:nvSpPr>
        <xdr:spPr bwMode="auto">
          <a:xfrm>
            <a:off x="314" y="216"/>
            <a:ext cx="0" cy="53"/>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24787" name="Rectangle 147" descr="Small confetti"/>
          <xdr:cNvSpPr>
            <a:spLocks noChangeArrowheads="1"/>
          </xdr:cNvSpPr>
        </xdr:nvSpPr>
        <xdr:spPr bwMode="auto">
          <a:xfrm>
            <a:off x="314" y="316"/>
            <a:ext cx="238" cy="22"/>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24788" name="Line 148"/>
          <xdr:cNvSpPr>
            <a:spLocks noChangeShapeType="1"/>
          </xdr:cNvSpPr>
        </xdr:nvSpPr>
        <xdr:spPr bwMode="auto">
          <a:xfrm>
            <a:off x="314" y="338"/>
            <a:ext cx="238" cy="0"/>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24789" name="Line 149"/>
          <xdr:cNvSpPr>
            <a:spLocks noChangeShapeType="1"/>
          </xdr:cNvSpPr>
        </xdr:nvSpPr>
        <xdr:spPr bwMode="auto">
          <a:xfrm>
            <a:off x="314" y="317"/>
            <a:ext cx="0" cy="22"/>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24790" name="Line 150"/>
          <xdr:cNvSpPr>
            <a:spLocks noChangeShapeType="1"/>
          </xdr:cNvSpPr>
        </xdr:nvSpPr>
        <xdr:spPr bwMode="auto">
          <a:xfrm>
            <a:off x="552" y="317"/>
            <a:ext cx="0" cy="22"/>
          </a:xfrm>
          <a:prstGeom prst="line">
            <a:avLst/>
          </a:prstGeom>
          <a:noFill/>
          <a:ln w="9525">
            <a:solidFill>
              <a:srgbClr val="FFFFFF"/>
            </a:solidFill>
            <a:round/>
            <a:headEnd/>
            <a:tailEnd/>
          </a:ln>
          <a:extLst>
            <a:ext uri="{909E8E84-426E-40DD-AFC4-6F175D3DCCD1}">
              <a14:hiddenFill xmlns="" xmlns:a14="http://schemas.microsoft.com/office/drawing/2010/main">
                <a:noFill/>
              </a14:hiddenFill>
            </a:ext>
          </a:extLst>
        </xdr:spPr>
      </xdr:sp>
      <xdr:sp macro="" textlink="">
        <xdr:nvSpPr>
          <xdr:cNvPr id="624791" name="Line 151"/>
          <xdr:cNvSpPr>
            <a:spLocks noChangeShapeType="1"/>
          </xdr:cNvSpPr>
        </xdr:nvSpPr>
        <xdr:spPr bwMode="auto">
          <a:xfrm>
            <a:off x="558" y="270"/>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92" name="Line 152"/>
          <xdr:cNvSpPr>
            <a:spLocks noChangeShapeType="1"/>
          </xdr:cNvSpPr>
        </xdr:nvSpPr>
        <xdr:spPr bwMode="auto">
          <a:xfrm>
            <a:off x="560" y="316"/>
            <a:ext cx="24"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93" name="Line 153"/>
          <xdr:cNvSpPr>
            <a:spLocks noChangeShapeType="1"/>
          </xdr:cNvSpPr>
        </xdr:nvSpPr>
        <xdr:spPr bwMode="auto">
          <a:xfrm>
            <a:off x="559" y="216"/>
            <a:ext cx="24"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94" name="Line 154"/>
          <xdr:cNvSpPr>
            <a:spLocks noChangeShapeType="1"/>
          </xdr:cNvSpPr>
        </xdr:nvSpPr>
        <xdr:spPr bwMode="auto">
          <a:xfrm>
            <a:off x="461" y="197"/>
            <a:ext cx="150"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95" name="Line 155"/>
          <xdr:cNvSpPr>
            <a:spLocks noChangeShapeType="1"/>
          </xdr:cNvSpPr>
        </xdr:nvSpPr>
        <xdr:spPr bwMode="auto">
          <a:xfrm>
            <a:off x="571" y="216"/>
            <a:ext cx="0" cy="54"/>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96" name="Line 156"/>
          <xdr:cNvSpPr>
            <a:spLocks noChangeShapeType="1"/>
          </xdr:cNvSpPr>
        </xdr:nvSpPr>
        <xdr:spPr bwMode="auto">
          <a:xfrm>
            <a:off x="571" y="270"/>
            <a:ext cx="0" cy="4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97" name="Line 157"/>
          <xdr:cNvSpPr>
            <a:spLocks noChangeShapeType="1"/>
          </xdr:cNvSpPr>
        </xdr:nvSpPr>
        <xdr:spPr bwMode="auto">
          <a:xfrm>
            <a:off x="362" y="197"/>
            <a:ext cx="45" cy="0"/>
          </a:xfrm>
          <a:prstGeom prst="line">
            <a:avLst/>
          </a:prstGeom>
          <a:noFill/>
          <a:ln w="9525">
            <a:solidFill>
              <a:srgbClr val="000000"/>
            </a:solidFill>
            <a:round/>
            <a:headEnd/>
            <a:tailEnd type="triangle" w="sm" len="med"/>
          </a:ln>
          <a:extLst>
            <a:ext uri="{909E8E84-426E-40DD-AFC4-6F175D3DCCD1}">
              <a14:hiddenFill xmlns="" xmlns:a14="http://schemas.microsoft.com/office/drawing/2010/main">
                <a:noFill/>
              </a14:hiddenFill>
            </a:ext>
          </a:extLst>
        </xdr:spPr>
      </xdr:sp>
      <xdr:sp macro="" textlink="">
        <xdr:nvSpPr>
          <xdr:cNvPr id="624798" name="Line 158"/>
          <xdr:cNvSpPr>
            <a:spLocks noChangeShapeType="1"/>
          </xdr:cNvSpPr>
        </xdr:nvSpPr>
        <xdr:spPr bwMode="auto">
          <a:xfrm>
            <a:off x="314" y="320"/>
            <a:ext cx="0" cy="52"/>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99" name="Line 159"/>
          <xdr:cNvSpPr>
            <a:spLocks noChangeShapeType="1"/>
          </xdr:cNvSpPr>
        </xdr:nvSpPr>
        <xdr:spPr bwMode="auto">
          <a:xfrm>
            <a:off x="552" y="319"/>
            <a:ext cx="0" cy="52"/>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800" name="Line 160"/>
          <xdr:cNvSpPr>
            <a:spLocks noChangeShapeType="1"/>
          </xdr:cNvSpPr>
        </xdr:nvSpPr>
        <xdr:spPr bwMode="auto">
          <a:xfrm>
            <a:off x="314" y="363"/>
            <a:ext cx="238"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801" name="Arc 161"/>
          <xdr:cNvSpPr>
            <a:spLocks/>
          </xdr:cNvSpPr>
        </xdr:nvSpPr>
        <xdr:spPr bwMode="auto">
          <a:xfrm rot="18900000">
            <a:off x="408" y="146"/>
            <a:ext cx="51" cy="48"/>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type="triangle" w="sm" len="me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802" name="Line 162"/>
          <xdr:cNvSpPr>
            <a:spLocks noChangeShapeType="1"/>
          </xdr:cNvSpPr>
        </xdr:nvSpPr>
        <xdr:spPr bwMode="auto">
          <a:xfrm>
            <a:off x="599" y="197"/>
            <a:ext cx="0" cy="73"/>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803" name="Line 163"/>
          <xdr:cNvSpPr>
            <a:spLocks noChangeShapeType="1"/>
          </xdr:cNvSpPr>
        </xdr:nvSpPr>
        <xdr:spPr bwMode="auto">
          <a:xfrm flipH="1" flipV="1">
            <a:off x="433" y="135"/>
            <a:ext cx="0" cy="58"/>
          </a:xfrm>
          <a:prstGeom prst="line">
            <a:avLst/>
          </a:prstGeom>
          <a:noFill/>
          <a:ln w="9525">
            <a:solidFill>
              <a:srgbClr val="000000"/>
            </a:solidFill>
            <a:round/>
            <a:headEnd/>
            <a:tailEnd type="triangle" w="sm" len="med"/>
          </a:ln>
          <a:extLst>
            <a:ext uri="{909E8E84-426E-40DD-AFC4-6F175D3DCCD1}">
              <a14:hiddenFill xmlns="" xmlns:a14="http://schemas.microsoft.com/office/drawing/2010/main">
                <a:noFill/>
              </a14:hiddenFill>
            </a:ext>
          </a:extLst>
        </xdr:spPr>
      </xdr:sp>
      <xdr:pic>
        <xdr:nvPicPr>
          <xdr:cNvPr id="624804" name="Picture 164"/>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3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05" name="Picture 165"/>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2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06" name="Picture 16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83"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07" name="Picture 167"/>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62"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08" name="Picture 168"/>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0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09" name="Picture 169"/>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94"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0" name="Picture 1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1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1" name="Picture 171"/>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72"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2" name="Picture 172"/>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96"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3" name="Picture 173"/>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86"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4" name="Picture 174"/>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43"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5" name="Picture 175"/>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23"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6" name="Picture 17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65"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7" name="Picture 177"/>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54"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8" name="Picture 178"/>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76" y="202"/>
            <a:ext cx="9" cy="16"/>
          </a:xfrm>
          <a:prstGeom prst="rect">
            <a:avLst/>
          </a:prstGeom>
          <a:noFill/>
          <a:extLst>
            <a:ext uri="{909E8E84-426E-40DD-AFC4-6F175D3DCCD1}">
              <a14:hiddenFill xmlns="" xmlns:a14="http://schemas.microsoft.com/office/drawing/2010/main">
                <a:solidFill>
                  <a:srgbClr val="FFFFFF"/>
                </a:solidFill>
              </a14:hiddenFill>
            </a:ext>
          </a:extLst>
        </xdr:spPr>
      </xdr:pic>
      <xdr:pic>
        <xdr:nvPicPr>
          <xdr:cNvPr id="624819" name="Picture 179"/>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33" y="202"/>
            <a:ext cx="9" cy="16"/>
          </a:xfrm>
          <a:prstGeom prst="rect">
            <a:avLst/>
          </a:prstGeom>
          <a:noFill/>
          <a:extLst>
            <a:ext uri="{909E8E84-426E-40DD-AFC4-6F175D3DCCD1}">
              <a14:hiddenFill xmlns="" xmlns:a14="http://schemas.microsoft.com/office/drawing/2010/main">
                <a:solidFill>
                  <a:srgbClr val="FFFFFF"/>
                </a:solidFill>
              </a14:hiddenFill>
            </a:ext>
          </a:extLst>
        </xdr:spPr>
      </xdr:pic>
      <xdr:sp macro="" textlink="">
        <xdr:nvSpPr>
          <xdr:cNvPr id="624820" name="Line 180"/>
          <xdr:cNvSpPr>
            <a:spLocks noChangeShapeType="1"/>
          </xdr:cNvSpPr>
        </xdr:nvSpPr>
        <xdr:spPr bwMode="auto">
          <a:xfrm>
            <a:off x="322" y="203"/>
            <a:ext cx="8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821" name="Line 181"/>
          <xdr:cNvSpPr>
            <a:spLocks noChangeShapeType="1"/>
          </xdr:cNvSpPr>
        </xdr:nvSpPr>
        <xdr:spPr bwMode="auto">
          <a:xfrm>
            <a:off x="461" y="203"/>
            <a:ext cx="8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822" name="Line 182"/>
          <xdr:cNvSpPr>
            <a:spLocks noChangeShapeType="1"/>
          </xdr:cNvSpPr>
        </xdr:nvSpPr>
        <xdr:spPr bwMode="auto">
          <a:xfrm>
            <a:off x="410" y="249"/>
            <a:ext cx="46"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823" name="Text Box 183"/>
          <xdr:cNvSpPr txBox="1">
            <a:spLocks noChangeArrowheads="1"/>
          </xdr:cNvSpPr>
        </xdr:nvSpPr>
        <xdr:spPr bwMode="auto">
          <a:xfrm>
            <a:off x="436" y="127"/>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24824" name="Text Box 184"/>
          <xdr:cNvSpPr txBox="1">
            <a:spLocks noChangeArrowheads="1"/>
          </xdr:cNvSpPr>
        </xdr:nvSpPr>
        <xdr:spPr bwMode="auto">
          <a:xfrm>
            <a:off x="468" y="158"/>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24825" name="Text Box 185"/>
          <xdr:cNvSpPr txBox="1">
            <a:spLocks noChangeArrowheads="1"/>
          </xdr:cNvSpPr>
        </xdr:nvSpPr>
        <xdr:spPr bwMode="auto">
          <a:xfrm>
            <a:off x="365" y="180"/>
            <a:ext cx="38"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24826" name="Text Box 186"/>
          <xdr:cNvSpPr txBox="1">
            <a:spLocks noChangeArrowheads="1"/>
          </xdr:cNvSpPr>
        </xdr:nvSpPr>
        <xdr:spPr bwMode="auto">
          <a:xfrm>
            <a:off x="308" y="193"/>
            <a:ext cx="30" cy="2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24827" name="Text Box 187"/>
          <xdr:cNvSpPr txBox="1">
            <a:spLocks noChangeArrowheads="1"/>
          </xdr:cNvSpPr>
        </xdr:nvSpPr>
        <xdr:spPr bwMode="auto">
          <a:xfrm>
            <a:off x="572" y="233"/>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24828" name="Text Box 188"/>
          <xdr:cNvSpPr txBox="1">
            <a:spLocks noChangeArrowheads="1"/>
          </xdr:cNvSpPr>
        </xdr:nvSpPr>
        <xdr:spPr bwMode="auto">
          <a:xfrm>
            <a:off x="600" y="222"/>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24829" name="Text Box 189"/>
          <xdr:cNvSpPr txBox="1">
            <a:spLocks noChangeArrowheads="1"/>
          </xdr:cNvSpPr>
        </xdr:nvSpPr>
        <xdr:spPr bwMode="auto">
          <a:xfrm>
            <a:off x="572" y="283"/>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24830" name="Text Box 190"/>
          <xdr:cNvSpPr txBox="1">
            <a:spLocks noChangeArrowheads="1"/>
          </xdr:cNvSpPr>
        </xdr:nvSpPr>
        <xdr:spPr bwMode="auto">
          <a:xfrm>
            <a:off x="428" y="346"/>
            <a:ext cx="27" cy="2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24831" name="Text Box 191"/>
          <xdr:cNvSpPr txBox="1">
            <a:spLocks noChangeArrowheads="1"/>
          </xdr:cNvSpPr>
        </xdr:nvSpPr>
        <xdr:spPr bwMode="auto">
          <a:xfrm>
            <a:off x="382" y="374"/>
            <a:ext cx="118" cy="26"/>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Nomenclature</a:t>
            </a:r>
          </a:p>
        </xdr:txBody>
      </xdr:sp>
      <xdr:sp macro="" textlink="">
        <xdr:nvSpPr>
          <xdr:cNvPr id="624832" name="Text Box 192"/>
          <xdr:cNvSpPr txBox="1">
            <a:spLocks noChangeArrowheads="1"/>
          </xdr:cNvSpPr>
        </xdr:nvSpPr>
        <xdr:spPr bwMode="auto">
          <a:xfrm>
            <a:off x="421" y="232"/>
            <a:ext cx="40" cy="24"/>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grpSp>
    <xdr:clientData/>
  </xdr:twoCellAnchor>
  <xdr:twoCellAnchor>
    <xdr:from>
      <xdr:col>5</xdr:col>
      <xdr:colOff>190500</xdr:colOff>
      <xdr:row>60</xdr:row>
      <xdr:rowOff>9525</xdr:rowOff>
    </xdr:from>
    <xdr:to>
      <xdr:col>10</xdr:col>
      <xdr:colOff>276225</xdr:colOff>
      <xdr:row>108</xdr:row>
      <xdr:rowOff>152400</xdr:rowOff>
    </xdr:to>
    <xdr:grpSp>
      <xdr:nvGrpSpPr>
        <xdr:cNvPr id="624858" name="Group 218"/>
        <xdr:cNvGrpSpPr>
          <a:grpSpLocks/>
        </xdr:cNvGrpSpPr>
      </xdr:nvGrpSpPr>
      <xdr:grpSpPr bwMode="auto">
        <a:xfrm>
          <a:off x="3267075" y="10248900"/>
          <a:ext cx="3248025" cy="7915275"/>
          <a:chOff x="280" y="991"/>
          <a:chExt cx="341" cy="831"/>
        </a:xfrm>
      </xdr:grpSpPr>
      <xdr:sp macro="" textlink="">
        <xdr:nvSpPr>
          <xdr:cNvPr id="624675" name="Rectangle 35"/>
          <xdr:cNvSpPr>
            <a:spLocks noChangeArrowheads="1"/>
          </xdr:cNvSpPr>
        </xdr:nvSpPr>
        <xdr:spPr bwMode="auto">
          <a:xfrm>
            <a:off x="314" y="1022"/>
            <a:ext cx="238" cy="13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676" name="Rectangle 36"/>
          <xdr:cNvSpPr>
            <a:spLocks noChangeArrowheads="1"/>
          </xdr:cNvSpPr>
        </xdr:nvSpPr>
        <xdr:spPr bwMode="auto">
          <a:xfrm>
            <a:off x="314" y="1466"/>
            <a:ext cx="238" cy="13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677" name="Rectangle 37"/>
          <xdr:cNvSpPr>
            <a:spLocks noChangeArrowheads="1"/>
          </xdr:cNvSpPr>
        </xdr:nvSpPr>
        <xdr:spPr bwMode="auto">
          <a:xfrm>
            <a:off x="314" y="1687"/>
            <a:ext cx="238" cy="13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678" name="Line 38"/>
          <xdr:cNvSpPr>
            <a:spLocks noChangeShapeType="1"/>
          </xdr:cNvSpPr>
        </xdr:nvSpPr>
        <xdr:spPr bwMode="auto">
          <a:xfrm>
            <a:off x="552" y="1157"/>
            <a:ext cx="0" cy="3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24679" name="Line 39"/>
          <xdr:cNvSpPr>
            <a:spLocks noChangeShapeType="1"/>
          </xdr:cNvSpPr>
        </xdr:nvSpPr>
        <xdr:spPr bwMode="auto">
          <a:xfrm flipH="1">
            <a:off x="281" y="1022"/>
            <a:ext cx="33" cy="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24680" name="Line 40"/>
          <xdr:cNvSpPr>
            <a:spLocks noChangeShapeType="1"/>
          </xdr:cNvSpPr>
        </xdr:nvSpPr>
        <xdr:spPr bwMode="auto">
          <a:xfrm>
            <a:off x="552" y="1601"/>
            <a:ext cx="0" cy="3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24681" name="Line 41"/>
          <xdr:cNvSpPr>
            <a:spLocks noChangeShapeType="1"/>
          </xdr:cNvSpPr>
        </xdr:nvSpPr>
        <xdr:spPr bwMode="auto">
          <a:xfrm>
            <a:off x="344" y="1687"/>
            <a:ext cx="208" cy="104"/>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82" name="Line 42"/>
          <xdr:cNvSpPr>
            <a:spLocks noChangeShapeType="1"/>
          </xdr:cNvSpPr>
        </xdr:nvSpPr>
        <xdr:spPr bwMode="auto">
          <a:xfrm flipV="1">
            <a:off x="552" y="999"/>
            <a:ext cx="0" cy="1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83" name="Line 43"/>
          <xdr:cNvSpPr>
            <a:spLocks noChangeShapeType="1"/>
          </xdr:cNvSpPr>
        </xdr:nvSpPr>
        <xdr:spPr bwMode="auto">
          <a:xfrm>
            <a:off x="281" y="1008"/>
            <a:ext cx="271"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684" name="Line 44"/>
          <xdr:cNvSpPr>
            <a:spLocks noChangeShapeType="1"/>
          </xdr:cNvSpPr>
        </xdr:nvSpPr>
        <xdr:spPr bwMode="auto">
          <a:xfrm>
            <a:off x="558" y="1188"/>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85" name="Line 45"/>
          <xdr:cNvSpPr>
            <a:spLocks noChangeShapeType="1"/>
          </xdr:cNvSpPr>
        </xdr:nvSpPr>
        <xdr:spPr bwMode="auto">
          <a:xfrm>
            <a:off x="559" y="1022"/>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86" name="Line 46"/>
          <xdr:cNvSpPr>
            <a:spLocks noChangeShapeType="1"/>
          </xdr:cNvSpPr>
        </xdr:nvSpPr>
        <xdr:spPr bwMode="auto">
          <a:xfrm>
            <a:off x="602" y="1022"/>
            <a:ext cx="0" cy="16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687" name="Line 47"/>
          <xdr:cNvSpPr>
            <a:spLocks noChangeShapeType="1"/>
          </xdr:cNvSpPr>
        </xdr:nvSpPr>
        <xdr:spPr bwMode="auto">
          <a:xfrm>
            <a:off x="314" y="1041"/>
            <a:ext cx="190" cy="116"/>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88" name="Line 48"/>
          <xdr:cNvSpPr>
            <a:spLocks noChangeShapeType="1"/>
          </xdr:cNvSpPr>
        </xdr:nvSpPr>
        <xdr:spPr bwMode="auto">
          <a:xfrm flipH="1" flipV="1">
            <a:off x="281" y="1022"/>
            <a:ext cx="33" cy="19"/>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24689" name="Line 49"/>
          <xdr:cNvSpPr>
            <a:spLocks noChangeShapeType="1"/>
          </xdr:cNvSpPr>
        </xdr:nvSpPr>
        <xdr:spPr bwMode="auto">
          <a:xfrm>
            <a:off x="504" y="1157"/>
            <a:ext cx="48" cy="31"/>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24690" name="Line 50"/>
          <xdr:cNvSpPr>
            <a:spLocks noChangeShapeType="1"/>
          </xdr:cNvSpPr>
        </xdr:nvSpPr>
        <xdr:spPr bwMode="auto">
          <a:xfrm>
            <a:off x="344" y="1466"/>
            <a:ext cx="171" cy="13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91" name="Line 51"/>
          <xdr:cNvSpPr>
            <a:spLocks noChangeShapeType="1"/>
          </xdr:cNvSpPr>
        </xdr:nvSpPr>
        <xdr:spPr bwMode="auto">
          <a:xfrm>
            <a:off x="515" y="1601"/>
            <a:ext cx="37" cy="3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24692" name="Line 52"/>
          <xdr:cNvSpPr>
            <a:spLocks noChangeShapeType="1"/>
          </xdr:cNvSpPr>
        </xdr:nvSpPr>
        <xdr:spPr bwMode="auto">
          <a:xfrm flipV="1">
            <a:off x="344" y="1438"/>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93" name="Line 53"/>
          <xdr:cNvSpPr>
            <a:spLocks noChangeShapeType="1"/>
          </xdr:cNvSpPr>
        </xdr:nvSpPr>
        <xdr:spPr bwMode="auto">
          <a:xfrm flipV="1">
            <a:off x="552" y="1438"/>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94" name="Line 54"/>
          <xdr:cNvSpPr>
            <a:spLocks noChangeShapeType="1"/>
          </xdr:cNvSpPr>
        </xdr:nvSpPr>
        <xdr:spPr bwMode="auto">
          <a:xfrm>
            <a:off x="344" y="1451"/>
            <a:ext cx="208"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695" name="Line 55"/>
          <xdr:cNvSpPr>
            <a:spLocks noChangeShapeType="1"/>
          </xdr:cNvSpPr>
        </xdr:nvSpPr>
        <xdr:spPr bwMode="auto">
          <a:xfrm>
            <a:off x="559" y="1466"/>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96" name="Line 56"/>
          <xdr:cNvSpPr>
            <a:spLocks noChangeShapeType="1"/>
          </xdr:cNvSpPr>
        </xdr:nvSpPr>
        <xdr:spPr bwMode="auto">
          <a:xfrm>
            <a:off x="558" y="1631"/>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97" name="Line 57"/>
          <xdr:cNvSpPr>
            <a:spLocks noChangeShapeType="1"/>
          </xdr:cNvSpPr>
        </xdr:nvSpPr>
        <xdr:spPr bwMode="auto">
          <a:xfrm>
            <a:off x="602" y="1466"/>
            <a:ext cx="0" cy="166"/>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698" name="Line 58"/>
          <xdr:cNvSpPr>
            <a:spLocks noChangeShapeType="1"/>
          </xdr:cNvSpPr>
        </xdr:nvSpPr>
        <xdr:spPr bwMode="auto">
          <a:xfrm flipV="1">
            <a:off x="344" y="1659"/>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699" name="Line 59"/>
          <xdr:cNvSpPr>
            <a:spLocks noChangeShapeType="1"/>
          </xdr:cNvSpPr>
        </xdr:nvSpPr>
        <xdr:spPr bwMode="auto">
          <a:xfrm flipV="1">
            <a:off x="552" y="1659"/>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00" name="Line 60"/>
          <xdr:cNvSpPr>
            <a:spLocks noChangeShapeType="1"/>
          </xdr:cNvSpPr>
        </xdr:nvSpPr>
        <xdr:spPr bwMode="auto">
          <a:xfrm>
            <a:off x="344" y="1670"/>
            <a:ext cx="208"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01" name="Line 61"/>
          <xdr:cNvSpPr>
            <a:spLocks noChangeShapeType="1"/>
          </xdr:cNvSpPr>
        </xdr:nvSpPr>
        <xdr:spPr bwMode="auto">
          <a:xfrm>
            <a:off x="558" y="1687"/>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02" name="Line 62"/>
          <xdr:cNvSpPr>
            <a:spLocks noChangeShapeType="1"/>
          </xdr:cNvSpPr>
        </xdr:nvSpPr>
        <xdr:spPr bwMode="auto">
          <a:xfrm>
            <a:off x="558" y="1791"/>
            <a:ext cx="53"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03" name="Line 63"/>
          <xdr:cNvSpPr>
            <a:spLocks noChangeShapeType="1"/>
          </xdr:cNvSpPr>
        </xdr:nvSpPr>
        <xdr:spPr bwMode="auto">
          <a:xfrm>
            <a:off x="602" y="1687"/>
            <a:ext cx="0" cy="104"/>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04" name="Line 64"/>
          <xdr:cNvSpPr>
            <a:spLocks noChangeShapeType="1"/>
          </xdr:cNvSpPr>
        </xdr:nvSpPr>
        <xdr:spPr bwMode="auto">
          <a:xfrm flipV="1">
            <a:off x="401" y="1104"/>
            <a:ext cx="13" cy="13"/>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624705" name="Line 65"/>
          <xdr:cNvSpPr>
            <a:spLocks noChangeShapeType="1"/>
          </xdr:cNvSpPr>
        </xdr:nvSpPr>
        <xdr:spPr bwMode="auto">
          <a:xfrm flipV="1">
            <a:off x="416" y="1541"/>
            <a:ext cx="23" cy="20"/>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624706" name="Line 66"/>
          <xdr:cNvSpPr>
            <a:spLocks noChangeShapeType="1"/>
          </xdr:cNvSpPr>
        </xdr:nvSpPr>
        <xdr:spPr bwMode="auto">
          <a:xfrm flipV="1">
            <a:off x="456" y="1750"/>
            <a:ext cx="14" cy="14"/>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624707" name="Line 67"/>
          <xdr:cNvSpPr>
            <a:spLocks noChangeShapeType="1"/>
          </xdr:cNvSpPr>
        </xdr:nvSpPr>
        <xdr:spPr bwMode="auto">
          <a:xfrm flipV="1">
            <a:off x="503" y="1134"/>
            <a:ext cx="0" cy="1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08" name="Line 68"/>
          <xdr:cNvSpPr>
            <a:spLocks noChangeShapeType="1"/>
          </xdr:cNvSpPr>
        </xdr:nvSpPr>
        <xdr:spPr bwMode="auto">
          <a:xfrm>
            <a:off x="503" y="1143"/>
            <a:ext cx="49"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09" name="Line 69"/>
          <xdr:cNvSpPr>
            <a:spLocks noChangeShapeType="1"/>
          </xdr:cNvSpPr>
        </xdr:nvSpPr>
        <xdr:spPr bwMode="auto">
          <a:xfrm>
            <a:off x="320" y="1041"/>
            <a:ext cx="29"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10" name="Line 70"/>
          <xdr:cNvSpPr>
            <a:spLocks noChangeShapeType="1"/>
          </xdr:cNvSpPr>
        </xdr:nvSpPr>
        <xdr:spPr bwMode="auto">
          <a:xfrm>
            <a:off x="343" y="1022"/>
            <a:ext cx="0" cy="19"/>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11" name="Line 71"/>
          <xdr:cNvSpPr>
            <a:spLocks noChangeShapeType="1"/>
          </xdr:cNvSpPr>
        </xdr:nvSpPr>
        <xdr:spPr bwMode="auto">
          <a:xfrm flipV="1">
            <a:off x="515" y="1584"/>
            <a:ext cx="0" cy="14"/>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12" name="Line 72"/>
          <xdr:cNvSpPr>
            <a:spLocks noChangeShapeType="1"/>
          </xdr:cNvSpPr>
        </xdr:nvSpPr>
        <xdr:spPr bwMode="auto">
          <a:xfrm>
            <a:off x="515" y="1589"/>
            <a:ext cx="37"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13" name="Rectangle 73"/>
          <xdr:cNvSpPr>
            <a:spLocks noChangeArrowheads="1"/>
          </xdr:cNvSpPr>
        </xdr:nvSpPr>
        <xdr:spPr bwMode="auto">
          <a:xfrm>
            <a:off x="314" y="1245"/>
            <a:ext cx="238" cy="13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714" name="Line 74"/>
          <xdr:cNvSpPr>
            <a:spLocks noChangeShapeType="1"/>
          </xdr:cNvSpPr>
        </xdr:nvSpPr>
        <xdr:spPr bwMode="auto">
          <a:xfrm flipV="1">
            <a:off x="552" y="1217"/>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15" name="Line 75"/>
          <xdr:cNvSpPr>
            <a:spLocks noChangeShapeType="1"/>
          </xdr:cNvSpPr>
        </xdr:nvSpPr>
        <xdr:spPr bwMode="auto">
          <a:xfrm>
            <a:off x="281" y="1230"/>
            <a:ext cx="271" cy="0"/>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16" name="Line 76"/>
          <xdr:cNvSpPr>
            <a:spLocks noChangeShapeType="1"/>
          </xdr:cNvSpPr>
        </xdr:nvSpPr>
        <xdr:spPr bwMode="auto">
          <a:xfrm flipV="1">
            <a:off x="416" y="1314"/>
            <a:ext cx="29" cy="26"/>
          </a:xfrm>
          <a:prstGeom prst="line">
            <a:avLst/>
          </a:prstGeom>
          <a:noFill/>
          <a:ln w="9525">
            <a:solidFill>
              <a:srgbClr val="000000"/>
            </a:solidFill>
            <a:round/>
            <a:headEnd/>
            <a:tailEnd type="stealth" w="sm" len="sm"/>
          </a:ln>
          <a:extLst>
            <a:ext uri="{909E8E84-426E-40DD-AFC4-6F175D3DCCD1}">
              <a14:hiddenFill xmlns="" xmlns:a14="http://schemas.microsoft.com/office/drawing/2010/main">
                <a:noFill/>
              </a14:hiddenFill>
            </a:ext>
          </a:extLst>
        </xdr:spPr>
      </xdr:sp>
      <xdr:sp macro="" textlink="">
        <xdr:nvSpPr>
          <xdr:cNvPr id="624717" name="Line 77"/>
          <xdr:cNvSpPr>
            <a:spLocks noChangeShapeType="1"/>
          </xdr:cNvSpPr>
        </xdr:nvSpPr>
        <xdr:spPr bwMode="auto">
          <a:xfrm flipH="1">
            <a:off x="281" y="1245"/>
            <a:ext cx="33" cy="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24718" name="Line 78"/>
          <xdr:cNvSpPr>
            <a:spLocks noChangeShapeType="1"/>
          </xdr:cNvSpPr>
        </xdr:nvSpPr>
        <xdr:spPr bwMode="auto">
          <a:xfrm>
            <a:off x="320" y="1259"/>
            <a:ext cx="29"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19" name="Line 79"/>
          <xdr:cNvSpPr>
            <a:spLocks noChangeShapeType="1"/>
          </xdr:cNvSpPr>
        </xdr:nvSpPr>
        <xdr:spPr bwMode="auto">
          <a:xfrm>
            <a:off x="343" y="1245"/>
            <a:ext cx="0" cy="14"/>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20" name="Line 80"/>
          <xdr:cNvSpPr>
            <a:spLocks noChangeShapeType="1"/>
          </xdr:cNvSpPr>
        </xdr:nvSpPr>
        <xdr:spPr bwMode="auto">
          <a:xfrm>
            <a:off x="558" y="1245"/>
            <a:ext cx="58"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21" name="Line 81"/>
          <xdr:cNvSpPr>
            <a:spLocks noChangeShapeType="1"/>
          </xdr:cNvSpPr>
        </xdr:nvSpPr>
        <xdr:spPr bwMode="auto">
          <a:xfrm>
            <a:off x="558" y="1358"/>
            <a:ext cx="58"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22" name="Line 82"/>
          <xdr:cNvSpPr>
            <a:spLocks noChangeShapeType="1"/>
          </xdr:cNvSpPr>
        </xdr:nvSpPr>
        <xdr:spPr bwMode="auto">
          <a:xfrm>
            <a:off x="607" y="1245"/>
            <a:ext cx="0" cy="113"/>
          </a:xfrm>
          <a:prstGeom prst="line">
            <a:avLst/>
          </a:prstGeom>
          <a:noFill/>
          <a:ln w="9525">
            <a:solidFill>
              <a:srgbClr val="000000"/>
            </a:solidFill>
            <a:round/>
            <a:headEnd type="stealth" w="sm" len="sm"/>
            <a:tailEnd type="stealth" w="sm" len="sm"/>
          </a:ln>
          <a:extLst>
            <a:ext uri="{909E8E84-426E-40DD-AFC4-6F175D3DCCD1}">
              <a14:hiddenFill xmlns="" xmlns:a14="http://schemas.microsoft.com/office/drawing/2010/main">
                <a:noFill/>
              </a14:hiddenFill>
            </a:ext>
          </a:extLst>
        </xdr:spPr>
      </xdr:sp>
      <xdr:sp macro="" textlink="">
        <xdr:nvSpPr>
          <xdr:cNvPr id="624723" name="Line 83"/>
          <xdr:cNvSpPr>
            <a:spLocks noChangeShapeType="1"/>
          </xdr:cNvSpPr>
        </xdr:nvSpPr>
        <xdr:spPr bwMode="auto">
          <a:xfrm>
            <a:off x="314" y="1259"/>
            <a:ext cx="238" cy="9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24" name="Line 84"/>
          <xdr:cNvSpPr>
            <a:spLocks noChangeShapeType="1"/>
          </xdr:cNvSpPr>
        </xdr:nvSpPr>
        <xdr:spPr bwMode="auto">
          <a:xfrm flipH="1" flipV="1">
            <a:off x="281" y="1245"/>
            <a:ext cx="33" cy="14"/>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sp macro="" textlink="">
        <xdr:nvSpPr>
          <xdr:cNvPr id="624767" name="Line 127"/>
          <xdr:cNvSpPr>
            <a:spLocks noChangeShapeType="1"/>
          </xdr:cNvSpPr>
        </xdr:nvSpPr>
        <xdr:spPr bwMode="auto">
          <a:xfrm flipV="1">
            <a:off x="281" y="1216"/>
            <a:ext cx="0" cy="25"/>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768" name="Line 128"/>
          <xdr:cNvSpPr>
            <a:spLocks noChangeShapeType="1"/>
          </xdr:cNvSpPr>
        </xdr:nvSpPr>
        <xdr:spPr bwMode="auto">
          <a:xfrm flipV="1">
            <a:off x="280" y="999"/>
            <a:ext cx="0" cy="19"/>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sp macro="" textlink="">
        <xdr:nvSpPr>
          <xdr:cNvPr id="624833" name="Text Box 193"/>
          <xdr:cNvSpPr txBox="1">
            <a:spLocks noChangeArrowheads="1"/>
          </xdr:cNvSpPr>
        </xdr:nvSpPr>
        <xdr:spPr bwMode="auto">
          <a:xfrm>
            <a:off x="405" y="1450"/>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Lx2</a:t>
            </a:r>
          </a:p>
        </xdr:txBody>
      </xdr:sp>
      <xdr:sp macro="" textlink="">
        <xdr:nvSpPr>
          <xdr:cNvPr id="624834" name="Text Box 194"/>
          <xdr:cNvSpPr txBox="1">
            <a:spLocks noChangeArrowheads="1"/>
          </xdr:cNvSpPr>
        </xdr:nvSpPr>
        <xdr:spPr bwMode="auto">
          <a:xfrm>
            <a:off x="384" y="991"/>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35" name="Text Box 195"/>
          <xdr:cNvSpPr txBox="1">
            <a:spLocks noChangeArrowheads="1"/>
          </xdr:cNvSpPr>
        </xdr:nvSpPr>
        <xdr:spPr bwMode="auto">
          <a:xfrm>
            <a:off x="558" y="1006"/>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36" name="Text Box 196"/>
          <xdr:cNvSpPr txBox="1">
            <a:spLocks noChangeArrowheads="1"/>
          </xdr:cNvSpPr>
        </xdr:nvSpPr>
        <xdr:spPr bwMode="auto">
          <a:xfrm>
            <a:off x="561" y="1093"/>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7" name="Text Box 197"/>
          <xdr:cNvSpPr txBox="1">
            <a:spLocks noChangeArrowheads="1"/>
          </xdr:cNvSpPr>
        </xdr:nvSpPr>
        <xdr:spPr bwMode="auto">
          <a:xfrm>
            <a:off x="564" y="1280"/>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8" name="Text Box 198"/>
          <xdr:cNvSpPr txBox="1">
            <a:spLocks noChangeArrowheads="1"/>
          </xdr:cNvSpPr>
        </xdr:nvSpPr>
        <xdr:spPr bwMode="auto">
          <a:xfrm>
            <a:off x="561" y="1535"/>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9" name="Text Box 199"/>
          <xdr:cNvSpPr txBox="1">
            <a:spLocks noChangeArrowheads="1"/>
          </xdr:cNvSpPr>
        </xdr:nvSpPr>
        <xdr:spPr bwMode="auto">
          <a:xfrm>
            <a:off x="561" y="1722"/>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40" name="Text Box 200"/>
          <xdr:cNvSpPr txBox="1">
            <a:spLocks noChangeArrowheads="1"/>
          </xdr:cNvSpPr>
        </xdr:nvSpPr>
        <xdr:spPr bwMode="auto">
          <a:xfrm>
            <a:off x="345" y="1023"/>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sp macro="" textlink="">
        <xdr:nvSpPr>
          <xdr:cNvPr id="624841" name="Text Box 201"/>
          <xdr:cNvSpPr txBox="1">
            <a:spLocks noChangeArrowheads="1"/>
          </xdr:cNvSpPr>
        </xdr:nvSpPr>
        <xdr:spPr bwMode="auto">
          <a:xfrm>
            <a:off x="333" y="1112"/>
            <a:ext cx="76" cy="4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42" name="Text Box 202"/>
          <xdr:cNvSpPr txBox="1">
            <a:spLocks noChangeArrowheads="1"/>
          </xdr:cNvSpPr>
        </xdr:nvSpPr>
        <xdr:spPr bwMode="auto">
          <a:xfrm>
            <a:off x="506" y="1126"/>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24843" name="Text Box 203"/>
          <xdr:cNvSpPr txBox="1">
            <a:spLocks noChangeArrowheads="1"/>
          </xdr:cNvSpPr>
        </xdr:nvSpPr>
        <xdr:spPr bwMode="auto">
          <a:xfrm>
            <a:off x="348" y="1333"/>
            <a:ext cx="76" cy="4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44" name="Text Box 204"/>
          <xdr:cNvSpPr txBox="1">
            <a:spLocks noChangeArrowheads="1"/>
          </xdr:cNvSpPr>
        </xdr:nvSpPr>
        <xdr:spPr bwMode="auto">
          <a:xfrm>
            <a:off x="350" y="1245"/>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Ly1</a:t>
            </a:r>
          </a:p>
        </xdr:txBody>
      </xdr:sp>
      <xdr:sp macro="" textlink="">
        <xdr:nvSpPr>
          <xdr:cNvPr id="624845" name="Text Box 205"/>
          <xdr:cNvSpPr txBox="1">
            <a:spLocks noChangeArrowheads="1"/>
          </xdr:cNvSpPr>
        </xdr:nvSpPr>
        <xdr:spPr bwMode="auto">
          <a:xfrm>
            <a:off x="384" y="1213"/>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46" name="Text Box 206"/>
          <xdr:cNvSpPr txBox="1">
            <a:spLocks noChangeArrowheads="1"/>
          </xdr:cNvSpPr>
        </xdr:nvSpPr>
        <xdr:spPr bwMode="auto">
          <a:xfrm>
            <a:off x="558" y="1229"/>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47" name="Text Box 207"/>
          <xdr:cNvSpPr txBox="1">
            <a:spLocks noChangeArrowheads="1"/>
          </xdr:cNvSpPr>
        </xdr:nvSpPr>
        <xdr:spPr bwMode="auto">
          <a:xfrm>
            <a:off x="558" y="1297"/>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Ly2</a:t>
            </a:r>
          </a:p>
        </xdr:txBody>
      </xdr:sp>
      <xdr:sp macro="" textlink="">
        <xdr:nvSpPr>
          <xdr:cNvPr id="624848" name="Text Box 208"/>
          <xdr:cNvSpPr txBox="1">
            <a:spLocks noChangeArrowheads="1"/>
          </xdr:cNvSpPr>
        </xdr:nvSpPr>
        <xdr:spPr bwMode="auto">
          <a:xfrm>
            <a:off x="408" y="1433"/>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49" name="Text Box 209"/>
          <xdr:cNvSpPr txBox="1">
            <a:spLocks noChangeArrowheads="1"/>
          </xdr:cNvSpPr>
        </xdr:nvSpPr>
        <xdr:spPr bwMode="auto">
          <a:xfrm>
            <a:off x="558" y="1450"/>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50" name="Text Box 210"/>
          <xdr:cNvSpPr txBox="1">
            <a:spLocks noChangeArrowheads="1"/>
          </xdr:cNvSpPr>
        </xdr:nvSpPr>
        <xdr:spPr bwMode="auto">
          <a:xfrm>
            <a:off x="348" y="1553"/>
            <a:ext cx="76" cy="4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51" name="Text Box 211"/>
          <xdr:cNvSpPr txBox="1">
            <a:spLocks noChangeArrowheads="1"/>
          </xdr:cNvSpPr>
        </xdr:nvSpPr>
        <xdr:spPr bwMode="auto">
          <a:xfrm>
            <a:off x="388" y="1757"/>
            <a:ext cx="76" cy="4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52" name="Text Box 212"/>
          <xdr:cNvSpPr txBox="1">
            <a:spLocks noChangeArrowheads="1"/>
          </xdr:cNvSpPr>
        </xdr:nvSpPr>
        <xdr:spPr bwMode="auto">
          <a:xfrm>
            <a:off x="502" y="1569"/>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Lx1</a:t>
            </a:r>
          </a:p>
        </xdr:txBody>
      </xdr:sp>
      <xdr:sp macro="" textlink="">
        <xdr:nvSpPr>
          <xdr:cNvPr id="624853" name="Text Box 213"/>
          <xdr:cNvSpPr txBox="1">
            <a:spLocks noChangeArrowheads="1"/>
          </xdr:cNvSpPr>
        </xdr:nvSpPr>
        <xdr:spPr bwMode="auto">
          <a:xfrm>
            <a:off x="408" y="1654"/>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54" name="Text Box 214"/>
          <xdr:cNvSpPr txBox="1">
            <a:spLocks noChangeArrowheads="1"/>
          </xdr:cNvSpPr>
        </xdr:nvSpPr>
        <xdr:spPr bwMode="auto">
          <a:xfrm>
            <a:off x="408" y="1670"/>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24855" name="Text Box 215"/>
          <xdr:cNvSpPr txBox="1">
            <a:spLocks noChangeArrowheads="1"/>
          </xdr:cNvSpPr>
        </xdr:nvSpPr>
        <xdr:spPr bwMode="auto">
          <a:xfrm>
            <a:off x="558" y="1671"/>
            <a:ext cx="54"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57" name="Text Box 217"/>
          <xdr:cNvSpPr txBox="1">
            <a:spLocks noChangeArrowheads="1"/>
          </xdr:cNvSpPr>
        </xdr:nvSpPr>
        <xdr:spPr bwMode="auto">
          <a:xfrm>
            <a:off x="558" y="1739"/>
            <a:ext cx="63" cy="2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grpSp>
    <xdr:clientData/>
  </xdr:twoCellAnchor>
  <xdr:twoCellAnchor>
    <xdr:from>
      <xdr:col>3</xdr:col>
      <xdr:colOff>476250</xdr:colOff>
      <xdr:row>100</xdr:row>
      <xdr:rowOff>85725</xdr:rowOff>
    </xdr:from>
    <xdr:to>
      <xdr:col>4</xdr:col>
      <xdr:colOff>85725</xdr:colOff>
      <xdr:row>101</xdr:row>
      <xdr:rowOff>152400</xdr:rowOff>
    </xdr:to>
    <xdr:sp macro="" textlink="">
      <xdr:nvSpPr>
        <xdr:cNvPr id="624861" name="Text Box 221"/>
        <xdr:cNvSpPr txBox="1">
          <a:spLocks noChangeArrowheads="1"/>
        </xdr:cNvSpPr>
      </xdr:nvSpPr>
      <xdr:spPr bwMode="auto">
        <a:xfrm>
          <a:off x="1962150" y="16316325"/>
          <a:ext cx="24765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B</a:t>
          </a:r>
        </a:p>
      </xdr:txBody>
    </xdr:sp>
    <xdr:clientData/>
  </xdr:twoCellAnchor>
  <xdr:twoCellAnchor>
    <xdr:from>
      <xdr:col>2</xdr:col>
      <xdr:colOff>400050</xdr:colOff>
      <xdr:row>102</xdr:row>
      <xdr:rowOff>19050</xdr:rowOff>
    </xdr:from>
    <xdr:to>
      <xdr:col>3</xdr:col>
      <xdr:colOff>9525</xdr:colOff>
      <xdr:row>103</xdr:row>
      <xdr:rowOff>85725</xdr:rowOff>
    </xdr:to>
    <xdr:sp macro="" textlink="">
      <xdr:nvSpPr>
        <xdr:cNvPr id="624862" name="Text Box 222"/>
        <xdr:cNvSpPr txBox="1">
          <a:spLocks noChangeArrowheads="1"/>
        </xdr:cNvSpPr>
      </xdr:nvSpPr>
      <xdr:spPr bwMode="auto">
        <a:xfrm>
          <a:off x="1247775" y="16573500"/>
          <a:ext cx="24765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rawing.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s>
    <sheetDataSet>
      <sheetData sheetId="0">
        <row r="1">
          <cell r="A1" t="str">
            <v>Name</v>
          </cell>
          <cell r="B1" t="str">
            <v>Scale X</v>
          </cell>
          <cell r="C1" t="str">
            <v>Scale Y</v>
          </cell>
        </row>
        <row r="2">
          <cell r="A2" t="str">
            <v>b2-a bottom</v>
          </cell>
          <cell r="B2" t="str">
            <v>5.0000</v>
          </cell>
          <cell r="C2" t="str">
            <v>9.0000</v>
          </cell>
        </row>
        <row r="3">
          <cell r="A3" t="str">
            <v>b2-a bottom side</v>
          </cell>
          <cell r="B3" t="str">
            <v>5.0000</v>
          </cell>
          <cell r="C3" t="str">
            <v>1.2400</v>
          </cell>
        </row>
        <row r="4">
          <cell r="A4" t="str">
            <v>b2-a pier</v>
          </cell>
          <cell r="B4" t="str">
            <v>1.1250</v>
          </cell>
          <cell r="C4" t="str">
            <v>2.0000</v>
          </cell>
        </row>
        <row r="5">
          <cell r="A5" t="str">
            <v>b2-a pier side</v>
          </cell>
          <cell r="B5" t="str">
            <v>1.1250</v>
          </cell>
          <cell r="C5" t="str">
            <v>2.0000</v>
          </cell>
        </row>
        <row r="6">
          <cell r="A6" t="str">
            <v>b2-b bottom</v>
          </cell>
          <cell r="B6" t="str">
            <v>5.0000</v>
          </cell>
          <cell r="C6" t="str">
            <v>9.0000</v>
          </cell>
        </row>
        <row r="7">
          <cell r="A7" t="str">
            <v>b2-b bottom side</v>
          </cell>
          <cell r="B7" t="str">
            <v>5.0000</v>
          </cell>
          <cell r="C7" t="str">
            <v>1.2400</v>
          </cell>
        </row>
        <row r="8">
          <cell r="A8" t="str">
            <v>b2-b pier</v>
          </cell>
          <cell r="B8" t="str">
            <v>1.1250</v>
          </cell>
          <cell r="C8" t="str">
            <v>2.0000</v>
          </cell>
        </row>
        <row r="9">
          <cell r="A9" t="str">
            <v>b2-b pier side</v>
          </cell>
          <cell r="B9" t="str">
            <v>1.1250</v>
          </cell>
          <cell r="C9" t="str">
            <v>2.0000</v>
          </cell>
        </row>
        <row r="10">
          <cell r="A10" t="str">
            <v>b2-c bottom</v>
          </cell>
          <cell r="B10" t="str">
            <v>5.0000</v>
          </cell>
          <cell r="C10" t="str">
            <v>9.0000</v>
          </cell>
        </row>
        <row r="11">
          <cell r="A11" t="str">
            <v>b2-c bottom side</v>
          </cell>
          <cell r="B11" t="str">
            <v>5.0000</v>
          </cell>
          <cell r="C11" t="str">
            <v>1.2400</v>
          </cell>
        </row>
        <row r="12">
          <cell r="A12" t="str">
            <v>b2-c pier</v>
          </cell>
          <cell r="B12" t="str">
            <v>1.1250</v>
          </cell>
          <cell r="C12" t="str">
            <v>2.0000</v>
          </cell>
        </row>
        <row r="13">
          <cell r="A13" t="str">
            <v>b2-c pier side</v>
          </cell>
          <cell r="B13" t="str">
            <v>1.1250</v>
          </cell>
          <cell r="C13" t="str">
            <v>2.0000</v>
          </cell>
        </row>
        <row r="14">
          <cell r="A14" t="str">
            <v>b3-a bottom</v>
          </cell>
          <cell r="B14" t="str">
            <v>5.0000</v>
          </cell>
          <cell r="C14" t="str">
            <v>9.0000</v>
          </cell>
        </row>
        <row r="15">
          <cell r="A15" t="str">
            <v>b3-a bottom side</v>
          </cell>
          <cell r="B15" t="str">
            <v>5.0000</v>
          </cell>
          <cell r="C15" t="str">
            <v>1.2400</v>
          </cell>
        </row>
        <row r="16">
          <cell r="A16" t="str">
            <v>b3-a pier</v>
          </cell>
          <cell r="B16" t="str">
            <v>1.1250</v>
          </cell>
          <cell r="C16" t="str">
            <v>2.0000</v>
          </cell>
        </row>
        <row r="17">
          <cell r="A17" t="str">
            <v>b3-a pier side</v>
          </cell>
          <cell r="B17" t="str">
            <v>1.1250</v>
          </cell>
          <cell r="C17" t="str">
            <v>2.0000</v>
          </cell>
        </row>
        <row r="18">
          <cell r="A18" t="str">
            <v>b3-b bottom</v>
          </cell>
          <cell r="B18" t="str">
            <v>5.0000</v>
          </cell>
          <cell r="C18" t="str">
            <v>9.0000</v>
          </cell>
        </row>
        <row r="19">
          <cell r="A19" t="str">
            <v>b3-b bottom side</v>
          </cell>
          <cell r="B19" t="str">
            <v>5.0000</v>
          </cell>
          <cell r="C19" t="str">
            <v>1.2400</v>
          </cell>
        </row>
        <row r="20">
          <cell r="A20" t="str">
            <v>b3-b pier</v>
          </cell>
          <cell r="B20" t="str">
            <v>1.1250</v>
          </cell>
          <cell r="C20" t="str">
            <v>2.0000</v>
          </cell>
        </row>
        <row r="21">
          <cell r="A21" t="str">
            <v>b3-b pier side</v>
          </cell>
          <cell r="B21" t="str">
            <v>1.1250</v>
          </cell>
          <cell r="C21" t="str">
            <v>2.0000</v>
          </cell>
        </row>
        <row r="22">
          <cell r="A22" t="str">
            <v>b3-c bottom</v>
          </cell>
          <cell r="B22" t="str">
            <v>5.0000</v>
          </cell>
          <cell r="C22" t="str">
            <v>9.0000</v>
          </cell>
        </row>
        <row r="23">
          <cell r="A23" t="str">
            <v>b3-c bottom side</v>
          </cell>
          <cell r="B23" t="str">
            <v>5.0000</v>
          </cell>
          <cell r="C23" t="str">
            <v>1.2400</v>
          </cell>
        </row>
        <row r="24">
          <cell r="A24" t="str">
            <v>b3-c pier</v>
          </cell>
          <cell r="B24" t="str">
            <v>1.1250</v>
          </cell>
          <cell r="C24" t="str">
            <v>2.0000</v>
          </cell>
        </row>
        <row r="25">
          <cell r="A25" t="str">
            <v>b3-c pier side</v>
          </cell>
          <cell r="B25" t="str">
            <v>1.1250</v>
          </cell>
          <cell r="C25" t="str">
            <v>2.0000</v>
          </cell>
        </row>
        <row r="26">
          <cell r="A26" t="str">
            <v>b3-d bottom</v>
          </cell>
          <cell r="B26" t="str">
            <v>5.0000</v>
          </cell>
          <cell r="C26" t="str">
            <v>9.0000</v>
          </cell>
        </row>
        <row r="27">
          <cell r="A27" t="str">
            <v>b3-d bottom side</v>
          </cell>
          <cell r="B27" t="str">
            <v>5.0000</v>
          </cell>
          <cell r="C27" t="str">
            <v>1.2400</v>
          </cell>
        </row>
        <row r="28">
          <cell r="A28" t="str">
            <v>b3-d pier</v>
          </cell>
          <cell r="B28" t="str">
            <v>1.1250</v>
          </cell>
          <cell r="C28" t="str">
            <v>2.0000</v>
          </cell>
        </row>
        <row r="29">
          <cell r="A29" t="str">
            <v>b3-d pier side</v>
          </cell>
          <cell r="B29" t="str">
            <v>1.1250</v>
          </cell>
          <cell r="C29" t="str">
            <v>2.0000</v>
          </cell>
        </row>
        <row r="30">
          <cell r="A30" t="str">
            <v>MB-A Bottom</v>
          </cell>
          <cell r="B30" t="str">
            <v>5.0000</v>
          </cell>
          <cell r="C30" t="str">
            <v>9.0000</v>
          </cell>
        </row>
        <row r="31">
          <cell r="A31" t="str">
            <v>MB-A bottom side</v>
          </cell>
          <cell r="B31" t="str">
            <v>5.0000</v>
          </cell>
          <cell r="C31" t="str">
            <v>1.3330</v>
          </cell>
        </row>
        <row r="32">
          <cell r="A32" t="str">
            <v>MB-A Pier</v>
          </cell>
          <cell r="B32" t="str">
            <v>1.1250</v>
          </cell>
          <cell r="C32" t="str">
            <v>2.0000</v>
          </cell>
        </row>
        <row r="33">
          <cell r="A33" t="str">
            <v>MB-A pier side</v>
          </cell>
          <cell r="B33" t="str">
            <v>1.1250</v>
          </cell>
          <cell r="C33" t="str">
            <v>3.0000</v>
          </cell>
        </row>
        <row r="34">
          <cell r="A34" t="str">
            <v>mb-b bottom</v>
          </cell>
          <cell r="B34" t="str">
            <v>5.0000</v>
          </cell>
          <cell r="C34" t="str">
            <v>9.0000</v>
          </cell>
        </row>
        <row r="35">
          <cell r="A35" t="str">
            <v>mb-b bottom side</v>
          </cell>
          <cell r="B35" t="str">
            <v>5.0000</v>
          </cell>
          <cell r="C35" t="str">
            <v>1.3330</v>
          </cell>
        </row>
        <row r="36">
          <cell r="A36" t="str">
            <v>mb-b pier</v>
          </cell>
          <cell r="B36" t="str">
            <v>1.1250</v>
          </cell>
          <cell r="C36" t="str">
            <v>2.0000</v>
          </cell>
        </row>
        <row r="37">
          <cell r="A37" t="str">
            <v>mb-b pier side</v>
          </cell>
          <cell r="B37" t="str">
            <v>1.1250</v>
          </cell>
          <cell r="C37" t="str">
            <v>3.0000</v>
          </cell>
        </row>
        <row r="38">
          <cell r="A38" t="str">
            <v>mb-c bottom</v>
          </cell>
          <cell r="B38" t="str">
            <v>5.0000</v>
          </cell>
          <cell r="C38" t="str">
            <v>9.0000</v>
          </cell>
        </row>
        <row r="39">
          <cell r="A39" t="str">
            <v>mb-c bottom side</v>
          </cell>
          <cell r="B39" t="str">
            <v>5.0000</v>
          </cell>
          <cell r="C39" t="str">
            <v>1.3330</v>
          </cell>
        </row>
        <row r="40">
          <cell r="A40" t="str">
            <v>mb-c pier</v>
          </cell>
          <cell r="B40" t="str">
            <v>1.1250</v>
          </cell>
          <cell r="C40" t="str">
            <v>2.0000</v>
          </cell>
        </row>
        <row r="41">
          <cell r="A41" t="str">
            <v>mb-c pier side</v>
          </cell>
          <cell r="B41" t="str">
            <v>1.1250</v>
          </cell>
          <cell r="C41" t="str">
            <v>3.0000</v>
          </cell>
        </row>
        <row r="42">
          <cell r="A42" t="str">
            <v>mb-d bottom</v>
          </cell>
          <cell r="B42" t="str">
            <v>5.0000</v>
          </cell>
          <cell r="C42" t="str">
            <v>9.0000</v>
          </cell>
        </row>
        <row r="43">
          <cell r="A43" t="str">
            <v>mb-d bottom side</v>
          </cell>
          <cell r="B43" t="str">
            <v>5.0000</v>
          </cell>
          <cell r="C43" t="str">
            <v>1.3333</v>
          </cell>
        </row>
        <row r="44">
          <cell r="A44" t="str">
            <v>mb-d pier</v>
          </cell>
          <cell r="B44" t="str">
            <v>1.1250</v>
          </cell>
          <cell r="C44" t="str">
            <v>2.0000</v>
          </cell>
        </row>
        <row r="45">
          <cell r="A45" t="str">
            <v>mb-d pier side</v>
          </cell>
          <cell r="B45" t="str">
            <v>1.1250</v>
          </cell>
          <cell r="C45" t="str">
            <v>3.0000</v>
          </cell>
        </row>
        <row r="46">
          <cell r="A46" t="str">
            <v>mb-e bottom</v>
          </cell>
          <cell r="B46" t="str">
            <v>5.0000</v>
          </cell>
          <cell r="C46" t="str">
            <v>9.0000</v>
          </cell>
        </row>
        <row r="47">
          <cell r="A47" t="str">
            <v>mb-e bottom side</v>
          </cell>
          <cell r="B47" t="str">
            <v>5.0000</v>
          </cell>
          <cell r="C47" t="str">
            <v>1.3333</v>
          </cell>
        </row>
        <row r="48">
          <cell r="A48" t="str">
            <v>mb-e pier</v>
          </cell>
          <cell r="B48" t="str">
            <v>1.1250</v>
          </cell>
          <cell r="C48" t="str">
            <v>2.0000</v>
          </cell>
        </row>
        <row r="49">
          <cell r="A49" t="str">
            <v>mb-e pier side</v>
          </cell>
          <cell r="B49" t="str">
            <v>1.1250</v>
          </cell>
          <cell r="C49" t="str">
            <v>3.0000</v>
          </cell>
        </row>
        <row r="50">
          <cell r="A50" t="str">
            <v>mb-f bottom</v>
          </cell>
          <cell r="B50" t="str">
            <v>5.0000</v>
          </cell>
          <cell r="C50" t="str">
            <v>9.0000</v>
          </cell>
        </row>
        <row r="51">
          <cell r="A51" t="str">
            <v>mb-f bottom side</v>
          </cell>
          <cell r="B51" t="str">
            <v>5.0000</v>
          </cell>
          <cell r="C51" t="str">
            <v>1.3333</v>
          </cell>
        </row>
        <row r="52">
          <cell r="A52" t="str">
            <v>mb-f pier</v>
          </cell>
          <cell r="B52" t="str">
            <v>1.1250</v>
          </cell>
          <cell r="C52" t="str">
            <v>2.0000</v>
          </cell>
        </row>
        <row r="53">
          <cell r="A53" t="str">
            <v>mb-f pier side</v>
          </cell>
          <cell r="B53" t="str">
            <v>1.1250</v>
          </cell>
          <cell r="C53" t="str">
            <v>3.0000</v>
          </cell>
        </row>
        <row r="54">
          <cell r="A54" t="str">
            <v>mb-g bottom</v>
          </cell>
          <cell r="B54" t="str">
            <v>5.0000</v>
          </cell>
          <cell r="C54" t="str">
            <v>9.0000</v>
          </cell>
        </row>
        <row r="55">
          <cell r="A55" t="str">
            <v>mb-g bottom side</v>
          </cell>
          <cell r="B55" t="str">
            <v>5.0000</v>
          </cell>
          <cell r="C55" t="str">
            <v>1.3333</v>
          </cell>
        </row>
        <row r="56">
          <cell r="A56" t="str">
            <v>mb-g pier</v>
          </cell>
          <cell r="B56" t="str">
            <v>1.1250</v>
          </cell>
          <cell r="C56" t="str">
            <v>2.0000</v>
          </cell>
        </row>
        <row r="57">
          <cell r="A57" t="str">
            <v>mb-g pier side</v>
          </cell>
          <cell r="B57" t="str">
            <v>1.1250</v>
          </cell>
          <cell r="C57" t="str">
            <v>3.0000</v>
          </cell>
        </row>
        <row r="58">
          <cell r="A58" t="str">
            <v>mb-h bottom</v>
          </cell>
          <cell r="B58" t="str">
            <v>8.0000</v>
          </cell>
          <cell r="C58" t="str">
            <v>10.0000</v>
          </cell>
        </row>
        <row r="59">
          <cell r="A59" t="str">
            <v>mb-h bottom side</v>
          </cell>
          <cell r="B59" t="str">
            <v>8.0000</v>
          </cell>
          <cell r="C59" t="str">
            <v>1.3333</v>
          </cell>
        </row>
        <row r="60">
          <cell r="A60" t="str">
            <v>mb-h pier</v>
          </cell>
          <cell r="B60" t="str">
            <v>1.7500</v>
          </cell>
          <cell r="C60" t="str">
            <v>2.7500</v>
          </cell>
        </row>
        <row r="61">
          <cell r="A61" t="str">
            <v>mb-h pier side</v>
          </cell>
          <cell r="B61" t="str">
            <v>1.7500</v>
          </cell>
          <cell r="C61" t="str">
            <v>3.0000</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Лист1"/>
  <dimension ref="A1:K107"/>
  <sheetViews>
    <sheetView topLeftCell="A61" zoomScaleNormal="100" workbookViewId="0">
      <selection activeCell="A101" sqref="A101"/>
    </sheetView>
  </sheetViews>
  <sheetFormatPr defaultRowHeight="12.75"/>
  <cols>
    <col min="1" max="9" width="9.140625" style="57"/>
    <col min="10" max="10" width="7.42578125" style="57" customWidth="1"/>
    <col min="11" max="16384" width="9.140625" style="57"/>
  </cols>
  <sheetData>
    <row r="1" spans="1:11" ht="15.75">
      <c r="A1" s="199" t="s">
        <v>251</v>
      </c>
      <c r="B1" s="25"/>
      <c r="C1" s="25"/>
      <c r="D1" s="25"/>
      <c r="E1" s="25"/>
      <c r="F1" s="25"/>
      <c r="G1" s="25"/>
      <c r="H1" s="25"/>
      <c r="I1" s="25"/>
      <c r="J1" s="25"/>
      <c r="K1" s="24"/>
    </row>
    <row r="2" spans="1:11">
      <c r="A2" s="25"/>
      <c r="B2" s="25"/>
      <c r="C2" s="25"/>
      <c r="D2" s="25"/>
      <c r="E2" s="25"/>
      <c r="F2" s="25"/>
      <c r="G2" s="25"/>
      <c r="H2" s="25"/>
      <c r="I2" s="25"/>
      <c r="J2" s="25"/>
      <c r="K2" s="24"/>
    </row>
    <row r="3" spans="1:11">
      <c r="A3" s="200" t="s">
        <v>252</v>
      </c>
      <c r="B3" s="24"/>
      <c r="C3" s="24"/>
      <c r="D3" s="24"/>
      <c r="E3" s="24"/>
      <c r="F3" s="24"/>
      <c r="G3" s="24"/>
      <c r="H3" s="24"/>
      <c r="I3" s="24"/>
      <c r="J3" s="24"/>
      <c r="K3" s="24"/>
    </row>
    <row r="4" spans="1:11">
      <c r="A4" s="201"/>
      <c r="B4" s="201"/>
      <c r="C4" s="201"/>
      <c r="D4" s="201"/>
      <c r="E4" s="201"/>
      <c r="F4" s="201"/>
      <c r="G4" s="201"/>
      <c r="H4" s="201"/>
      <c r="I4" s="201"/>
      <c r="J4" s="201"/>
      <c r="K4" s="24"/>
    </row>
    <row r="5" spans="1:11">
      <c r="A5" s="201" t="s">
        <v>253</v>
      </c>
      <c r="B5" s="201"/>
      <c r="C5" s="201"/>
      <c r="D5" s="201"/>
      <c r="E5" s="201"/>
      <c r="F5" s="201"/>
      <c r="G5" s="201"/>
      <c r="H5" s="201"/>
      <c r="I5" s="201"/>
      <c r="J5" s="201"/>
      <c r="K5" s="24"/>
    </row>
    <row r="6" spans="1:11">
      <c r="A6" s="201" t="s">
        <v>254</v>
      </c>
      <c r="B6" s="201"/>
      <c r="C6" s="201"/>
      <c r="D6" s="201"/>
      <c r="E6" s="201"/>
      <c r="F6" s="201"/>
      <c r="G6" s="201"/>
      <c r="H6" s="201"/>
      <c r="I6" s="201"/>
      <c r="J6" s="201"/>
      <c r="K6" s="24"/>
    </row>
    <row r="7" spans="1:11">
      <c r="A7" s="201" t="s">
        <v>333</v>
      </c>
      <c r="B7" s="201"/>
      <c r="C7" s="201"/>
      <c r="D7" s="201"/>
      <c r="E7" s="201"/>
      <c r="F7" s="201"/>
      <c r="G7" s="201"/>
      <c r="H7" s="201"/>
      <c r="I7" s="201"/>
      <c r="J7" s="201"/>
      <c r="K7" s="24"/>
    </row>
    <row r="8" spans="1:11">
      <c r="A8" s="201" t="s">
        <v>334</v>
      </c>
      <c r="B8" s="201"/>
      <c r="C8" s="201"/>
      <c r="D8" s="201"/>
      <c r="E8" s="201"/>
      <c r="F8" s="201"/>
      <c r="G8" s="201"/>
      <c r="H8" s="201"/>
      <c r="I8" s="201"/>
      <c r="J8" s="201"/>
      <c r="K8" s="24"/>
    </row>
    <row r="9" spans="1:11">
      <c r="A9" s="201"/>
      <c r="B9" s="201"/>
      <c r="C9" s="201"/>
      <c r="D9" s="201"/>
      <c r="E9" s="201"/>
      <c r="F9" s="201"/>
      <c r="G9" s="201"/>
      <c r="H9" s="201"/>
      <c r="I9" s="201"/>
      <c r="J9" s="201"/>
      <c r="K9" s="24"/>
    </row>
    <row r="10" spans="1:11">
      <c r="A10" s="201" t="s">
        <v>336</v>
      </c>
      <c r="B10" s="201"/>
      <c r="C10" s="201"/>
      <c r="D10" s="201"/>
      <c r="E10" s="201"/>
      <c r="F10" s="201"/>
      <c r="G10" s="201"/>
      <c r="H10" s="201"/>
      <c r="I10" s="201"/>
      <c r="J10" s="201"/>
      <c r="K10" s="24"/>
    </row>
    <row r="11" spans="1:11">
      <c r="A11" s="201"/>
      <c r="B11" s="201"/>
      <c r="C11" s="201"/>
      <c r="D11" s="201"/>
      <c r="E11" s="201"/>
      <c r="F11" s="201"/>
      <c r="G11" s="201"/>
      <c r="H11" s="201"/>
      <c r="I11" s="201"/>
      <c r="J11" s="201"/>
      <c r="K11" s="24"/>
    </row>
    <row r="12" spans="1:11">
      <c r="A12" s="202" t="s">
        <v>255</v>
      </c>
      <c r="B12" s="203"/>
      <c r="C12" s="204"/>
      <c r="D12" s="203" t="s">
        <v>256</v>
      </c>
      <c r="E12" s="203"/>
      <c r="F12" s="203"/>
      <c r="G12" s="203"/>
      <c r="H12" s="203"/>
      <c r="I12" s="203"/>
      <c r="J12" s="204"/>
      <c r="K12" s="24"/>
    </row>
    <row r="13" spans="1:11">
      <c r="A13" s="205" t="s">
        <v>257</v>
      </c>
      <c r="B13" s="206"/>
      <c r="C13" s="207"/>
      <c r="D13" s="205" t="s">
        <v>258</v>
      </c>
      <c r="E13" s="206"/>
      <c r="F13" s="206"/>
      <c r="G13" s="206"/>
      <c r="H13" s="206"/>
      <c r="I13" s="206"/>
      <c r="J13" s="207"/>
      <c r="K13" s="24"/>
    </row>
    <row r="14" spans="1:11">
      <c r="A14" s="208" t="s">
        <v>338</v>
      </c>
      <c r="B14" s="209"/>
      <c r="C14" s="210"/>
      <c r="D14" s="208" t="s">
        <v>343</v>
      </c>
      <c r="E14" s="209"/>
      <c r="F14" s="209"/>
      <c r="G14" s="209"/>
      <c r="H14" s="209"/>
      <c r="I14" s="209"/>
      <c r="J14" s="210"/>
      <c r="K14" s="24"/>
    </row>
    <row r="15" spans="1:11">
      <c r="A15" s="208" t="s">
        <v>339</v>
      </c>
      <c r="B15" s="209"/>
      <c r="C15" s="210"/>
      <c r="D15" s="208" t="s">
        <v>344</v>
      </c>
      <c r="E15" s="209"/>
      <c r="F15" s="209"/>
      <c r="G15" s="209"/>
      <c r="H15" s="209"/>
      <c r="I15" s="209"/>
      <c r="J15" s="210"/>
      <c r="K15" s="24"/>
    </row>
    <row r="16" spans="1:11">
      <c r="A16" s="208" t="s">
        <v>322</v>
      </c>
      <c r="B16" s="209"/>
      <c r="C16" s="210"/>
      <c r="D16" s="208" t="s">
        <v>345</v>
      </c>
      <c r="E16" s="209"/>
      <c r="F16" s="209"/>
      <c r="G16" s="209"/>
      <c r="H16" s="209"/>
      <c r="I16" s="209"/>
      <c r="J16" s="210"/>
      <c r="K16" s="24"/>
    </row>
    <row r="17" spans="1:11">
      <c r="A17" s="211" t="s">
        <v>335</v>
      </c>
      <c r="B17" s="212"/>
      <c r="C17" s="213"/>
      <c r="D17" s="211" t="s">
        <v>346</v>
      </c>
      <c r="E17" s="212"/>
      <c r="F17" s="212"/>
      <c r="G17" s="212"/>
      <c r="H17" s="212"/>
      <c r="I17" s="212"/>
      <c r="J17" s="213"/>
      <c r="K17" s="24"/>
    </row>
    <row r="18" spans="1:11">
      <c r="A18" s="201"/>
      <c r="B18" s="201"/>
      <c r="C18" s="201"/>
      <c r="D18" s="201"/>
      <c r="E18" s="201"/>
      <c r="F18" s="201"/>
      <c r="G18" s="201"/>
      <c r="H18" s="201"/>
      <c r="I18" s="201"/>
      <c r="J18" s="201"/>
      <c r="K18" s="24"/>
    </row>
    <row r="19" spans="1:11">
      <c r="A19" s="200" t="s">
        <v>259</v>
      </c>
      <c r="B19" s="201"/>
      <c r="C19" s="201"/>
      <c r="D19" s="201"/>
      <c r="E19" s="201"/>
      <c r="F19" s="201"/>
      <c r="G19" s="201"/>
      <c r="H19" s="201"/>
      <c r="I19" s="201"/>
      <c r="J19" s="201"/>
      <c r="K19" s="24"/>
    </row>
    <row r="20" spans="1:11">
      <c r="A20" s="201"/>
      <c r="B20" s="201"/>
      <c r="C20" s="201"/>
      <c r="D20" s="201"/>
      <c r="E20" s="201"/>
      <c r="F20" s="201"/>
      <c r="G20" s="201"/>
      <c r="H20" s="201"/>
      <c r="I20" s="201"/>
      <c r="J20" s="201"/>
      <c r="K20" s="24"/>
    </row>
    <row r="21" spans="1:11">
      <c r="A21" s="201" t="s">
        <v>260</v>
      </c>
      <c r="B21" s="201"/>
      <c r="C21" s="201"/>
      <c r="D21" s="201"/>
      <c r="E21" s="201"/>
      <c r="F21" s="201"/>
      <c r="G21" s="201"/>
      <c r="H21" s="201"/>
      <c r="I21" s="201"/>
      <c r="J21" s="201"/>
      <c r="K21" s="24"/>
    </row>
    <row r="22" spans="1:11">
      <c r="A22" s="201" t="s">
        <v>261</v>
      </c>
      <c r="B22" s="201"/>
      <c r="C22" s="201"/>
      <c r="D22" s="201"/>
      <c r="E22" s="201"/>
      <c r="F22" s="201"/>
      <c r="G22" s="201"/>
      <c r="H22" s="201"/>
      <c r="I22" s="201"/>
      <c r="J22" s="201"/>
      <c r="K22" s="24"/>
    </row>
    <row r="23" spans="1:11">
      <c r="A23" s="201" t="s">
        <v>262</v>
      </c>
      <c r="B23" s="201"/>
      <c r="C23" s="201"/>
      <c r="D23" s="201"/>
      <c r="E23" s="201"/>
      <c r="F23" s="201"/>
      <c r="G23" s="201"/>
      <c r="H23" s="201"/>
      <c r="I23" s="201"/>
      <c r="J23" s="201"/>
      <c r="K23" s="24"/>
    </row>
    <row r="24" spans="1:11">
      <c r="A24" s="201" t="s">
        <v>263</v>
      </c>
      <c r="B24" s="201"/>
      <c r="C24" s="201"/>
      <c r="D24" s="201"/>
      <c r="E24" s="201"/>
      <c r="F24" s="201"/>
      <c r="G24" s="201"/>
      <c r="H24" s="201"/>
      <c r="I24" s="201"/>
      <c r="J24" s="201"/>
      <c r="K24" s="24"/>
    </row>
    <row r="25" spans="1:11">
      <c r="A25" s="201" t="s">
        <v>264</v>
      </c>
      <c r="B25" s="201"/>
      <c r="C25" s="201"/>
      <c r="D25" s="201"/>
      <c r="E25" s="201"/>
      <c r="F25" s="201"/>
      <c r="G25" s="201"/>
      <c r="H25" s="201"/>
      <c r="I25" s="201"/>
      <c r="J25" s="201"/>
      <c r="K25" s="24"/>
    </row>
    <row r="26" spans="1:11">
      <c r="A26" s="201" t="s">
        <v>265</v>
      </c>
      <c r="B26" s="201"/>
      <c r="C26" s="201"/>
      <c r="D26" s="201"/>
      <c r="E26" s="201"/>
      <c r="F26" s="201"/>
      <c r="G26" s="201"/>
      <c r="H26" s="201"/>
      <c r="I26" s="201"/>
      <c r="J26" s="201"/>
      <c r="K26" s="24"/>
    </row>
    <row r="27" spans="1:11">
      <c r="A27" s="201" t="s">
        <v>266</v>
      </c>
      <c r="B27" s="201"/>
      <c r="C27" s="201"/>
      <c r="D27" s="201"/>
      <c r="E27" s="201"/>
      <c r="F27" s="201"/>
      <c r="G27" s="201"/>
      <c r="H27" s="201"/>
      <c r="I27" s="201"/>
      <c r="J27" s="201"/>
      <c r="K27" s="24"/>
    </row>
    <row r="28" spans="1:11">
      <c r="A28" s="201" t="s">
        <v>267</v>
      </c>
      <c r="B28" s="201"/>
      <c r="C28" s="201"/>
      <c r="D28" s="201"/>
      <c r="E28" s="201"/>
      <c r="F28" s="201"/>
      <c r="G28" s="201"/>
      <c r="H28" s="201"/>
      <c r="I28" s="201"/>
      <c r="J28" s="201"/>
      <c r="K28" s="24"/>
    </row>
    <row r="29" spans="1:11">
      <c r="A29" s="201" t="s">
        <v>268</v>
      </c>
      <c r="B29" s="201"/>
      <c r="C29" s="201"/>
      <c r="D29" s="201"/>
      <c r="E29" s="201"/>
      <c r="F29" s="201"/>
      <c r="G29" s="201"/>
      <c r="H29" s="201"/>
      <c r="I29" s="201"/>
      <c r="J29" s="201"/>
      <c r="K29" s="24"/>
    </row>
    <row r="30" spans="1:11">
      <c r="A30" s="201" t="s">
        <v>269</v>
      </c>
      <c r="B30" s="201"/>
      <c r="C30" s="201"/>
      <c r="D30" s="201"/>
      <c r="E30" s="201"/>
      <c r="F30" s="201"/>
      <c r="G30" s="201"/>
      <c r="H30" s="201"/>
      <c r="I30" s="201"/>
      <c r="J30" s="201"/>
      <c r="K30" s="24"/>
    </row>
    <row r="31" spans="1:11">
      <c r="A31" s="201" t="s">
        <v>270</v>
      </c>
      <c r="B31" s="201"/>
      <c r="C31" s="201"/>
      <c r="D31" s="201"/>
      <c r="E31" s="201"/>
      <c r="F31" s="201"/>
      <c r="G31" s="201"/>
      <c r="H31" s="201"/>
      <c r="I31" s="201"/>
      <c r="J31" s="201"/>
      <c r="K31" s="24"/>
    </row>
    <row r="32" spans="1:11">
      <c r="A32" s="201" t="s">
        <v>271</v>
      </c>
      <c r="B32" s="201"/>
      <c r="C32" s="201"/>
      <c r="D32" s="201"/>
      <c r="E32" s="201"/>
      <c r="F32" s="201"/>
      <c r="G32" s="201"/>
      <c r="H32" s="201"/>
      <c r="I32" s="201"/>
      <c r="J32" s="201"/>
      <c r="K32" s="24"/>
    </row>
    <row r="33" spans="1:11">
      <c r="A33" s="201" t="s">
        <v>272</v>
      </c>
      <c r="B33" s="201"/>
      <c r="C33" s="201"/>
      <c r="D33" s="201"/>
      <c r="E33" s="201"/>
      <c r="F33" s="201"/>
      <c r="G33" s="201"/>
      <c r="H33" s="201"/>
      <c r="I33" s="201"/>
      <c r="J33" s="201"/>
      <c r="K33" s="24"/>
    </row>
    <row r="34" spans="1:11">
      <c r="A34" s="201" t="s">
        <v>273</v>
      </c>
      <c r="B34" s="201"/>
      <c r="C34" s="201"/>
      <c r="D34" s="201"/>
      <c r="E34" s="201"/>
      <c r="F34" s="201"/>
      <c r="G34" s="201"/>
      <c r="H34" s="201"/>
      <c r="I34" s="201"/>
      <c r="J34" s="201"/>
      <c r="K34" s="24"/>
    </row>
    <row r="35" spans="1:11">
      <c r="A35" s="201" t="s">
        <v>274</v>
      </c>
      <c r="B35" s="201"/>
      <c r="C35" s="201"/>
      <c r="D35" s="201"/>
      <c r="E35" s="201"/>
      <c r="F35" s="201"/>
      <c r="G35" s="201"/>
      <c r="H35" s="201"/>
      <c r="I35" s="201"/>
      <c r="J35" s="201"/>
      <c r="K35" s="24"/>
    </row>
    <row r="36" spans="1:11">
      <c r="A36" s="201" t="s">
        <v>275</v>
      </c>
      <c r="B36" s="201"/>
      <c r="C36" s="201"/>
      <c r="D36" s="201"/>
      <c r="E36" s="201"/>
      <c r="F36" s="201"/>
      <c r="G36" s="201"/>
      <c r="H36" s="201"/>
      <c r="I36" s="201"/>
      <c r="J36" s="201"/>
      <c r="K36" s="24"/>
    </row>
    <row r="37" spans="1:11">
      <c r="A37" s="201" t="s">
        <v>276</v>
      </c>
      <c r="B37" s="201"/>
      <c r="C37" s="201"/>
      <c r="D37" s="201"/>
      <c r="E37" s="201"/>
      <c r="F37" s="201"/>
      <c r="G37" s="201"/>
      <c r="H37" s="201"/>
      <c r="I37" s="201"/>
      <c r="J37" s="201"/>
      <c r="K37" s="24"/>
    </row>
    <row r="38" spans="1:11">
      <c r="A38" s="201" t="s">
        <v>277</v>
      </c>
      <c r="B38" s="201"/>
      <c r="C38" s="201"/>
      <c r="D38" s="201"/>
      <c r="E38" s="201"/>
      <c r="F38" s="201"/>
      <c r="G38" s="201"/>
      <c r="H38" s="201"/>
      <c r="I38" s="201"/>
      <c r="J38" s="201"/>
      <c r="K38" s="24"/>
    </row>
    <row r="39" spans="1:11">
      <c r="A39" s="201" t="s">
        <v>278</v>
      </c>
      <c r="B39" s="201"/>
      <c r="C39" s="201"/>
      <c r="D39" s="201"/>
      <c r="E39" s="201"/>
      <c r="F39" s="201"/>
      <c r="G39" s="201"/>
      <c r="H39" s="201"/>
      <c r="I39" s="201"/>
      <c r="J39" s="201"/>
      <c r="K39" s="24"/>
    </row>
    <row r="40" spans="1:11">
      <c r="A40" s="201" t="s">
        <v>279</v>
      </c>
      <c r="B40" s="201"/>
      <c r="C40" s="201"/>
      <c r="D40" s="201"/>
      <c r="E40" s="201"/>
      <c r="F40" s="201"/>
      <c r="G40" s="201"/>
      <c r="H40" s="201"/>
      <c r="I40" s="201"/>
      <c r="J40" s="201"/>
      <c r="K40" s="24"/>
    </row>
    <row r="41" spans="1:11">
      <c r="A41" s="201" t="s">
        <v>340</v>
      </c>
      <c r="B41" s="201"/>
      <c r="C41" s="201"/>
      <c r="D41" s="201"/>
      <c r="E41" s="201"/>
      <c r="F41" s="201"/>
      <c r="G41" s="201"/>
      <c r="H41" s="201"/>
      <c r="I41" s="201"/>
      <c r="J41" s="201"/>
      <c r="K41" s="24"/>
    </row>
    <row r="42" spans="1:11">
      <c r="A42" s="201" t="s">
        <v>280</v>
      </c>
      <c r="B42" s="201"/>
      <c r="C42" s="201"/>
      <c r="D42" s="201"/>
      <c r="E42" s="201"/>
      <c r="F42" s="201"/>
      <c r="G42" s="201"/>
      <c r="H42" s="201"/>
      <c r="I42" s="201"/>
      <c r="J42" s="201"/>
      <c r="K42" s="24"/>
    </row>
    <row r="43" spans="1:11">
      <c r="A43" s="214" t="s">
        <v>281</v>
      </c>
      <c r="B43" s="201"/>
      <c r="C43" s="201"/>
      <c r="D43" s="201"/>
      <c r="E43" s="201"/>
      <c r="F43" s="201"/>
      <c r="G43" s="201"/>
      <c r="H43" s="201"/>
      <c r="I43" s="201"/>
      <c r="J43" s="201"/>
      <c r="K43" s="24"/>
    </row>
    <row r="44" spans="1:11">
      <c r="A44" s="215" t="s">
        <v>282</v>
      </c>
      <c r="B44" s="201" t="s">
        <v>283</v>
      </c>
      <c r="C44" s="201"/>
      <c r="D44" s="201"/>
      <c r="E44" s="201"/>
      <c r="F44" s="201"/>
      <c r="G44" s="201"/>
      <c r="H44" s="201"/>
      <c r="I44" s="201"/>
      <c r="J44" s="201"/>
      <c r="K44" s="24"/>
    </row>
    <row r="45" spans="1:11">
      <c r="A45" s="215" t="s">
        <v>284</v>
      </c>
      <c r="B45" s="214" t="s">
        <v>285</v>
      </c>
      <c r="C45" s="201"/>
      <c r="D45" s="201"/>
      <c r="E45" s="201"/>
      <c r="F45" s="201"/>
      <c r="G45" s="201"/>
      <c r="H45" s="201"/>
      <c r="I45" s="201"/>
      <c r="J45" s="201"/>
      <c r="K45" s="24"/>
    </row>
    <row r="46" spans="1:11">
      <c r="A46" s="215" t="s">
        <v>286</v>
      </c>
      <c r="B46" s="214" t="s">
        <v>287</v>
      </c>
      <c r="C46" s="201"/>
      <c r="D46" s="201"/>
      <c r="E46" s="201"/>
      <c r="F46" s="201"/>
      <c r="G46" s="201"/>
      <c r="H46" s="201"/>
      <c r="I46" s="201"/>
      <c r="J46" s="201"/>
      <c r="K46" s="24"/>
    </row>
    <row r="47" spans="1:11">
      <c r="A47" s="216" t="s">
        <v>288</v>
      </c>
      <c r="B47" s="201" t="s">
        <v>289</v>
      </c>
      <c r="C47" s="214"/>
      <c r="D47" s="214"/>
      <c r="E47" s="214"/>
      <c r="F47" s="214"/>
      <c r="G47" s="214"/>
      <c r="H47" s="214"/>
      <c r="I47" s="214"/>
      <c r="J47" s="214"/>
      <c r="K47" s="24"/>
    </row>
    <row r="48" spans="1:11">
      <c r="A48" s="201" t="s">
        <v>341</v>
      </c>
      <c r="B48" s="201"/>
      <c r="C48" s="201"/>
      <c r="D48" s="201"/>
      <c r="E48" s="201"/>
      <c r="F48" s="201"/>
      <c r="G48" s="201"/>
      <c r="H48" s="201"/>
      <c r="I48" s="201"/>
      <c r="J48" s="201"/>
      <c r="K48" s="24"/>
    </row>
    <row r="49" spans="1:11">
      <c r="A49" s="201" t="s">
        <v>290</v>
      </c>
      <c r="B49" s="201"/>
      <c r="C49" s="201"/>
      <c r="D49" s="201"/>
      <c r="E49" s="201"/>
      <c r="F49" s="201"/>
      <c r="G49" s="201"/>
      <c r="H49" s="201"/>
      <c r="I49" s="201"/>
      <c r="J49" s="201"/>
      <c r="K49" s="24"/>
    </row>
    <row r="50" spans="1:11">
      <c r="A50" s="201" t="s">
        <v>291</v>
      </c>
      <c r="B50" s="201"/>
      <c r="C50" s="201"/>
      <c r="D50" s="201"/>
      <c r="E50" s="201"/>
      <c r="F50" s="201"/>
      <c r="G50" s="201"/>
      <c r="H50" s="201"/>
      <c r="I50" s="201"/>
      <c r="J50" s="201"/>
      <c r="K50" s="24"/>
    </row>
    <row r="51" spans="1:11">
      <c r="A51" s="201" t="s">
        <v>292</v>
      </c>
      <c r="B51" s="201"/>
      <c r="C51" s="201"/>
      <c r="D51" s="201"/>
      <c r="E51" s="201"/>
      <c r="F51" s="201"/>
      <c r="G51" s="201"/>
      <c r="H51" s="201"/>
      <c r="I51" s="201"/>
      <c r="J51" s="201"/>
      <c r="K51" s="24"/>
    </row>
    <row r="52" spans="1:11">
      <c r="A52" s="201" t="s">
        <v>342</v>
      </c>
      <c r="B52" s="201"/>
      <c r="C52" s="201"/>
      <c r="D52" s="201"/>
      <c r="E52" s="201"/>
      <c r="F52" s="201"/>
      <c r="G52" s="201"/>
      <c r="H52" s="201"/>
      <c r="I52" s="201"/>
      <c r="J52" s="201"/>
      <c r="K52" s="24"/>
    </row>
    <row r="53" spans="1:11">
      <c r="A53" s="201" t="s">
        <v>293</v>
      </c>
      <c r="B53" s="201"/>
      <c r="C53" s="201"/>
      <c r="D53" s="201"/>
      <c r="E53" s="201"/>
      <c r="F53" s="201"/>
      <c r="G53" s="201"/>
      <c r="H53" s="201"/>
      <c r="I53" s="201"/>
      <c r="J53" s="201"/>
      <c r="K53" s="24"/>
    </row>
    <row r="54" spans="1:11">
      <c r="A54" s="214" t="s">
        <v>281</v>
      </c>
      <c r="B54" s="201"/>
      <c r="C54" s="201"/>
      <c r="D54" s="201"/>
      <c r="E54" s="201"/>
      <c r="F54" s="201"/>
      <c r="G54" s="201"/>
      <c r="H54" s="201"/>
      <c r="I54" s="201"/>
      <c r="J54" s="201"/>
      <c r="K54" s="24"/>
    </row>
    <row r="55" spans="1:11">
      <c r="A55" s="215" t="s">
        <v>282</v>
      </c>
      <c r="B55" s="201" t="s">
        <v>294</v>
      </c>
      <c r="C55" s="201"/>
      <c r="D55" s="201"/>
      <c r="E55" s="201"/>
      <c r="F55" s="201"/>
      <c r="G55" s="201"/>
      <c r="H55" s="201"/>
      <c r="I55" s="201"/>
      <c r="J55" s="201"/>
      <c r="K55" s="24"/>
    </row>
    <row r="56" spans="1:11">
      <c r="A56" s="215" t="s">
        <v>284</v>
      </c>
      <c r="B56" s="214" t="s">
        <v>295</v>
      </c>
      <c r="C56" s="201"/>
      <c r="D56" s="201"/>
      <c r="E56" s="201"/>
      <c r="F56" s="201"/>
      <c r="G56" s="201"/>
      <c r="H56" s="201"/>
      <c r="I56" s="201"/>
      <c r="J56" s="201"/>
      <c r="K56" s="24"/>
    </row>
    <row r="57" spans="1:11">
      <c r="A57" s="215" t="s">
        <v>286</v>
      </c>
      <c r="B57" s="214" t="s">
        <v>296</v>
      </c>
      <c r="C57" s="201"/>
      <c r="D57" s="201"/>
      <c r="E57" s="201"/>
      <c r="F57" s="201"/>
      <c r="G57" s="201"/>
      <c r="H57" s="201"/>
      <c r="I57" s="201"/>
      <c r="J57" s="201"/>
      <c r="K57" s="24"/>
    </row>
    <row r="58" spans="1:11">
      <c r="A58" s="216" t="s">
        <v>288</v>
      </c>
      <c r="B58" s="201" t="s">
        <v>297</v>
      </c>
      <c r="C58" s="201"/>
      <c r="D58" s="201"/>
      <c r="E58" s="201"/>
      <c r="F58" s="201"/>
      <c r="G58" s="201"/>
      <c r="H58" s="201"/>
      <c r="I58" s="201"/>
      <c r="J58" s="201"/>
      <c r="K58" s="24"/>
    </row>
    <row r="59" spans="1:11">
      <c r="A59" s="201" t="s">
        <v>5</v>
      </c>
      <c r="B59" s="201"/>
      <c r="C59" s="201"/>
      <c r="D59" s="201"/>
      <c r="E59" s="201"/>
      <c r="F59" s="201"/>
      <c r="G59" s="201"/>
      <c r="H59" s="201"/>
      <c r="I59" s="201"/>
      <c r="J59" s="201"/>
      <c r="K59" s="24"/>
    </row>
    <row r="60" spans="1:11">
      <c r="A60" s="201" t="s">
        <v>6</v>
      </c>
      <c r="B60" s="201"/>
      <c r="C60" s="201"/>
      <c r="D60" s="201"/>
      <c r="E60" s="201"/>
      <c r="F60" s="201"/>
      <c r="G60" s="201"/>
      <c r="H60" s="201"/>
      <c r="I60" s="201"/>
      <c r="J60" s="201"/>
      <c r="K60" s="24"/>
    </row>
    <row r="61" spans="1:11">
      <c r="A61" s="201" t="s">
        <v>7</v>
      </c>
      <c r="B61" s="201"/>
      <c r="C61" s="201"/>
      <c r="D61" s="201"/>
      <c r="E61" s="201"/>
      <c r="F61" s="201"/>
      <c r="G61" s="201"/>
      <c r="H61" s="201"/>
      <c r="I61" s="201"/>
      <c r="J61" s="201"/>
      <c r="K61" s="24"/>
    </row>
    <row r="62" spans="1:11">
      <c r="A62" s="201" t="s">
        <v>8</v>
      </c>
      <c r="B62" s="201"/>
      <c r="C62" s="201"/>
      <c r="D62" s="201"/>
      <c r="E62" s="201"/>
      <c r="F62" s="201"/>
      <c r="G62" s="201"/>
      <c r="H62" s="201"/>
      <c r="I62" s="201"/>
      <c r="J62" s="201"/>
      <c r="K62" s="24"/>
    </row>
    <row r="63" spans="1:11">
      <c r="A63" s="201" t="s">
        <v>9</v>
      </c>
      <c r="B63" s="24"/>
      <c r="C63" s="24"/>
      <c r="D63" s="24"/>
      <c r="E63" s="24"/>
      <c r="F63" s="24"/>
      <c r="G63" s="24"/>
      <c r="H63" s="24"/>
      <c r="I63" s="24"/>
      <c r="J63" s="24"/>
      <c r="K63" s="24"/>
    </row>
    <row r="64" spans="1:11">
      <c r="A64" s="201" t="s">
        <v>298</v>
      </c>
      <c r="B64" s="201"/>
      <c r="C64" s="201"/>
      <c r="D64" s="201"/>
      <c r="E64" s="201"/>
      <c r="F64" s="201"/>
      <c r="G64" s="201"/>
      <c r="H64" s="201"/>
      <c r="I64" s="201"/>
      <c r="J64" s="201"/>
      <c r="K64" s="24"/>
    </row>
    <row r="65" spans="1:11">
      <c r="A65" s="201" t="s">
        <v>299</v>
      </c>
      <c r="B65" s="201"/>
      <c r="C65" s="201"/>
      <c r="D65" s="201"/>
      <c r="E65" s="201"/>
      <c r="F65" s="201"/>
      <c r="G65" s="201"/>
      <c r="H65" s="201"/>
      <c r="I65" s="201"/>
      <c r="J65" s="201"/>
      <c r="K65" s="24"/>
    </row>
    <row r="66" spans="1:11">
      <c r="A66" s="201" t="s">
        <v>300</v>
      </c>
      <c r="B66" s="201"/>
      <c r="C66" s="201"/>
      <c r="D66" s="201"/>
      <c r="E66" s="201"/>
      <c r="F66" s="201"/>
      <c r="G66" s="201"/>
      <c r="H66" s="201"/>
      <c r="I66" s="201"/>
      <c r="J66" s="201"/>
      <c r="K66" s="24"/>
    </row>
    <row r="67" spans="1:11">
      <c r="A67" s="201" t="s">
        <v>301</v>
      </c>
      <c r="B67" s="201"/>
      <c r="C67" s="201"/>
      <c r="D67" s="201"/>
      <c r="E67" s="201"/>
      <c r="F67" s="201"/>
      <c r="G67" s="201"/>
      <c r="H67" s="201"/>
      <c r="I67" s="201"/>
      <c r="J67" s="201"/>
      <c r="K67" s="24"/>
    </row>
    <row r="68" spans="1:11">
      <c r="A68" s="201" t="s">
        <v>302</v>
      </c>
      <c r="B68" s="201"/>
      <c r="C68" s="201"/>
      <c r="D68" s="201"/>
      <c r="E68" s="201"/>
      <c r="F68" s="201"/>
      <c r="G68" s="201"/>
      <c r="H68" s="201"/>
      <c r="I68" s="201"/>
      <c r="J68" s="201"/>
      <c r="K68" s="24"/>
    </row>
    <row r="69" spans="1:11">
      <c r="A69" s="201" t="s">
        <v>303</v>
      </c>
      <c r="B69" s="201"/>
      <c r="C69" s="201"/>
      <c r="D69" s="201"/>
      <c r="E69" s="201"/>
      <c r="F69" s="201"/>
      <c r="G69" s="201"/>
      <c r="H69" s="201"/>
      <c r="I69" s="201"/>
      <c r="J69" s="201"/>
      <c r="K69" s="24"/>
    </row>
    <row r="70" spans="1:11">
      <c r="A70" s="201" t="s">
        <v>304</v>
      </c>
      <c r="K70" s="24"/>
    </row>
    <row r="71" spans="1:11">
      <c r="A71" s="216" t="s">
        <v>305</v>
      </c>
      <c r="B71" s="217" t="s">
        <v>306</v>
      </c>
      <c r="C71" s="201"/>
      <c r="D71" s="216" t="s">
        <v>307</v>
      </c>
      <c r="E71" s="217" t="s">
        <v>308</v>
      </c>
      <c r="F71" s="201"/>
      <c r="G71" s="201"/>
      <c r="H71" s="201"/>
      <c r="I71" s="201"/>
      <c r="J71" s="201"/>
      <c r="K71" s="24"/>
    </row>
    <row r="72" spans="1:11">
      <c r="A72" s="216" t="s">
        <v>309</v>
      </c>
      <c r="B72" s="201" t="s">
        <v>310</v>
      </c>
      <c r="C72" s="201"/>
      <c r="D72" s="216" t="s">
        <v>311</v>
      </c>
      <c r="E72" s="201" t="s">
        <v>312</v>
      </c>
      <c r="F72" s="201"/>
      <c r="G72" s="201"/>
      <c r="H72" s="201"/>
      <c r="I72" s="201"/>
      <c r="J72" s="201"/>
      <c r="K72" s="24"/>
    </row>
    <row r="73" spans="1:11">
      <c r="A73" s="214" t="s">
        <v>313</v>
      </c>
      <c r="B73" s="201"/>
      <c r="C73" s="201"/>
      <c r="D73" s="216"/>
      <c r="E73" s="201"/>
      <c r="F73" s="201"/>
      <c r="G73" s="201"/>
      <c r="H73" s="201"/>
      <c r="I73" s="201"/>
      <c r="J73" s="201"/>
      <c r="K73" s="24"/>
    </row>
    <row r="74" spans="1:11">
      <c r="A74" s="214" t="s">
        <v>314</v>
      </c>
      <c r="B74" s="201"/>
      <c r="C74" s="201"/>
      <c r="D74" s="201"/>
      <c r="E74" s="201"/>
      <c r="F74" s="201"/>
      <c r="G74" s="201"/>
      <c r="H74" s="201"/>
      <c r="I74" s="201"/>
      <c r="J74" s="201"/>
      <c r="K74" s="24"/>
    </row>
    <row r="75" spans="1:11">
      <c r="A75" s="214" t="s">
        <v>315</v>
      </c>
      <c r="B75" s="201"/>
      <c r="C75" s="201"/>
      <c r="D75" s="201"/>
      <c r="E75" s="201"/>
      <c r="F75" s="201"/>
      <c r="G75" s="201"/>
      <c r="H75" s="201"/>
      <c r="I75" s="201"/>
      <c r="J75" s="201"/>
      <c r="K75" s="24"/>
    </row>
    <row r="76" spans="1:11">
      <c r="A76" s="214" t="s">
        <v>316</v>
      </c>
      <c r="B76" s="201"/>
      <c r="C76" s="201"/>
      <c r="D76" s="201"/>
      <c r="E76" s="201"/>
      <c r="F76" s="201"/>
      <c r="G76" s="201"/>
      <c r="H76" s="201"/>
      <c r="I76" s="201"/>
      <c r="J76" s="201"/>
      <c r="K76" s="24"/>
    </row>
    <row r="77" spans="1:11">
      <c r="A77" s="214" t="s">
        <v>317</v>
      </c>
      <c r="B77" s="201"/>
      <c r="C77" s="201"/>
      <c r="D77" s="201"/>
      <c r="E77" s="201"/>
      <c r="F77" s="201"/>
      <c r="G77" s="201"/>
      <c r="H77" s="201"/>
      <c r="I77" s="201"/>
      <c r="J77" s="201"/>
      <c r="K77" s="24"/>
    </row>
    <row r="78" spans="1:11">
      <c r="A78" s="214" t="s">
        <v>318</v>
      </c>
      <c r="B78" s="24"/>
      <c r="C78" s="24"/>
      <c r="D78" s="24"/>
      <c r="E78" s="24"/>
      <c r="F78" s="24"/>
      <c r="G78" s="24"/>
      <c r="H78" s="24"/>
      <c r="I78" s="24"/>
      <c r="J78" s="24"/>
      <c r="K78" s="24"/>
    </row>
    <row r="79" spans="1:11">
      <c r="A79" s="214" t="s">
        <v>347</v>
      </c>
      <c r="B79" s="201"/>
      <c r="C79" s="201"/>
      <c r="D79" s="201"/>
      <c r="E79" s="201"/>
      <c r="F79" s="201"/>
      <c r="G79" s="201"/>
      <c r="H79" s="201"/>
      <c r="I79" s="201"/>
      <c r="J79" s="201"/>
      <c r="K79" s="24"/>
    </row>
    <row r="80" spans="1:11">
      <c r="A80" s="214" t="s">
        <v>352</v>
      </c>
      <c r="B80" s="201"/>
      <c r="C80" s="201"/>
      <c r="D80" s="201"/>
      <c r="E80" s="201"/>
      <c r="F80" s="201"/>
      <c r="G80" s="201"/>
      <c r="H80" s="201"/>
      <c r="I80" s="201"/>
      <c r="J80" s="201"/>
      <c r="K80" s="24"/>
    </row>
    <row r="81" spans="1:11">
      <c r="A81" s="214" t="s">
        <v>358</v>
      </c>
      <c r="B81" s="201"/>
      <c r="C81" s="201"/>
      <c r="D81" s="201"/>
      <c r="E81" s="201"/>
      <c r="F81" s="201"/>
      <c r="G81" s="201"/>
      <c r="H81" s="201"/>
      <c r="I81" s="201"/>
      <c r="J81" s="201"/>
      <c r="K81" s="24"/>
    </row>
    <row r="82" spans="1:11">
      <c r="A82" s="214" t="s">
        <v>359</v>
      </c>
      <c r="B82" s="201"/>
      <c r="K82" s="24"/>
    </row>
    <row r="83" spans="1:11">
      <c r="A83" s="214" t="s">
        <v>353</v>
      </c>
      <c r="B83" s="201"/>
      <c r="C83" s="201"/>
      <c r="D83" s="201"/>
      <c r="E83" s="201"/>
      <c r="F83" s="201"/>
      <c r="G83" s="201"/>
      <c r="H83" s="201"/>
      <c r="I83" s="201"/>
      <c r="J83" s="201"/>
      <c r="K83" s="24"/>
    </row>
    <row r="84" spans="1:11">
      <c r="A84" s="214" t="s">
        <v>354</v>
      </c>
      <c r="B84" s="201"/>
      <c r="K84" s="24"/>
    </row>
    <row r="85" spans="1:11">
      <c r="A85" s="214" t="s">
        <v>355</v>
      </c>
      <c r="B85" s="201"/>
      <c r="K85" s="24"/>
    </row>
    <row r="86" spans="1:11">
      <c r="A86" s="214" t="s">
        <v>356</v>
      </c>
      <c r="B86" s="201"/>
      <c r="C86" s="201"/>
      <c r="D86" s="201"/>
      <c r="E86" s="201"/>
      <c r="F86" s="201"/>
      <c r="G86" s="201"/>
      <c r="H86" s="201"/>
      <c r="I86" s="201"/>
      <c r="J86" s="201"/>
      <c r="K86" s="24"/>
    </row>
    <row r="87" spans="1:11">
      <c r="A87" s="214" t="s">
        <v>357</v>
      </c>
      <c r="B87" s="201"/>
      <c r="C87" s="201"/>
      <c r="D87" s="201"/>
      <c r="E87" s="201"/>
      <c r="F87" s="201"/>
      <c r="G87" s="201"/>
      <c r="H87" s="201"/>
      <c r="I87" s="201"/>
      <c r="J87" s="201"/>
      <c r="K87" s="24"/>
    </row>
    <row r="88" spans="1:11">
      <c r="A88" s="214" t="s">
        <v>12</v>
      </c>
      <c r="D88" s="201"/>
      <c r="E88" s="201"/>
      <c r="F88" s="201"/>
      <c r="G88" s="201"/>
      <c r="H88" s="201"/>
      <c r="I88" s="201"/>
      <c r="J88" s="201"/>
      <c r="K88" s="24"/>
    </row>
    <row r="89" spans="1:11">
      <c r="A89" s="251" t="s">
        <v>10</v>
      </c>
      <c r="K89" s="24"/>
    </row>
    <row r="90" spans="1:11">
      <c r="A90" s="251" t="s">
        <v>11</v>
      </c>
      <c r="K90" s="24"/>
    </row>
    <row r="91" spans="1:11">
      <c r="A91" s="254" t="s">
        <v>0</v>
      </c>
      <c r="B91" s="255"/>
      <c r="C91" s="255"/>
      <c r="D91" s="255"/>
      <c r="E91" s="255"/>
      <c r="F91" s="255"/>
      <c r="G91" s="255"/>
      <c r="H91" s="255"/>
      <c r="I91" s="255"/>
      <c r="J91" s="255"/>
      <c r="K91" s="24"/>
    </row>
    <row r="92" spans="1:11">
      <c r="A92" s="255" t="s">
        <v>360</v>
      </c>
      <c r="B92" s="255"/>
      <c r="C92" s="255"/>
      <c r="D92" s="255"/>
      <c r="E92" s="255"/>
      <c r="F92" s="255"/>
      <c r="G92" s="255"/>
      <c r="H92" s="255"/>
      <c r="I92" s="255"/>
      <c r="J92" s="255"/>
      <c r="K92" s="24"/>
    </row>
    <row r="93" spans="1:11">
      <c r="A93" s="255" t="s">
        <v>2</v>
      </c>
      <c r="B93" s="255"/>
      <c r="C93" s="255"/>
      <c r="D93" s="255"/>
      <c r="E93" s="255"/>
      <c r="F93" s="255"/>
      <c r="G93" s="255"/>
      <c r="H93" s="255"/>
      <c r="I93" s="255"/>
      <c r="J93" s="255"/>
      <c r="K93" s="24"/>
    </row>
    <row r="94" spans="1:11">
      <c r="A94" s="255" t="s">
        <v>361</v>
      </c>
      <c r="B94" s="255"/>
      <c r="C94" s="255"/>
      <c r="D94" s="255"/>
      <c r="E94" s="255"/>
      <c r="F94" s="255"/>
      <c r="G94" s="255"/>
      <c r="H94" s="255"/>
      <c r="I94" s="255"/>
      <c r="J94" s="255"/>
      <c r="K94" s="24"/>
    </row>
    <row r="95" spans="1:11">
      <c r="A95" s="255" t="s">
        <v>362</v>
      </c>
      <c r="B95" s="255"/>
      <c r="C95" s="255"/>
      <c r="D95" s="255"/>
      <c r="E95" s="255"/>
      <c r="F95" s="255"/>
      <c r="G95" s="255"/>
      <c r="H95" s="255"/>
      <c r="I95" s="255"/>
      <c r="J95" s="255"/>
      <c r="K95" s="24"/>
    </row>
    <row r="96" spans="1:11">
      <c r="A96" s="254" t="s">
        <v>3</v>
      </c>
      <c r="K96" s="24"/>
    </row>
    <row r="97" spans="1:11">
      <c r="A97" s="255" t="s">
        <v>4</v>
      </c>
      <c r="K97" s="24"/>
    </row>
    <row r="98" spans="1:11">
      <c r="A98" s="214" t="s">
        <v>1</v>
      </c>
      <c r="H98" s="251"/>
      <c r="I98" s="251"/>
      <c r="K98" s="24"/>
    </row>
    <row r="99" spans="1:11">
      <c r="A99" s="214" t="s">
        <v>319</v>
      </c>
      <c r="H99" s="251"/>
      <c r="I99" s="251"/>
      <c r="K99" s="24"/>
    </row>
    <row r="100" spans="1:11">
      <c r="A100" s="214" t="s">
        <v>320</v>
      </c>
      <c r="H100" s="251"/>
      <c r="I100" s="251"/>
      <c r="K100" s="24"/>
    </row>
    <row r="101" spans="1:11">
      <c r="A101" s="214" t="s">
        <v>321</v>
      </c>
      <c r="K101" s="24"/>
    </row>
    <row r="102" spans="1:11">
      <c r="K102" s="24"/>
    </row>
    <row r="103" spans="1:11">
      <c r="K103" s="24"/>
    </row>
    <row r="104" spans="1:11">
      <c r="K104" s="24"/>
    </row>
    <row r="105" spans="1:11">
      <c r="A105" s="24"/>
      <c r="B105" s="24"/>
      <c r="C105" s="24"/>
      <c r="D105" s="24"/>
      <c r="E105" s="24"/>
      <c r="F105" s="24"/>
      <c r="G105" s="24"/>
      <c r="H105" s="24"/>
      <c r="I105" s="24"/>
      <c r="J105" s="24"/>
      <c r="K105" s="24"/>
    </row>
    <row r="106" spans="1:11">
      <c r="A106" s="24"/>
      <c r="B106" s="24"/>
      <c r="C106" s="24"/>
      <c r="D106" s="24"/>
      <c r="E106" s="24"/>
      <c r="F106" s="24"/>
      <c r="G106" s="24"/>
      <c r="H106" s="24"/>
      <c r="I106" s="24"/>
      <c r="J106" s="24"/>
    </row>
    <row r="107" spans="1:11">
      <c r="A107" s="24"/>
      <c r="B107" s="24"/>
      <c r="C107" s="24"/>
      <c r="D107" s="24"/>
      <c r="E107" s="24"/>
      <c r="F107" s="24"/>
      <c r="G107" s="24"/>
      <c r="H107" s="24"/>
      <c r="I107" s="24"/>
      <c r="J107" s="24"/>
    </row>
  </sheetData>
  <sheetProtection sheet="1" objects="1" scenarios="1"/>
  <phoneticPr fontId="40" type="noConversion"/>
  <pageMargins left="1" right="0.5" top="1" bottom="1" header="0.5" footer="0.5"/>
  <pageSetup scale="98" orientation="portrait" r:id="rId1"/>
  <headerFooter alignWithMargins="0"/>
  <rowBreaks count="1" manualBreakCount="1">
    <brk id="51" max="9" man="1"/>
  </rowBreaks>
</worksheet>
</file>

<file path=xl/worksheets/sheet2.xml><?xml version="1.0" encoding="utf-8"?>
<worksheet xmlns="http://schemas.openxmlformats.org/spreadsheetml/2006/main" xmlns:r="http://schemas.openxmlformats.org/officeDocument/2006/relationships">
  <dimension ref="A1:BP711"/>
  <sheetViews>
    <sheetView zoomScaleNormal="100" workbookViewId="0">
      <selection activeCell="C25" sqref="C25"/>
    </sheetView>
  </sheetViews>
  <sheetFormatPr defaultRowHeight="12.75"/>
  <cols>
    <col min="1" max="1" width="5.28515625" style="57" customWidth="1"/>
    <col min="2" max="2" width="12.7109375" style="57" customWidth="1"/>
    <col min="3" max="3" width="9.5703125" style="57" customWidth="1"/>
    <col min="4" max="4" width="9" style="57" customWidth="1"/>
    <col min="5" max="9" width="9.5703125" style="57" customWidth="1"/>
    <col min="10" max="10" width="9.140625" style="57"/>
    <col min="11" max="11" width="8.140625" style="57" customWidth="1"/>
    <col min="12" max="13" width="8.85546875" style="57" hidden="1" customWidth="1"/>
    <col min="14" max="14" width="9.7109375" style="57" hidden="1" customWidth="1"/>
    <col min="15" max="15" width="8.85546875" style="84" hidden="1" customWidth="1"/>
    <col min="16" max="16" width="8.85546875" style="64" hidden="1" customWidth="1"/>
    <col min="17" max="22" width="8.85546875" style="84" hidden="1" customWidth="1"/>
    <col min="23" max="29" width="8.85546875" style="57" hidden="1" customWidth="1"/>
    <col min="30" max="31" width="13.42578125" style="83" hidden="1" customWidth="1"/>
    <col min="32" max="42" width="13.42578125" style="57" hidden="1" customWidth="1"/>
    <col min="43" max="44" width="8.85546875" style="57" hidden="1" customWidth="1"/>
    <col min="45" max="46" width="11.7109375" style="57" hidden="1" customWidth="1"/>
    <col min="47" max="47" width="4.85546875" style="92" hidden="1" customWidth="1"/>
    <col min="48" max="48" width="4.28515625" style="92" hidden="1" customWidth="1"/>
    <col min="49" max="49" width="4.42578125" style="92" hidden="1" customWidth="1"/>
    <col min="50" max="50" width="5.5703125" style="92" hidden="1" customWidth="1"/>
    <col min="51" max="51" width="9.140625" style="57" customWidth="1"/>
    <col min="52" max="16384" width="9.140625" style="57"/>
  </cols>
  <sheetData>
    <row r="1" spans="1:68" ht="15.75">
      <c r="B1" s="1" t="s">
        <v>371</v>
      </c>
      <c r="C1" s="2"/>
      <c r="D1" s="3"/>
      <c r="E1" s="3"/>
      <c r="F1" s="3"/>
      <c r="G1" s="3"/>
      <c r="H1" s="2"/>
      <c r="I1" s="2"/>
      <c r="J1" s="2"/>
      <c r="K1" s="4"/>
      <c r="L1" s="24"/>
      <c r="N1" s="58"/>
      <c r="O1" s="59" t="s">
        <v>19</v>
      </c>
      <c r="S1" s="59"/>
      <c r="AY1" s="153"/>
    </row>
    <row r="2" spans="1:68">
      <c r="B2" s="5"/>
      <c r="C2" s="6"/>
      <c r="D2" s="7"/>
      <c r="E2" s="6"/>
      <c r="F2" s="6"/>
      <c r="G2" s="6"/>
      <c r="H2" s="8"/>
      <c r="I2" s="8"/>
      <c r="J2" s="8"/>
      <c r="K2" s="9"/>
      <c r="L2" s="24"/>
      <c r="N2" s="58"/>
      <c r="BA2" s="93" t="s">
        <v>162</v>
      </c>
      <c r="BB2" s="94"/>
    </row>
    <row r="3" spans="1:68">
      <c r="B3" s="39"/>
      <c r="C3" s="10"/>
      <c r="D3" s="10"/>
      <c r="E3" s="10"/>
      <c r="F3" s="10"/>
      <c r="G3" s="10"/>
      <c r="H3" s="11"/>
      <c r="I3" s="11"/>
      <c r="J3" s="11"/>
      <c r="K3" s="12"/>
      <c r="L3" s="24"/>
      <c r="M3" s="58">
        <v>1</v>
      </c>
      <c r="O3" s="72" t="s">
        <v>63</v>
      </c>
      <c r="Q3" s="73"/>
      <c r="X3" s="221"/>
      <c r="Y3" s="222" t="s">
        <v>204</v>
      </c>
      <c r="Z3" s="223"/>
      <c r="AA3" s="223"/>
      <c r="AB3" s="223"/>
      <c r="AC3" s="223"/>
      <c r="AD3" s="224"/>
      <c r="AE3" s="224"/>
      <c r="AF3" s="223"/>
      <c r="AG3" s="223"/>
      <c r="AH3" s="223"/>
      <c r="AI3" s="223"/>
      <c r="AJ3" s="223"/>
      <c r="AK3" s="223"/>
      <c r="AL3" s="223"/>
      <c r="AM3" s="223"/>
      <c r="AN3" s="223"/>
      <c r="AO3" s="223"/>
      <c r="AP3" s="223"/>
      <c r="AQ3" s="223"/>
      <c r="AR3" s="223"/>
      <c r="AS3" s="223"/>
      <c r="AT3" s="223"/>
      <c r="AU3" s="225"/>
      <c r="AV3" s="225"/>
      <c r="AW3" s="225"/>
      <c r="AX3" s="226"/>
      <c r="BA3" s="95" t="s">
        <v>163</v>
      </c>
      <c r="BB3" s="95" t="s">
        <v>164</v>
      </c>
      <c r="BK3" s="236"/>
      <c r="BL3" s="247" t="s">
        <v>18</v>
      </c>
      <c r="BM3" s="245"/>
      <c r="BN3" s="245"/>
      <c r="BO3" s="245"/>
      <c r="BP3" s="245"/>
    </row>
    <row r="4" spans="1:68">
      <c r="B4" s="13" t="s">
        <v>20</v>
      </c>
      <c r="C4" s="185"/>
      <c r="D4" s="186"/>
      <c r="E4" s="186"/>
      <c r="F4" s="186"/>
      <c r="G4" s="18" t="s">
        <v>21</v>
      </c>
      <c r="H4" s="187"/>
      <c r="I4" s="14"/>
      <c r="J4" s="14"/>
      <c r="K4" s="191"/>
      <c r="L4" s="67"/>
      <c r="M4" s="58">
        <v>2</v>
      </c>
      <c r="O4" s="74" t="s">
        <v>29</v>
      </c>
      <c r="P4" s="40">
        <f>$BL$4</f>
        <v>0</v>
      </c>
      <c r="Q4" s="75" t="s">
        <v>41</v>
      </c>
      <c r="X4" s="227" t="s">
        <v>157</v>
      </c>
      <c r="Y4" s="228" t="s">
        <v>68</v>
      </c>
      <c r="Z4" s="228" t="s">
        <v>69</v>
      </c>
      <c r="AA4" s="228" t="s">
        <v>70</v>
      </c>
      <c r="AB4" s="228" t="s">
        <v>71</v>
      </c>
      <c r="AC4" s="228" t="s">
        <v>72</v>
      </c>
      <c r="AD4" s="229" t="s">
        <v>73</v>
      </c>
      <c r="AE4" s="229" t="s">
        <v>74</v>
      </c>
      <c r="AF4" s="228" t="s">
        <v>75</v>
      </c>
      <c r="AG4" s="228" t="s">
        <v>76</v>
      </c>
      <c r="AH4" s="228" t="s">
        <v>77</v>
      </c>
      <c r="AI4" s="228" t="s">
        <v>78</v>
      </c>
      <c r="AJ4" s="228" t="s">
        <v>79</v>
      </c>
      <c r="AK4" s="228" t="s">
        <v>80</v>
      </c>
      <c r="AL4" s="228" t="s">
        <v>81</v>
      </c>
      <c r="AM4" s="228" t="s">
        <v>82</v>
      </c>
      <c r="AN4" s="228" t="s">
        <v>83</v>
      </c>
      <c r="AO4" s="228" t="s">
        <v>84</v>
      </c>
      <c r="AP4" s="228" t="s">
        <v>85</v>
      </c>
      <c r="AQ4" s="228" t="s">
        <v>86</v>
      </c>
      <c r="AR4" s="228" t="s">
        <v>87</v>
      </c>
      <c r="AS4" s="228" t="s">
        <v>88</v>
      </c>
      <c r="AT4" s="228" t="s">
        <v>89</v>
      </c>
      <c r="AU4" s="230" t="s">
        <v>90</v>
      </c>
      <c r="AV4" s="230" t="s">
        <v>91</v>
      </c>
      <c r="AW4" s="230" t="s">
        <v>92</v>
      </c>
      <c r="AX4" s="230" t="s">
        <v>93</v>
      </c>
      <c r="BA4" s="16">
        <v>16.5</v>
      </c>
      <c r="BB4" s="96">
        <v>10</v>
      </c>
      <c r="BK4" s="122" t="s">
        <v>43</v>
      </c>
      <c r="BL4" s="231">
        <v>0</v>
      </c>
      <c r="BM4" s="236"/>
      <c r="BN4" s="236"/>
      <c r="BO4" s="236"/>
      <c r="BP4" s="236"/>
    </row>
    <row r="5" spans="1:68">
      <c r="B5" s="13" t="s">
        <v>22</v>
      </c>
      <c r="C5" s="17"/>
      <c r="D5" s="14"/>
      <c r="E5" s="14"/>
      <c r="F5" s="15"/>
      <c r="G5" s="18" t="s">
        <v>23</v>
      </c>
      <c r="H5" s="187"/>
      <c r="I5" s="191"/>
      <c r="J5" s="188" t="s">
        <v>24</v>
      </c>
      <c r="K5" s="141"/>
      <c r="L5" s="67"/>
      <c r="M5" s="58">
        <v>3</v>
      </c>
      <c r="O5" s="74" t="s">
        <v>30</v>
      </c>
      <c r="P5" s="40">
        <f>$BL$5</f>
        <v>0</v>
      </c>
      <c r="Q5" s="75" t="s">
        <v>41</v>
      </c>
      <c r="X5" s="227">
        <v>1</v>
      </c>
      <c r="Y5" s="230" t="str">
        <f ca="1">IF(OR($P$91&lt;=1,$P$91="N.A."),"N.A.",2*$D$11)</f>
        <v>N.A.</v>
      </c>
      <c r="Z5" s="230" t="str">
        <f ca="1">IF(OR($P$91&lt;=1,$P$91="N.A."),"N.A.",2*$D$12)</f>
        <v>N.A.</v>
      </c>
      <c r="AA5" s="230" t="str">
        <f t="shared" ref="AA5:AA34" ca="1" si="0">IF(OR($P$91&lt;=1,$P$91="N.A."),"N.A.",IF((($Z5-$D$12)/$Z5)&lt;0,0,(($Z5-$D$12)/$Z5)))</f>
        <v>N.A.</v>
      </c>
      <c r="AB5" s="230" t="str">
        <f t="shared" ref="AB5:AB34" ca="1" si="1">IF(OR($P$91&lt;=1,$P$91="N.A."),"N.A.",IF((($Y5-$D$11)/$Y5)&lt;0,0,(($Y5-$D$11)/$Y5)))</f>
        <v>N.A.</v>
      </c>
      <c r="AC5" s="230" t="str">
        <f t="shared" ref="AC5:AC34" ca="1" si="2">IF(OR($P$91&lt;=1,$P$91="N.A."),"N.A.",0.5*$Y5*$Z5*(1-$AB5^2-$AA5^2))</f>
        <v>N.A.</v>
      </c>
      <c r="AD5" s="229" t="str">
        <f t="shared" ref="AD5:AD34" ca="1" si="3">IF(OR($P$91&lt;=1,$P$91="N.A."),"N.A.",$Y5*$Z5^2*(1-$AB5^3-$AA5^3-3*$AA5^2*$D$12/$Z5)/6)</f>
        <v>N.A.</v>
      </c>
      <c r="AE5" s="229" t="str">
        <f t="shared" ref="AE5:AE34" ca="1" si="4">IF(OR($P$91&lt;=1,$P$91="N.A."),"N.A.",$Z5*$Y5^2*(1-$AB5^3-$AA5^3-3*$AB5^2*$D$11/$Y5)/6)</f>
        <v>N.A.</v>
      </c>
      <c r="AF5" s="229" t="str">
        <f t="shared" ref="AF5:AF34" ca="1" si="5">IF(OR($P$91&lt;=1,$P$91="N.A."),"N.A.",$Y5*$Z5^3*(1-$AB5^4-$AA5^4-2*$AA5^2*$D$12*(2*$Z5+$D$12)/$Z5^2)/12)</f>
        <v>N.A.</v>
      </c>
      <c r="AG5" s="229" t="str">
        <f t="shared" ref="AG5:AG34" ca="1" si="6">IF(OR($P$91&lt;=1,$P$91="N.A."),"N.A.",$Z5*$Y5^3*(1-$AB5^4-$AA5^4-2*$AB5^2*$D$11*(2*$Y5+$D$11)/$Y5^2)/12)</f>
        <v>N.A.</v>
      </c>
      <c r="AH5" s="230" t="str">
        <f t="shared" ref="AH5:AH34" ca="1" si="7">IF(OR($P$91&lt;=1,$P$91="N.A."),"N.A.",(1-$AB5^4-$AA5^4-4*$AB5^3*$D$11/$Y5-4*$AA5^3*$D$12/$Z5)*$Y5^2*$Z5^2/24)</f>
        <v>N.A.</v>
      </c>
      <c r="AI5" s="230" t="str">
        <f t="shared" ref="AI5:AI34" ca="1" si="8">IF(OR($P$91&lt;=1,$P$91="N.A."),"N.A.",$D$11/2-ABS($P$40))</f>
        <v>N.A.</v>
      </c>
      <c r="AJ5" s="230" t="str">
        <f t="shared" ref="AJ5:AJ34" ca="1" si="9">IF(OR($P$91&lt;=1,$P$91="N.A."),"N.A.",$D$12/2-ABS($P$41))</f>
        <v>N.A.</v>
      </c>
      <c r="AK5" s="230" t="str">
        <f t="shared" ref="AK5:AK34" ca="1" si="10">IF(OR($P$91&lt;=1,$P$91="N.A."),"N.A.",$AH5-$AJ5*$AE5)</f>
        <v>N.A.</v>
      </c>
      <c r="AL5" s="230" t="str">
        <f t="shared" ref="AL5:AL34" ca="1" si="11">IF(OR($P$91&lt;=1,$P$91="N.A."),"N.A.",$AH5-$AI5*$AD5)</f>
        <v>N.A.</v>
      </c>
      <c r="AM5" s="230" t="str">
        <f t="shared" ref="AM5:AM34" ca="1" si="12">IF(OR($P$91&lt;=1,$P$91="N.A."),"N.A.",$AF5-$AJ5*$AD5)</f>
        <v>N.A.</v>
      </c>
      <c r="AN5" s="230" t="str">
        <f t="shared" ref="AN5:AN34" ca="1" si="13">IF(OR($P$91&lt;=1,$P$91="N.A."),"N.A.",$AG5-$AI5*$AE5)</f>
        <v>N.A.</v>
      </c>
      <c r="AO5" s="230" t="str">
        <f t="shared" ref="AO5:AO34" ca="1" si="14">IF(OR($P$91&lt;=1,$P$91="N.A."),"N.A.",$AD5-$AJ5*$AC5)</f>
        <v>N.A.</v>
      </c>
      <c r="AP5" s="230" t="str">
        <f t="shared" ref="AP5:AP34" ca="1" si="15">IF(OR($P$91&lt;=1,$P$91="N.A."),"N.A.",$AE5-$AI5*$AC5)</f>
        <v>N.A.</v>
      </c>
      <c r="AQ5" s="230" t="str">
        <f t="shared" ref="AQ5:AQ34" ca="1" si="16">IF(OR($P$91&lt;=1,$P$91="N.A."),"N.A.",($AK5*$AL5-$AM5*$AN5)/($AL5*$AO5-$AM5*$AP5))</f>
        <v>N.A.</v>
      </c>
      <c r="AR5" s="230" t="str">
        <f t="shared" ref="AR5:AR34" ca="1" si="17">IF(OR($P$91&lt;=1,$P$91="N.A."),"N.A.",($AK5*$AL5-$AM5*$AN5)/($AK5*$AP5-$AN5*$AO5))</f>
        <v>N.A.</v>
      </c>
      <c r="AS5" s="229" t="str">
        <f t="shared" ref="AS5:AS34" ca="1" si="18">IF(OR($P$91&lt;=1,$P$91="N.A."),"N.A.",(IF((10000*$Z5)&gt;=0,((10000*$Z5)-((10000*$Z5)-INT((10000*$Z5)))),-(-(10000*$Z5)-(-(10000*$Z5)-INT(-(10000*$Z5))))))-(IF((10000*$AR5)&gt;=0,((10000*$AR5)-((10000*$AR5)-INT((10000*$AR5)))),-(-(10000*$AR5)-(-(10000*$AR5)-INT(-(10000*$AR5)))))))</f>
        <v>N.A.</v>
      </c>
      <c r="AT5" s="229" t="str">
        <f t="shared" ref="AT5:AT34" ca="1" si="19">IF(OR($P$91&lt;=1,$P$91="N.A."),"N.A.",(IF((10000*$Y5)&gt;=0,((10000*$Y5)-((10000*$Y5)-INT((10000*$Y5)))),-(-(10000*$Y5)-(-(10000*$Y5)-INT(-(10000*$Y5))))))-(IF((10000*$AQ5)&gt;=0,((10000*$AQ5)-((10000*$AQ5)-INT((10000*$AQ5)))),-(-(10000*$AQ5)-(-(10000*$AQ5)-INT(-(10000*$AQ5)))))))</f>
        <v>N.A.</v>
      </c>
      <c r="AU5" s="230" t="str">
        <f t="shared" ref="AU5:AU34" ca="1" si="20">IF(OR($P$91&lt;=1,$P$91="N.A."),"N.A.",IF(OR($AS5=0,$AT5=0),$P$38/($AC5-$AE5/$Y5-$AD5/$Z5),"N.A."))</f>
        <v>N.A.</v>
      </c>
      <c r="AV5" s="230" t="str">
        <f t="shared" ref="AV5:AV34" ca="1" si="21">IF(OR($P$91&lt;=1,$P$91="N.A."),"N.A.",IF(OR($AS5=0,$AT5=0),$AU5*(1-$D$12/$Z5),"N.A."))</f>
        <v>N.A.</v>
      </c>
      <c r="AW5" s="230" t="str">
        <f t="shared" ref="AW5:AW34" ca="1" si="22">IF(OR($P$91&lt;=1,$P$91="N.A."),"N.A.",IF(OR($AS5=0,$AT5=0),$AU5*(1-$D$12/$Z5-$D$11/$Y5),"N.A."))</f>
        <v>N.A.</v>
      </c>
      <c r="AX5" s="230" t="str">
        <f t="shared" ref="AX5:AX34" ca="1" si="23">IF(OR($P$91&lt;=1,$P$91="N.A."),"N.A.",IF(OR($AS5=0,$AT5=0),$AU5*(1-$D$11/$Y5),"N.A."))</f>
        <v>N.A.</v>
      </c>
      <c r="BK5" s="122" t="s">
        <v>44</v>
      </c>
      <c r="BL5" s="231">
        <v>0</v>
      </c>
      <c r="BM5" s="236"/>
      <c r="BN5" s="236"/>
      <c r="BO5" s="236"/>
      <c r="BP5" s="236"/>
    </row>
    <row r="6" spans="1:68">
      <c r="B6" s="19"/>
      <c r="C6" s="20"/>
      <c r="D6" s="20"/>
      <c r="E6" s="20"/>
      <c r="F6" s="20"/>
      <c r="G6" s="20"/>
      <c r="H6" s="192"/>
      <c r="I6" s="193"/>
      <c r="J6" s="195"/>
      <c r="K6" s="194"/>
      <c r="L6" s="24"/>
      <c r="M6" s="58">
        <v>4</v>
      </c>
      <c r="O6" s="63" t="s">
        <v>94</v>
      </c>
      <c r="Q6" s="65"/>
      <c r="R6" s="66"/>
      <c r="S6" s="65"/>
      <c r="T6" s="133"/>
      <c r="U6" s="134"/>
      <c r="V6" s="65"/>
      <c r="X6" s="227">
        <v>2</v>
      </c>
      <c r="Y6" s="230" t="str">
        <f t="shared" ref="Y6:Y34" ca="1" si="24">IF(OR($P$91&lt;=1,$P$91="N.A."),"N.A.",$AQ5)</f>
        <v>N.A.</v>
      </c>
      <c r="Z6" s="230" t="str">
        <f t="shared" ref="Z6:Z34" ca="1" si="25">IF(OR($P$91&lt;=1,$P$91="N.A."),"N.A.",$AR5)</f>
        <v>N.A.</v>
      </c>
      <c r="AA6" s="230" t="str">
        <f t="shared" ca="1" si="0"/>
        <v>N.A.</v>
      </c>
      <c r="AB6" s="230" t="str">
        <f t="shared" ca="1" si="1"/>
        <v>N.A.</v>
      </c>
      <c r="AC6" s="230" t="str">
        <f t="shared" ca="1" si="2"/>
        <v>N.A.</v>
      </c>
      <c r="AD6" s="229" t="str">
        <f t="shared" ca="1" si="3"/>
        <v>N.A.</v>
      </c>
      <c r="AE6" s="229" t="str">
        <f t="shared" ca="1" si="4"/>
        <v>N.A.</v>
      </c>
      <c r="AF6" s="229" t="str">
        <f t="shared" ca="1" si="5"/>
        <v>N.A.</v>
      </c>
      <c r="AG6" s="229" t="str">
        <f t="shared" ca="1" si="6"/>
        <v>N.A.</v>
      </c>
      <c r="AH6" s="230" t="str">
        <f t="shared" ca="1" si="7"/>
        <v>N.A.</v>
      </c>
      <c r="AI6" s="230" t="str">
        <f t="shared" ca="1" si="8"/>
        <v>N.A.</v>
      </c>
      <c r="AJ6" s="230" t="str">
        <f t="shared" ca="1" si="9"/>
        <v>N.A.</v>
      </c>
      <c r="AK6" s="230" t="str">
        <f t="shared" ca="1" si="10"/>
        <v>N.A.</v>
      </c>
      <c r="AL6" s="230" t="str">
        <f t="shared" ca="1" si="11"/>
        <v>N.A.</v>
      </c>
      <c r="AM6" s="230" t="str">
        <f t="shared" ca="1" si="12"/>
        <v>N.A.</v>
      </c>
      <c r="AN6" s="230" t="str">
        <f t="shared" ca="1" si="13"/>
        <v>N.A.</v>
      </c>
      <c r="AO6" s="230" t="str">
        <f t="shared" ca="1" si="14"/>
        <v>N.A.</v>
      </c>
      <c r="AP6" s="230" t="str">
        <f t="shared" ca="1" si="15"/>
        <v>N.A.</v>
      </c>
      <c r="AQ6" s="230" t="str">
        <f t="shared" ca="1" si="16"/>
        <v>N.A.</v>
      </c>
      <c r="AR6" s="230" t="str">
        <f t="shared" ca="1" si="17"/>
        <v>N.A.</v>
      </c>
      <c r="AS6" s="229" t="str">
        <f t="shared" ca="1" si="18"/>
        <v>N.A.</v>
      </c>
      <c r="AT6" s="229" t="str">
        <f t="shared" ca="1" si="19"/>
        <v>N.A.</v>
      </c>
      <c r="AU6" s="230" t="str">
        <f t="shared" ca="1" si="20"/>
        <v>N.A.</v>
      </c>
      <c r="AV6" s="230" t="str">
        <f t="shared" ca="1" si="21"/>
        <v>N.A.</v>
      </c>
      <c r="AW6" s="230" t="str">
        <f t="shared" ca="1" si="22"/>
        <v>N.A.</v>
      </c>
      <c r="AX6" s="230" t="str">
        <f t="shared" ca="1" si="23"/>
        <v>N.A.</v>
      </c>
      <c r="BK6" s="122" t="s">
        <v>45</v>
      </c>
      <c r="BL6" s="231">
        <f ca="1">$BL$4-$D$11/2</f>
        <v>-4.5</v>
      </c>
      <c r="BM6" s="231">
        <f ca="1">$BL$4+$D$11/2</f>
        <v>4.5</v>
      </c>
      <c r="BN6" s="231">
        <f ca="1">$BL$4+$D$11/2</f>
        <v>4.5</v>
      </c>
      <c r="BO6" s="231">
        <f ca="1">$BL$4-$D$11/2</f>
        <v>-4.5</v>
      </c>
      <c r="BP6" s="231">
        <f ca="1">$BL$4-$D$11/2</f>
        <v>-4.5</v>
      </c>
    </row>
    <row r="7" spans="1:68">
      <c r="B7" s="21" t="s">
        <v>25</v>
      </c>
      <c r="C7" s="20"/>
      <c r="D7" s="20"/>
      <c r="E7" s="20"/>
      <c r="F7" s="218"/>
      <c r="G7" s="218"/>
      <c r="H7" s="258"/>
      <c r="I7" s="20"/>
      <c r="J7" s="20"/>
      <c r="K7" s="194"/>
      <c r="L7" s="24"/>
      <c r="M7" s="58">
        <v>5</v>
      </c>
      <c r="O7" s="68" t="s">
        <v>102</v>
      </c>
      <c r="P7" s="33">
        <f ca="1">($D$11*$D$12*$D$13)*$D$14</f>
        <v>8.9977499999999999</v>
      </c>
      <c r="Q7" s="69" t="s">
        <v>66</v>
      </c>
      <c r="R7" s="69" t="s">
        <v>189</v>
      </c>
      <c r="S7" s="53"/>
      <c r="T7" s="53"/>
      <c r="W7" s="70"/>
      <c r="X7" s="227">
        <v>3</v>
      </c>
      <c r="Y7" s="230" t="str">
        <f t="shared" ca="1" si="24"/>
        <v>N.A.</v>
      </c>
      <c r="Z7" s="230" t="str">
        <f t="shared" ca="1" si="25"/>
        <v>N.A.</v>
      </c>
      <c r="AA7" s="230" t="str">
        <f t="shared" ca="1" si="0"/>
        <v>N.A.</v>
      </c>
      <c r="AB7" s="230" t="str">
        <f t="shared" ca="1" si="1"/>
        <v>N.A.</v>
      </c>
      <c r="AC7" s="230" t="str">
        <f t="shared" ca="1" si="2"/>
        <v>N.A.</v>
      </c>
      <c r="AD7" s="229" t="str">
        <f t="shared" ca="1" si="3"/>
        <v>N.A.</v>
      </c>
      <c r="AE7" s="229" t="str">
        <f t="shared" ca="1" si="4"/>
        <v>N.A.</v>
      </c>
      <c r="AF7" s="229" t="str">
        <f t="shared" ca="1" si="5"/>
        <v>N.A.</v>
      </c>
      <c r="AG7" s="229" t="str">
        <f t="shared" ca="1" si="6"/>
        <v>N.A.</v>
      </c>
      <c r="AH7" s="230" t="str">
        <f t="shared" ca="1" si="7"/>
        <v>N.A.</v>
      </c>
      <c r="AI7" s="230" t="str">
        <f t="shared" ca="1" si="8"/>
        <v>N.A.</v>
      </c>
      <c r="AJ7" s="230" t="str">
        <f t="shared" ca="1" si="9"/>
        <v>N.A.</v>
      </c>
      <c r="AK7" s="230" t="str">
        <f t="shared" ca="1" si="10"/>
        <v>N.A.</v>
      </c>
      <c r="AL7" s="230" t="str">
        <f t="shared" ca="1" si="11"/>
        <v>N.A.</v>
      </c>
      <c r="AM7" s="230" t="str">
        <f t="shared" ca="1" si="12"/>
        <v>N.A.</v>
      </c>
      <c r="AN7" s="230" t="str">
        <f t="shared" ca="1" si="13"/>
        <v>N.A.</v>
      </c>
      <c r="AO7" s="230" t="str">
        <f t="shared" ca="1" si="14"/>
        <v>N.A.</v>
      </c>
      <c r="AP7" s="230" t="str">
        <f t="shared" ca="1" si="15"/>
        <v>N.A.</v>
      </c>
      <c r="AQ7" s="230" t="str">
        <f t="shared" ca="1" si="16"/>
        <v>N.A.</v>
      </c>
      <c r="AR7" s="230" t="str">
        <f t="shared" ca="1" si="17"/>
        <v>N.A.</v>
      </c>
      <c r="AS7" s="229" t="str">
        <f t="shared" ca="1" si="18"/>
        <v>N.A.</v>
      </c>
      <c r="AT7" s="229" t="str">
        <f t="shared" ca="1" si="19"/>
        <v>N.A.</v>
      </c>
      <c r="AU7" s="230" t="str">
        <f t="shared" ca="1" si="20"/>
        <v>N.A.</v>
      </c>
      <c r="AV7" s="230" t="str">
        <f t="shared" ca="1" si="21"/>
        <v>N.A.</v>
      </c>
      <c r="AW7" s="230" t="str">
        <f t="shared" ca="1" si="22"/>
        <v>N.A.</v>
      </c>
      <c r="AX7" s="230" t="str">
        <f t="shared" ca="1" si="23"/>
        <v>N.A.</v>
      </c>
      <c r="AZ7" s="183" t="s">
        <v>227</v>
      </c>
      <c r="BA7" s="165" t="s">
        <v>233</v>
      </c>
      <c r="BB7" s="165"/>
      <c r="BC7" s="165"/>
      <c r="BD7" s="165"/>
      <c r="BE7" s="165"/>
      <c r="BF7" s="165"/>
      <c r="BG7" s="165"/>
      <c r="BH7" s="166"/>
      <c r="BK7" s="122" t="s">
        <v>46</v>
      </c>
      <c r="BL7" s="231">
        <f ca="1">$BL$5+$D$12/2</f>
        <v>2.5</v>
      </c>
      <c r="BM7" s="231">
        <f ca="1">$BL$5+$D$12/2</f>
        <v>2.5</v>
      </c>
      <c r="BN7" s="231">
        <f ca="1">$BL$5-$D$12/2</f>
        <v>-2.5</v>
      </c>
      <c r="BO7" s="231">
        <f ca="1">$BL$5-$D$12/2</f>
        <v>-2.5</v>
      </c>
      <c r="BP7" s="231">
        <f ca="1">$BL$5+$D$12/2</f>
        <v>2.5</v>
      </c>
    </row>
    <row r="8" spans="1:68">
      <c r="B8" s="23"/>
      <c r="C8" s="190"/>
      <c r="D8" s="20"/>
      <c r="E8" s="20"/>
      <c r="F8" s="218"/>
      <c r="G8" s="218"/>
      <c r="H8" s="24"/>
      <c r="I8" s="24"/>
      <c r="J8" s="24"/>
      <c r="K8" s="30"/>
      <c r="L8" s="24"/>
      <c r="M8" s="58">
        <v>6</v>
      </c>
      <c r="O8" s="81" t="s">
        <v>194</v>
      </c>
      <c r="P8" s="79">
        <f ca="1">SUM($P$16:$W$16)</f>
        <v>0.35167499999999996</v>
      </c>
      <c r="Q8" s="62" t="s">
        <v>66</v>
      </c>
      <c r="R8" s="86" t="s">
        <v>192</v>
      </c>
      <c r="S8" s="64"/>
      <c r="T8" s="61"/>
      <c r="U8" s="64"/>
      <c r="W8" s="74"/>
      <c r="X8" s="227">
        <v>4</v>
      </c>
      <c r="Y8" s="230" t="str">
        <f t="shared" ca="1" si="24"/>
        <v>N.A.</v>
      </c>
      <c r="Z8" s="230" t="str">
        <f t="shared" ca="1" si="25"/>
        <v>N.A.</v>
      </c>
      <c r="AA8" s="230" t="str">
        <f t="shared" ca="1" si="0"/>
        <v>N.A.</v>
      </c>
      <c r="AB8" s="230" t="str">
        <f t="shared" ca="1" si="1"/>
        <v>N.A.</v>
      </c>
      <c r="AC8" s="230" t="str">
        <f t="shared" ca="1" si="2"/>
        <v>N.A.</v>
      </c>
      <c r="AD8" s="229" t="str">
        <f t="shared" ca="1" si="3"/>
        <v>N.A.</v>
      </c>
      <c r="AE8" s="229" t="str">
        <f t="shared" ca="1" si="4"/>
        <v>N.A.</v>
      </c>
      <c r="AF8" s="229" t="str">
        <f t="shared" ca="1" si="5"/>
        <v>N.A.</v>
      </c>
      <c r="AG8" s="229" t="str">
        <f t="shared" ca="1" si="6"/>
        <v>N.A.</v>
      </c>
      <c r="AH8" s="230" t="str">
        <f t="shared" ca="1" si="7"/>
        <v>N.A.</v>
      </c>
      <c r="AI8" s="230" t="str">
        <f t="shared" ca="1" si="8"/>
        <v>N.A.</v>
      </c>
      <c r="AJ8" s="230" t="str">
        <f t="shared" ca="1" si="9"/>
        <v>N.A.</v>
      </c>
      <c r="AK8" s="230" t="str">
        <f t="shared" ca="1" si="10"/>
        <v>N.A.</v>
      </c>
      <c r="AL8" s="230" t="str">
        <f t="shared" ca="1" si="11"/>
        <v>N.A.</v>
      </c>
      <c r="AM8" s="230" t="str">
        <f t="shared" ca="1" si="12"/>
        <v>N.A.</v>
      </c>
      <c r="AN8" s="230" t="str">
        <f t="shared" ca="1" si="13"/>
        <v>N.A.</v>
      </c>
      <c r="AO8" s="230" t="str">
        <f t="shared" ca="1" si="14"/>
        <v>N.A.</v>
      </c>
      <c r="AP8" s="230" t="str">
        <f t="shared" ca="1" si="15"/>
        <v>N.A.</v>
      </c>
      <c r="AQ8" s="230" t="str">
        <f t="shared" ca="1" si="16"/>
        <v>N.A.</v>
      </c>
      <c r="AR8" s="230" t="str">
        <f t="shared" ca="1" si="17"/>
        <v>N.A.</v>
      </c>
      <c r="AS8" s="229" t="str">
        <f t="shared" ca="1" si="18"/>
        <v>N.A.</v>
      </c>
      <c r="AT8" s="229" t="str">
        <f t="shared" ca="1" si="19"/>
        <v>N.A.</v>
      </c>
      <c r="AU8" s="230" t="str">
        <f t="shared" ca="1" si="20"/>
        <v>N.A.</v>
      </c>
      <c r="AV8" s="230" t="str">
        <f t="shared" ca="1" si="21"/>
        <v>N.A.</v>
      </c>
      <c r="AW8" s="230" t="str">
        <f t="shared" ca="1" si="22"/>
        <v>N.A.</v>
      </c>
      <c r="AX8" s="230" t="str">
        <f t="shared" ca="1" si="23"/>
        <v>N.A.</v>
      </c>
      <c r="AZ8" s="167"/>
      <c r="BA8" s="168" t="s">
        <v>228</v>
      </c>
      <c r="BB8" s="169"/>
      <c r="BC8" s="169"/>
      <c r="BD8" s="169"/>
      <c r="BE8" s="169"/>
      <c r="BF8" s="169"/>
      <c r="BG8" s="169"/>
      <c r="BH8" s="170"/>
      <c r="BK8" s="122" t="s">
        <v>47</v>
      </c>
      <c r="BL8" s="231">
        <f ca="1">$C$25-$C$27/2</f>
        <v>-1</v>
      </c>
      <c r="BM8" s="231">
        <f ca="1">$C$25+$C$27/2</f>
        <v>1</v>
      </c>
      <c r="BN8" s="231">
        <f ca="1">$C$25+$C$27/2</f>
        <v>1</v>
      </c>
      <c r="BO8" s="231">
        <f ca="1">$C$25-$C$27/2</f>
        <v>-1</v>
      </c>
      <c r="BP8" s="231">
        <f ca="1">$C$25-$C$27/2</f>
        <v>-1</v>
      </c>
    </row>
    <row r="9" spans="1:68">
      <c r="B9" s="44" t="s">
        <v>243</v>
      </c>
      <c r="C9" s="257"/>
      <c r="D9" s="218"/>
      <c r="E9" s="20"/>
      <c r="F9" s="20"/>
      <c r="G9" s="24"/>
      <c r="H9" s="142"/>
      <c r="I9" s="24"/>
      <c r="J9" s="24"/>
      <c r="K9" s="30"/>
      <c r="L9" s="24"/>
      <c r="M9" s="58">
        <v>7</v>
      </c>
      <c r="O9" s="68" t="s">
        <v>95</v>
      </c>
      <c r="P9" s="33">
        <f ca="1">($D$11*$D$12*$D$15)*$D$16</f>
        <v>13.2165</v>
      </c>
      <c r="Q9" s="76" t="s">
        <v>66</v>
      </c>
      <c r="R9" s="76" t="s">
        <v>190</v>
      </c>
      <c r="S9" s="40"/>
      <c r="T9" s="40"/>
      <c r="W9" s="74"/>
      <c r="X9" s="227">
        <v>5</v>
      </c>
      <c r="Y9" s="230" t="str">
        <f t="shared" ca="1" si="24"/>
        <v>N.A.</v>
      </c>
      <c r="Z9" s="230" t="str">
        <f t="shared" ca="1" si="25"/>
        <v>N.A.</v>
      </c>
      <c r="AA9" s="230" t="str">
        <f t="shared" ca="1" si="0"/>
        <v>N.A.</v>
      </c>
      <c r="AB9" s="230" t="str">
        <f t="shared" ca="1" si="1"/>
        <v>N.A.</v>
      </c>
      <c r="AC9" s="230" t="str">
        <f t="shared" ca="1" si="2"/>
        <v>N.A.</v>
      </c>
      <c r="AD9" s="229" t="str">
        <f t="shared" ca="1" si="3"/>
        <v>N.A.</v>
      </c>
      <c r="AE9" s="229" t="str">
        <f t="shared" ca="1" si="4"/>
        <v>N.A.</v>
      </c>
      <c r="AF9" s="229" t="str">
        <f t="shared" ca="1" si="5"/>
        <v>N.A.</v>
      </c>
      <c r="AG9" s="229" t="str">
        <f t="shared" ca="1" si="6"/>
        <v>N.A.</v>
      </c>
      <c r="AH9" s="230" t="str">
        <f t="shared" ca="1" si="7"/>
        <v>N.A.</v>
      </c>
      <c r="AI9" s="230" t="str">
        <f t="shared" ca="1" si="8"/>
        <v>N.A.</v>
      </c>
      <c r="AJ9" s="230" t="str">
        <f t="shared" ca="1" si="9"/>
        <v>N.A.</v>
      </c>
      <c r="AK9" s="230" t="str">
        <f t="shared" ca="1" si="10"/>
        <v>N.A.</v>
      </c>
      <c r="AL9" s="230" t="str">
        <f t="shared" ca="1" si="11"/>
        <v>N.A.</v>
      </c>
      <c r="AM9" s="230" t="str">
        <f t="shared" ca="1" si="12"/>
        <v>N.A.</v>
      </c>
      <c r="AN9" s="230" t="str">
        <f t="shared" ca="1" si="13"/>
        <v>N.A.</v>
      </c>
      <c r="AO9" s="230" t="str">
        <f t="shared" ca="1" si="14"/>
        <v>N.A.</v>
      </c>
      <c r="AP9" s="230" t="str">
        <f t="shared" ca="1" si="15"/>
        <v>N.A.</v>
      </c>
      <c r="AQ9" s="230" t="str">
        <f t="shared" ca="1" si="16"/>
        <v>N.A.</v>
      </c>
      <c r="AR9" s="230" t="str">
        <f t="shared" ca="1" si="17"/>
        <v>N.A.</v>
      </c>
      <c r="AS9" s="229" t="str">
        <f t="shared" ca="1" si="18"/>
        <v>N.A.</v>
      </c>
      <c r="AT9" s="229" t="str">
        <f t="shared" ca="1" si="19"/>
        <v>N.A.</v>
      </c>
      <c r="AU9" s="230" t="str">
        <f t="shared" ca="1" si="20"/>
        <v>N.A.</v>
      </c>
      <c r="AV9" s="230" t="str">
        <f t="shared" ca="1" si="21"/>
        <v>N.A.</v>
      </c>
      <c r="AW9" s="230" t="str">
        <f t="shared" ca="1" si="22"/>
        <v>N.A.</v>
      </c>
      <c r="AX9" s="230" t="str">
        <f t="shared" ca="1" si="23"/>
        <v>N.A.</v>
      </c>
      <c r="AZ9" s="167"/>
      <c r="BA9" s="168" t="s">
        <v>229</v>
      </c>
      <c r="BB9" s="169"/>
      <c r="BC9" s="169"/>
      <c r="BD9" s="169"/>
      <c r="BE9" s="169"/>
      <c r="BF9" s="169"/>
      <c r="BG9" s="169"/>
      <c r="BH9" s="170"/>
      <c r="BK9" s="122" t="s">
        <v>48</v>
      </c>
      <c r="BL9" s="231">
        <f ca="1">$C$26+$C$28/2</f>
        <v>0.5625</v>
      </c>
      <c r="BM9" s="231">
        <f ca="1">$C$26+$C$28/2</f>
        <v>0.5625</v>
      </c>
      <c r="BN9" s="231">
        <f ca="1">$C$26-$C$28/2</f>
        <v>-0.5625</v>
      </c>
      <c r="BO9" s="231">
        <f ca="1">$C$26-$C$28/2</f>
        <v>-0.5625</v>
      </c>
      <c r="BP9" s="231">
        <f ca="1">$C$26+$C$28/2</f>
        <v>0.5625</v>
      </c>
    </row>
    <row r="10" spans="1:68">
      <c r="B10" s="19"/>
      <c r="C10" s="20"/>
      <c r="D10" s="20"/>
      <c r="E10" s="20"/>
      <c r="F10" s="20"/>
      <c r="G10" s="142"/>
      <c r="H10" s="24"/>
      <c r="I10" s="24"/>
      <c r="J10" s="24"/>
      <c r="K10" s="30"/>
      <c r="M10" s="58">
        <v>8</v>
      </c>
      <c r="O10" s="68" t="s">
        <v>96</v>
      </c>
      <c r="P10" s="33">
        <f ca="1">($D$11*$D$12)*$D$19</f>
        <v>4.5</v>
      </c>
      <c r="Q10" s="76" t="s">
        <v>66</v>
      </c>
      <c r="R10" s="69" t="s">
        <v>191</v>
      </c>
      <c r="S10" s="40"/>
      <c r="T10" s="40"/>
      <c r="X10" s="227">
        <v>6</v>
      </c>
      <c r="Y10" s="230" t="str">
        <f t="shared" ca="1" si="24"/>
        <v>N.A.</v>
      </c>
      <c r="Z10" s="230" t="str">
        <f t="shared" ca="1" si="25"/>
        <v>N.A.</v>
      </c>
      <c r="AA10" s="230" t="str">
        <f t="shared" ca="1" si="0"/>
        <v>N.A.</v>
      </c>
      <c r="AB10" s="230" t="str">
        <f t="shared" ca="1" si="1"/>
        <v>N.A.</v>
      </c>
      <c r="AC10" s="230" t="str">
        <f t="shared" ca="1" si="2"/>
        <v>N.A.</v>
      </c>
      <c r="AD10" s="229" t="str">
        <f t="shared" ca="1" si="3"/>
        <v>N.A.</v>
      </c>
      <c r="AE10" s="229" t="str">
        <f t="shared" ca="1" si="4"/>
        <v>N.A.</v>
      </c>
      <c r="AF10" s="229" t="str">
        <f t="shared" ca="1" si="5"/>
        <v>N.A.</v>
      </c>
      <c r="AG10" s="229" t="str">
        <f t="shared" ca="1" si="6"/>
        <v>N.A.</v>
      </c>
      <c r="AH10" s="230" t="str">
        <f t="shared" ca="1" si="7"/>
        <v>N.A.</v>
      </c>
      <c r="AI10" s="230" t="str">
        <f t="shared" ca="1" si="8"/>
        <v>N.A.</v>
      </c>
      <c r="AJ10" s="230" t="str">
        <f t="shared" ca="1" si="9"/>
        <v>N.A.</v>
      </c>
      <c r="AK10" s="230" t="str">
        <f t="shared" ca="1" si="10"/>
        <v>N.A.</v>
      </c>
      <c r="AL10" s="230" t="str">
        <f t="shared" ca="1" si="11"/>
        <v>N.A.</v>
      </c>
      <c r="AM10" s="230" t="str">
        <f t="shared" ca="1" si="12"/>
        <v>N.A.</v>
      </c>
      <c r="AN10" s="230" t="str">
        <f t="shared" ca="1" si="13"/>
        <v>N.A.</v>
      </c>
      <c r="AO10" s="230" t="str">
        <f t="shared" ca="1" si="14"/>
        <v>N.A.</v>
      </c>
      <c r="AP10" s="230" t="str">
        <f t="shared" ca="1" si="15"/>
        <v>N.A.</v>
      </c>
      <c r="AQ10" s="230" t="str">
        <f t="shared" ca="1" si="16"/>
        <v>N.A.</v>
      </c>
      <c r="AR10" s="230" t="str">
        <f t="shared" ca="1" si="17"/>
        <v>N.A.</v>
      </c>
      <c r="AS10" s="229" t="str">
        <f t="shared" ca="1" si="18"/>
        <v>N.A.</v>
      </c>
      <c r="AT10" s="229" t="str">
        <f t="shared" ca="1" si="19"/>
        <v>N.A.</v>
      </c>
      <c r="AU10" s="230" t="str">
        <f t="shared" ca="1" si="20"/>
        <v>N.A.</v>
      </c>
      <c r="AV10" s="230" t="str">
        <f t="shared" ca="1" si="21"/>
        <v>N.A.</v>
      </c>
      <c r="AW10" s="230" t="str">
        <f t="shared" ca="1" si="22"/>
        <v>N.A.</v>
      </c>
      <c r="AX10" s="230" t="str">
        <f t="shared" ca="1" si="23"/>
        <v>N.A.</v>
      </c>
      <c r="AZ10" s="174"/>
      <c r="BA10" s="168" t="s">
        <v>230</v>
      </c>
      <c r="BB10" s="169"/>
      <c r="BC10" s="169"/>
      <c r="BD10" s="169"/>
      <c r="BE10" s="168"/>
      <c r="BF10" s="169"/>
      <c r="BG10" s="169"/>
      <c r="BH10" s="170"/>
      <c r="BK10" s="122" t="s">
        <v>49</v>
      </c>
      <c r="BL10" s="231">
        <f>$D$25-$D$27/2</f>
        <v>0</v>
      </c>
      <c r="BM10" s="231">
        <f>$D$25+$D$27/2</f>
        <v>0</v>
      </c>
      <c r="BN10" s="231">
        <f>$D$25+$D$27/2</f>
        <v>0</v>
      </c>
      <c r="BO10" s="231">
        <f>$D$25-$D$27/2</f>
        <v>0</v>
      </c>
      <c r="BP10" s="231">
        <f>$D$25-$D$27/2</f>
        <v>0</v>
      </c>
    </row>
    <row r="11" spans="1:68" ht="15">
      <c r="A11" s="57">
        <v>2</v>
      </c>
      <c r="B11" s="19"/>
      <c r="C11" s="35" t="s">
        <v>244</v>
      </c>
      <c r="D11" s="269" t="str">
        <f ca="1">SUBSTITUTE(VLOOKUP(RIGHT( CELL("имяфайла",$E$2), LEN( CELL("имяфайла",$E$2))-FIND("]", CELL("имяфайла",$E$2))),Summary!C:Z,$A11,FALSE),".",",")</f>
        <v>9,0000</v>
      </c>
      <c r="E11" s="34" t="s">
        <v>41</v>
      </c>
      <c r="F11" s="143"/>
      <c r="G11" s="24"/>
      <c r="H11" s="24"/>
      <c r="I11" s="24"/>
      <c r="J11" s="24"/>
      <c r="K11" s="30"/>
      <c r="N11" s="58"/>
      <c r="O11" s="68" t="s">
        <v>98</v>
      </c>
      <c r="P11" s="33">
        <f ca="1">$P$7+$P$9+$P$10</f>
        <v>26.71425</v>
      </c>
      <c r="Q11" s="76" t="s">
        <v>66</v>
      </c>
      <c r="R11" s="76" t="s">
        <v>193</v>
      </c>
      <c r="S11" s="40"/>
      <c r="X11" s="227">
        <v>7</v>
      </c>
      <c r="Y11" s="230" t="str">
        <f t="shared" ca="1" si="24"/>
        <v>N.A.</v>
      </c>
      <c r="Z11" s="230" t="str">
        <f t="shared" ca="1" si="25"/>
        <v>N.A.</v>
      </c>
      <c r="AA11" s="230" t="str">
        <f t="shared" ca="1" si="0"/>
        <v>N.A.</v>
      </c>
      <c r="AB11" s="230" t="str">
        <f t="shared" ca="1" si="1"/>
        <v>N.A.</v>
      </c>
      <c r="AC11" s="230" t="str">
        <f t="shared" ca="1" si="2"/>
        <v>N.A.</v>
      </c>
      <c r="AD11" s="229" t="str">
        <f t="shared" ca="1" si="3"/>
        <v>N.A.</v>
      </c>
      <c r="AE11" s="229" t="str">
        <f t="shared" ca="1" si="4"/>
        <v>N.A.</v>
      </c>
      <c r="AF11" s="229" t="str">
        <f t="shared" ca="1" si="5"/>
        <v>N.A.</v>
      </c>
      <c r="AG11" s="229" t="str">
        <f t="shared" ca="1" si="6"/>
        <v>N.A.</v>
      </c>
      <c r="AH11" s="230" t="str">
        <f t="shared" ca="1" si="7"/>
        <v>N.A.</v>
      </c>
      <c r="AI11" s="230" t="str">
        <f t="shared" ca="1" si="8"/>
        <v>N.A.</v>
      </c>
      <c r="AJ11" s="230" t="str">
        <f t="shared" ca="1" si="9"/>
        <v>N.A.</v>
      </c>
      <c r="AK11" s="230" t="str">
        <f t="shared" ca="1" si="10"/>
        <v>N.A.</v>
      </c>
      <c r="AL11" s="230" t="str">
        <f t="shared" ca="1" si="11"/>
        <v>N.A.</v>
      </c>
      <c r="AM11" s="230" t="str">
        <f t="shared" ca="1" si="12"/>
        <v>N.A.</v>
      </c>
      <c r="AN11" s="230" t="str">
        <f t="shared" ca="1" si="13"/>
        <v>N.A.</v>
      </c>
      <c r="AO11" s="230" t="str">
        <f t="shared" ca="1" si="14"/>
        <v>N.A.</v>
      </c>
      <c r="AP11" s="230" t="str">
        <f t="shared" ca="1" si="15"/>
        <v>N.A.</v>
      </c>
      <c r="AQ11" s="230" t="str">
        <f t="shared" ca="1" si="16"/>
        <v>N.A.</v>
      </c>
      <c r="AR11" s="230" t="str">
        <f t="shared" ca="1" si="17"/>
        <v>N.A.</v>
      </c>
      <c r="AS11" s="229" t="str">
        <f t="shared" ca="1" si="18"/>
        <v>N.A.</v>
      </c>
      <c r="AT11" s="229" t="str">
        <f t="shared" ca="1" si="19"/>
        <v>N.A.</v>
      </c>
      <c r="AU11" s="230" t="str">
        <f t="shared" ca="1" si="20"/>
        <v>N.A.</v>
      </c>
      <c r="AV11" s="230" t="str">
        <f t="shared" ca="1" si="21"/>
        <v>N.A.</v>
      </c>
      <c r="AW11" s="230" t="str">
        <f t="shared" ca="1" si="22"/>
        <v>N.A.</v>
      </c>
      <c r="AX11" s="230" t="str">
        <f t="shared" ca="1" si="23"/>
        <v>N.A.</v>
      </c>
      <c r="AZ11" s="174"/>
      <c r="BA11" s="168" t="s">
        <v>231</v>
      </c>
      <c r="BB11" s="169"/>
      <c r="BC11" s="169"/>
      <c r="BD11" s="169"/>
      <c r="BE11" s="169"/>
      <c r="BF11" s="169"/>
      <c r="BG11" s="169"/>
      <c r="BH11" s="170"/>
      <c r="BK11" s="122" t="s">
        <v>50</v>
      </c>
      <c r="BL11" s="231">
        <f>$D$26+$D$28/2</f>
        <v>0</v>
      </c>
      <c r="BM11" s="231">
        <f>$D$26+$D$28/2</f>
        <v>0</v>
      </c>
      <c r="BN11" s="231">
        <f>$D$26-$D$28/2</f>
        <v>0</v>
      </c>
      <c r="BO11" s="231">
        <f>$D$26-$D$28/2</f>
        <v>0</v>
      </c>
      <c r="BP11" s="231">
        <f>$D$26+$D$28/2</f>
        <v>0</v>
      </c>
    </row>
    <row r="12" spans="1:68" ht="15">
      <c r="A12" s="57">
        <v>3</v>
      </c>
      <c r="B12" s="19"/>
      <c r="C12" s="35" t="s">
        <v>245</v>
      </c>
      <c r="D12" s="269" t="str">
        <f ca="1">SUBSTITUTE(VLOOKUP(RIGHT( CELL("имяфайла",$E$2), LEN( CELL("имяфайла",$E$2))-FIND("]", CELL("имяфайла",$E$2))),Summary!C:Z,$A12,FALSE),".",",")</f>
        <v>5,0000</v>
      </c>
      <c r="E12" s="34" t="s">
        <v>41</v>
      </c>
      <c r="F12" s="24"/>
      <c r="G12" s="24"/>
      <c r="H12" s="24"/>
      <c r="I12" s="24"/>
      <c r="J12" s="24"/>
      <c r="K12" s="30"/>
      <c r="N12" s="58"/>
      <c r="O12" s="63" t="s">
        <v>99</v>
      </c>
      <c r="P12" s="33"/>
      <c r="Q12" s="76"/>
      <c r="R12" s="76"/>
      <c r="S12" s="40"/>
      <c r="T12" s="40"/>
      <c r="U12" s="40"/>
      <c r="V12" s="40"/>
      <c r="W12" s="73"/>
      <c r="X12" s="227">
        <v>8</v>
      </c>
      <c r="Y12" s="230" t="str">
        <f t="shared" ca="1" si="24"/>
        <v>N.A.</v>
      </c>
      <c r="Z12" s="230" t="str">
        <f t="shared" ca="1" si="25"/>
        <v>N.A.</v>
      </c>
      <c r="AA12" s="230" t="str">
        <f t="shared" ca="1" si="0"/>
        <v>N.A.</v>
      </c>
      <c r="AB12" s="230" t="str">
        <f t="shared" ca="1" si="1"/>
        <v>N.A.</v>
      </c>
      <c r="AC12" s="230" t="str">
        <f t="shared" ca="1" si="2"/>
        <v>N.A.</v>
      </c>
      <c r="AD12" s="229" t="str">
        <f t="shared" ca="1" si="3"/>
        <v>N.A.</v>
      </c>
      <c r="AE12" s="229" t="str">
        <f t="shared" ca="1" si="4"/>
        <v>N.A.</v>
      </c>
      <c r="AF12" s="229" t="str">
        <f t="shared" ca="1" si="5"/>
        <v>N.A.</v>
      </c>
      <c r="AG12" s="229" t="str">
        <f t="shared" ca="1" si="6"/>
        <v>N.A.</v>
      </c>
      <c r="AH12" s="230" t="str">
        <f t="shared" ca="1" si="7"/>
        <v>N.A.</v>
      </c>
      <c r="AI12" s="230" t="str">
        <f t="shared" ca="1" si="8"/>
        <v>N.A.</v>
      </c>
      <c r="AJ12" s="230" t="str">
        <f t="shared" ca="1" si="9"/>
        <v>N.A.</v>
      </c>
      <c r="AK12" s="230" t="str">
        <f t="shared" ca="1" si="10"/>
        <v>N.A.</v>
      </c>
      <c r="AL12" s="230" t="str">
        <f t="shared" ca="1" si="11"/>
        <v>N.A.</v>
      </c>
      <c r="AM12" s="230" t="str">
        <f t="shared" ca="1" si="12"/>
        <v>N.A.</v>
      </c>
      <c r="AN12" s="230" t="str">
        <f t="shared" ca="1" si="13"/>
        <v>N.A.</v>
      </c>
      <c r="AO12" s="230" t="str">
        <f t="shared" ca="1" si="14"/>
        <v>N.A.</v>
      </c>
      <c r="AP12" s="230" t="str">
        <f t="shared" ca="1" si="15"/>
        <v>N.A.</v>
      </c>
      <c r="AQ12" s="230" t="str">
        <f t="shared" ca="1" si="16"/>
        <v>N.A.</v>
      </c>
      <c r="AR12" s="230" t="str">
        <f t="shared" ca="1" si="17"/>
        <v>N.A.</v>
      </c>
      <c r="AS12" s="229" t="str">
        <f t="shared" ca="1" si="18"/>
        <v>N.A.</v>
      </c>
      <c r="AT12" s="229" t="str">
        <f t="shared" ca="1" si="19"/>
        <v>N.A.</v>
      </c>
      <c r="AU12" s="230" t="str">
        <f t="shared" ca="1" si="20"/>
        <v>N.A.</v>
      </c>
      <c r="AV12" s="230" t="str">
        <f t="shared" ca="1" si="21"/>
        <v>N.A.</v>
      </c>
      <c r="AW12" s="230" t="str">
        <f t="shared" ca="1" si="22"/>
        <v>N.A.</v>
      </c>
      <c r="AX12" s="230" t="str">
        <f t="shared" ca="1" si="23"/>
        <v>N.A.</v>
      </c>
      <c r="AZ12" s="174"/>
      <c r="BA12" s="168" t="s">
        <v>234</v>
      </c>
      <c r="BB12" s="169"/>
      <c r="BC12" s="169"/>
      <c r="BD12" s="169"/>
      <c r="BE12" s="169"/>
      <c r="BF12" s="169"/>
      <c r="BG12" s="169"/>
      <c r="BH12" s="170"/>
      <c r="BK12" s="122" t="s">
        <v>51</v>
      </c>
      <c r="BL12" s="231">
        <f>$E$25-$E$27/2</f>
        <v>0</v>
      </c>
      <c r="BM12" s="231">
        <f>$E$25+$E$27/2</f>
        <v>0</v>
      </c>
      <c r="BN12" s="231">
        <f>$E$25+$E$27/2</f>
        <v>0</v>
      </c>
      <c r="BO12" s="231">
        <f>$E$25-$E$27/2</f>
        <v>0</v>
      </c>
      <c r="BP12" s="231">
        <f>$E$25-$E$27/2</f>
        <v>0</v>
      </c>
    </row>
    <row r="13" spans="1:68" ht="15">
      <c r="A13" s="57">
        <v>7</v>
      </c>
      <c r="B13" s="19"/>
      <c r="C13" s="35" t="s">
        <v>246</v>
      </c>
      <c r="D13" s="269" t="str">
        <f ca="1">SUBSTITUTE(VLOOKUP(RIGHT( CELL("имяфайла",$E$2), LEN( CELL("имяфайла",$E$2))-FIND("]", CELL("имяфайла",$E$2))),Summary!C:Z,$A13,FALSE),".",",")</f>
        <v>1,3330</v>
      </c>
      <c r="E13" s="34" t="s">
        <v>41</v>
      </c>
      <c r="F13" s="24"/>
      <c r="G13" s="24"/>
      <c r="H13" s="24"/>
      <c r="I13" s="24"/>
      <c r="J13" s="143"/>
      <c r="K13" s="30"/>
      <c r="N13" s="58"/>
      <c r="O13" s="64"/>
      <c r="P13" s="53" t="s">
        <v>31</v>
      </c>
      <c r="Q13" s="53" t="s">
        <v>32</v>
      </c>
      <c r="R13" s="53" t="s">
        <v>33</v>
      </c>
      <c r="S13" s="53" t="s">
        <v>34</v>
      </c>
      <c r="T13" s="53" t="s">
        <v>35</v>
      </c>
      <c r="U13" s="53" t="s">
        <v>36</v>
      </c>
      <c r="V13" s="53" t="s">
        <v>37</v>
      </c>
      <c r="W13" s="53" t="s">
        <v>38</v>
      </c>
      <c r="X13" s="227">
        <v>9</v>
      </c>
      <c r="Y13" s="230" t="str">
        <f t="shared" ca="1" si="24"/>
        <v>N.A.</v>
      </c>
      <c r="Z13" s="230" t="str">
        <f t="shared" ca="1" si="25"/>
        <v>N.A.</v>
      </c>
      <c r="AA13" s="230" t="str">
        <f t="shared" ca="1" si="0"/>
        <v>N.A.</v>
      </c>
      <c r="AB13" s="230" t="str">
        <f t="shared" ca="1" si="1"/>
        <v>N.A.</v>
      </c>
      <c r="AC13" s="230" t="str">
        <f t="shared" ca="1" si="2"/>
        <v>N.A.</v>
      </c>
      <c r="AD13" s="229" t="str">
        <f t="shared" ca="1" si="3"/>
        <v>N.A.</v>
      </c>
      <c r="AE13" s="229" t="str">
        <f t="shared" ca="1" si="4"/>
        <v>N.A.</v>
      </c>
      <c r="AF13" s="229" t="str">
        <f t="shared" ca="1" si="5"/>
        <v>N.A.</v>
      </c>
      <c r="AG13" s="229" t="str">
        <f t="shared" ca="1" si="6"/>
        <v>N.A.</v>
      </c>
      <c r="AH13" s="230" t="str">
        <f t="shared" ca="1" si="7"/>
        <v>N.A.</v>
      </c>
      <c r="AI13" s="230" t="str">
        <f t="shared" ca="1" si="8"/>
        <v>N.A.</v>
      </c>
      <c r="AJ13" s="230" t="str">
        <f t="shared" ca="1" si="9"/>
        <v>N.A.</v>
      </c>
      <c r="AK13" s="230" t="str">
        <f t="shared" ca="1" si="10"/>
        <v>N.A.</v>
      </c>
      <c r="AL13" s="230" t="str">
        <f t="shared" ca="1" si="11"/>
        <v>N.A.</v>
      </c>
      <c r="AM13" s="230" t="str">
        <f t="shared" ca="1" si="12"/>
        <v>N.A.</v>
      </c>
      <c r="AN13" s="230" t="str">
        <f t="shared" ca="1" si="13"/>
        <v>N.A.</v>
      </c>
      <c r="AO13" s="230" t="str">
        <f t="shared" ca="1" si="14"/>
        <v>N.A.</v>
      </c>
      <c r="AP13" s="230" t="str">
        <f t="shared" ca="1" si="15"/>
        <v>N.A.</v>
      </c>
      <c r="AQ13" s="230" t="str">
        <f t="shared" ca="1" si="16"/>
        <v>N.A.</v>
      </c>
      <c r="AR13" s="230" t="str">
        <f t="shared" ca="1" si="17"/>
        <v>N.A.</v>
      </c>
      <c r="AS13" s="229" t="str">
        <f t="shared" ca="1" si="18"/>
        <v>N.A.</v>
      </c>
      <c r="AT13" s="229" t="str">
        <f t="shared" ca="1" si="19"/>
        <v>N.A.</v>
      </c>
      <c r="AU13" s="230" t="str">
        <f t="shared" ca="1" si="20"/>
        <v>N.A.</v>
      </c>
      <c r="AV13" s="230" t="str">
        <f t="shared" ca="1" si="21"/>
        <v>N.A.</v>
      </c>
      <c r="AW13" s="230" t="str">
        <f t="shared" ca="1" si="22"/>
        <v>N.A.</v>
      </c>
      <c r="AX13" s="230" t="str">
        <f t="shared" ca="1" si="23"/>
        <v>N.A.</v>
      </c>
      <c r="AZ13" s="175"/>
      <c r="BA13" s="171" t="s">
        <v>232</v>
      </c>
      <c r="BB13" s="172"/>
      <c r="BC13" s="172"/>
      <c r="BD13" s="172"/>
      <c r="BE13" s="172"/>
      <c r="BF13" s="172"/>
      <c r="BG13" s="172"/>
      <c r="BH13" s="173"/>
      <c r="BK13" s="122" t="s">
        <v>52</v>
      </c>
      <c r="BL13" s="231">
        <f>$E$26+$E$28/2</f>
        <v>0</v>
      </c>
      <c r="BM13" s="231">
        <f>$E$26+$E$28/2</f>
        <v>0</v>
      </c>
      <c r="BN13" s="231">
        <f>$E$26-$E$28/2</f>
        <v>0</v>
      </c>
      <c r="BO13" s="231">
        <f>$E$26-$E$28/2</f>
        <v>0</v>
      </c>
      <c r="BP13" s="231">
        <f>$E$26+$E$28/2</f>
        <v>0</v>
      </c>
    </row>
    <row r="14" spans="1:68" ht="15">
      <c r="A14" s="57">
        <v>17</v>
      </c>
      <c r="B14" s="19"/>
      <c r="C14" s="35" t="s">
        <v>97</v>
      </c>
      <c r="D14" s="269" t="str">
        <f ca="1">SUBSTITUTE(VLOOKUP(RIGHT( CELL("имяфайла",$E$2), LEN( CELL("имяфайла",$E$2))-FIND("]", CELL("имяфайла",$E$2))),Summary!C:Z,$A14,FALSE),".",",")</f>
        <v>0,15</v>
      </c>
      <c r="E14" s="48" t="s">
        <v>248</v>
      </c>
      <c r="F14" s="24"/>
      <c r="G14" s="24"/>
      <c r="H14" s="24"/>
      <c r="I14" s="24"/>
      <c r="J14" s="24"/>
      <c r="K14" s="30"/>
      <c r="N14" s="58"/>
      <c r="O14" s="78" t="s">
        <v>100</v>
      </c>
      <c r="P14" s="61">
        <f>IF($D$22&gt;=1,$C$25-$P$4,"")</f>
        <v>0</v>
      </c>
      <c r="Q14" s="61" t="str">
        <f>IF($D$22&gt;=2,$D$25-$P$4,"")</f>
        <v/>
      </c>
      <c r="R14" s="61" t="str">
        <f>IF($D$22&gt;=3,$E$25-$P$4,"")</f>
        <v/>
      </c>
      <c r="S14" s="61" t="str">
        <f>IF($D$22&gt;=4,$F$25-$P$4,"")</f>
        <v/>
      </c>
      <c r="T14" s="61" t="str">
        <f>IF($D$22&gt;=5,$G$25-$P$4,"")</f>
        <v/>
      </c>
      <c r="U14" s="61" t="str">
        <f>IF($D$22&gt;=6,$H$25-$P$4,"")</f>
        <v/>
      </c>
      <c r="V14" s="61" t="str">
        <f>IF($D$22&gt;=7,$I$25-$P$4,"")</f>
        <v/>
      </c>
      <c r="W14" s="61" t="str">
        <f>IF($D$22=8,$J$25-$P$4,"")</f>
        <v/>
      </c>
      <c r="X14" s="227">
        <v>10</v>
      </c>
      <c r="Y14" s="230" t="str">
        <f t="shared" ca="1" si="24"/>
        <v>N.A.</v>
      </c>
      <c r="Z14" s="230" t="str">
        <f t="shared" ca="1" si="25"/>
        <v>N.A.</v>
      </c>
      <c r="AA14" s="230" t="str">
        <f t="shared" ca="1" si="0"/>
        <v>N.A.</v>
      </c>
      <c r="AB14" s="230" t="str">
        <f t="shared" ca="1" si="1"/>
        <v>N.A.</v>
      </c>
      <c r="AC14" s="230" t="str">
        <f t="shared" ca="1" si="2"/>
        <v>N.A.</v>
      </c>
      <c r="AD14" s="229" t="str">
        <f t="shared" ca="1" si="3"/>
        <v>N.A.</v>
      </c>
      <c r="AE14" s="229" t="str">
        <f t="shared" ca="1" si="4"/>
        <v>N.A.</v>
      </c>
      <c r="AF14" s="229" t="str">
        <f t="shared" ca="1" si="5"/>
        <v>N.A.</v>
      </c>
      <c r="AG14" s="229" t="str">
        <f t="shared" ca="1" si="6"/>
        <v>N.A.</v>
      </c>
      <c r="AH14" s="230" t="str">
        <f t="shared" ca="1" si="7"/>
        <v>N.A.</v>
      </c>
      <c r="AI14" s="230" t="str">
        <f t="shared" ca="1" si="8"/>
        <v>N.A.</v>
      </c>
      <c r="AJ14" s="230" t="str">
        <f t="shared" ca="1" si="9"/>
        <v>N.A.</v>
      </c>
      <c r="AK14" s="230" t="str">
        <f t="shared" ca="1" si="10"/>
        <v>N.A.</v>
      </c>
      <c r="AL14" s="230" t="str">
        <f t="shared" ca="1" si="11"/>
        <v>N.A.</v>
      </c>
      <c r="AM14" s="230" t="str">
        <f t="shared" ca="1" si="12"/>
        <v>N.A.</v>
      </c>
      <c r="AN14" s="230" t="str">
        <f t="shared" ca="1" si="13"/>
        <v>N.A.</v>
      </c>
      <c r="AO14" s="230" t="str">
        <f t="shared" ca="1" si="14"/>
        <v>N.A.</v>
      </c>
      <c r="AP14" s="230" t="str">
        <f t="shared" ca="1" si="15"/>
        <v>N.A.</v>
      </c>
      <c r="AQ14" s="230" t="str">
        <f t="shared" ca="1" si="16"/>
        <v>N.A.</v>
      </c>
      <c r="AR14" s="230" t="str">
        <f t="shared" ca="1" si="17"/>
        <v>N.A.</v>
      </c>
      <c r="AS14" s="229" t="str">
        <f t="shared" ca="1" si="18"/>
        <v>N.A.</v>
      </c>
      <c r="AT14" s="229" t="str">
        <f t="shared" ca="1" si="19"/>
        <v>N.A.</v>
      </c>
      <c r="AU14" s="230" t="str">
        <f t="shared" ca="1" si="20"/>
        <v>N.A.</v>
      </c>
      <c r="AV14" s="230" t="str">
        <f t="shared" ca="1" si="21"/>
        <v>N.A.</v>
      </c>
      <c r="AW14" s="230" t="str">
        <f t="shared" ca="1" si="22"/>
        <v>N.A.</v>
      </c>
      <c r="AX14" s="230" t="str">
        <f t="shared" ca="1" si="23"/>
        <v>N.A.</v>
      </c>
      <c r="BK14" s="122" t="s">
        <v>53</v>
      </c>
      <c r="BL14" s="231">
        <f>$F$25-$F$27/2</f>
        <v>0</v>
      </c>
      <c r="BM14" s="231">
        <f>$F$25+$F$27/2</f>
        <v>0</v>
      </c>
      <c r="BN14" s="231">
        <f>$F$25+$F$27/2</f>
        <v>0</v>
      </c>
      <c r="BO14" s="231">
        <f>$F$25-$F$27/2</f>
        <v>0</v>
      </c>
      <c r="BP14" s="231">
        <f>$F$25-$F$27/2</f>
        <v>0</v>
      </c>
    </row>
    <row r="15" spans="1:68" ht="15">
      <c r="A15" s="57">
        <v>16</v>
      </c>
      <c r="B15" s="19"/>
      <c r="C15" s="19" t="s">
        <v>187</v>
      </c>
      <c r="D15" s="269" t="str">
        <f ca="1">SUBSTITUTE(VLOOKUP(RIGHT( CELL("имяфайла",$E$2), LEN( CELL("имяфайла",$E$2))-FIND("]", CELL("имяфайла",$E$2))),Summary!C:Z,$A15,FALSE),".",",")</f>
        <v>2,67</v>
      </c>
      <c r="E15" s="34" t="s">
        <v>41</v>
      </c>
      <c r="F15" s="24"/>
      <c r="G15" s="24"/>
      <c r="H15" s="24"/>
      <c r="I15" s="24"/>
      <c r="J15" s="24"/>
      <c r="K15" s="30"/>
      <c r="N15" s="58"/>
      <c r="O15" s="78" t="s">
        <v>101</v>
      </c>
      <c r="P15" s="61">
        <f>IF($D$22&gt;=1,$C$26-$P$5,"")</f>
        <v>0</v>
      </c>
      <c r="Q15" s="61" t="str">
        <f>IF($D$22&gt;=2,$D$26-$P$5,"")</f>
        <v/>
      </c>
      <c r="R15" s="61" t="str">
        <f>IF($D$22&gt;=3,$E$26-$P$5,"")</f>
        <v/>
      </c>
      <c r="S15" s="61" t="str">
        <f>IF($D$22&gt;=4,$F$26-$P$5,"")</f>
        <v/>
      </c>
      <c r="T15" s="61" t="str">
        <f>IF($D$22&gt;=5,$G$26-$P$5,"")</f>
        <v/>
      </c>
      <c r="U15" s="61" t="str">
        <f>IF($D$22&gt;=6,$H$26-$P$5,"")</f>
        <v/>
      </c>
      <c r="V15" s="61" t="str">
        <f>IF($D$22&gt;=7,$I$26-$P$5,"")</f>
        <v/>
      </c>
      <c r="W15" s="61" t="str">
        <f>IF($D$22=8,$J$26-$P$5,"")</f>
        <v/>
      </c>
      <c r="X15" s="227">
        <v>11</v>
      </c>
      <c r="Y15" s="230" t="str">
        <f t="shared" ca="1" si="24"/>
        <v>N.A.</v>
      </c>
      <c r="Z15" s="230" t="str">
        <f t="shared" ca="1" si="25"/>
        <v>N.A.</v>
      </c>
      <c r="AA15" s="230" t="str">
        <f t="shared" ca="1" si="0"/>
        <v>N.A.</v>
      </c>
      <c r="AB15" s="230" t="str">
        <f t="shared" ca="1" si="1"/>
        <v>N.A.</v>
      </c>
      <c r="AC15" s="230" t="str">
        <f t="shared" ca="1" si="2"/>
        <v>N.A.</v>
      </c>
      <c r="AD15" s="229" t="str">
        <f t="shared" ca="1" si="3"/>
        <v>N.A.</v>
      </c>
      <c r="AE15" s="229" t="str">
        <f t="shared" ca="1" si="4"/>
        <v>N.A.</v>
      </c>
      <c r="AF15" s="229" t="str">
        <f t="shared" ca="1" si="5"/>
        <v>N.A.</v>
      </c>
      <c r="AG15" s="229" t="str">
        <f t="shared" ca="1" si="6"/>
        <v>N.A.</v>
      </c>
      <c r="AH15" s="230" t="str">
        <f t="shared" ca="1" si="7"/>
        <v>N.A.</v>
      </c>
      <c r="AI15" s="230" t="str">
        <f t="shared" ca="1" si="8"/>
        <v>N.A.</v>
      </c>
      <c r="AJ15" s="230" t="str">
        <f t="shared" ca="1" si="9"/>
        <v>N.A.</v>
      </c>
      <c r="AK15" s="230" t="str">
        <f t="shared" ca="1" si="10"/>
        <v>N.A.</v>
      </c>
      <c r="AL15" s="230" t="str">
        <f t="shared" ca="1" si="11"/>
        <v>N.A.</v>
      </c>
      <c r="AM15" s="230" t="str">
        <f t="shared" ca="1" si="12"/>
        <v>N.A.</v>
      </c>
      <c r="AN15" s="230" t="str">
        <f t="shared" ca="1" si="13"/>
        <v>N.A.</v>
      </c>
      <c r="AO15" s="230" t="str">
        <f t="shared" ca="1" si="14"/>
        <v>N.A.</v>
      </c>
      <c r="AP15" s="230" t="str">
        <f t="shared" ca="1" si="15"/>
        <v>N.A.</v>
      </c>
      <c r="AQ15" s="230" t="str">
        <f t="shared" ca="1" si="16"/>
        <v>N.A.</v>
      </c>
      <c r="AR15" s="230" t="str">
        <f t="shared" ca="1" si="17"/>
        <v>N.A.</v>
      </c>
      <c r="AS15" s="229" t="str">
        <f t="shared" ca="1" si="18"/>
        <v>N.A.</v>
      </c>
      <c r="AT15" s="229" t="str">
        <f t="shared" ca="1" si="19"/>
        <v>N.A.</v>
      </c>
      <c r="AU15" s="230" t="str">
        <f t="shared" ca="1" si="20"/>
        <v>N.A.</v>
      </c>
      <c r="AV15" s="230" t="str">
        <f t="shared" ca="1" si="21"/>
        <v>N.A.</v>
      </c>
      <c r="AW15" s="230" t="str">
        <f t="shared" ca="1" si="22"/>
        <v>N.A.</v>
      </c>
      <c r="AX15" s="230" t="str">
        <f t="shared" ca="1" si="23"/>
        <v>N.A.</v>
      </c>
      <c r="BK15" s="122" t="s">
        <v>54</v>
      </c>
      <c r="BL15" s="231">
        <f>$F$26+$F$28/2</f>
        <v>0</v>
      </c>
      <c r="BM15" s="231">
        <f>$F$26+$F$28/2</f>
        <v>0</v>
      </c>
      <c r="BN15" s="231">
        <f>$F$26-$F$28/2</f>
        <v>0</v>
      </c>
      <c r="BO15" s="231">
        <f>$F$26-$F$28/2</f>
        <v>0</v>
      </c>
      <c r="BP15" s="231">
        <f>$F$26+$F$28/2</f>
        <v>0</v>
      </c>
    </row>
    <row r="16" spans="1:68" ht="15">
      <c r="A16" s="57">
        <v>18</v>
      </c>
      <c r="B16" s="19"/>
      <c r="C16" s="43" t="s">
        <v>39</v>
      </c>
      <c r="D16" s="269" t="str">
        <f ca="1">SUBSTITUTE(VLOOKUP(RIGHT( CELL("имяфайла",$E$2), LEN( CELL("имяфайла",$E$2))-FIND("]", CELL("имяфайла",$E$2))),Summary!C:Z,$A16,FALSE),".",",")</f>
        <v>0,11</v>
      </c>
      <c r="E16" s="34" t="s">
        <v>248</v>
      </c>
      <c r="F16" s="24"/>
      <c r="G16" s="24"/>
      <c r="H16" s="24"/>
      <c r="I16" s="24"/>
      <c r="J16" s="143"/>
      <c r="K16" s="30"/>
      <c r="N16" s="58"/>
      <c r="O16" s="68" t="s">
        <v>205</v>
      </c>
      <c r="P16" s="79">
        <f ca="1">IF($D$22&gt;=1,IF($C$29&lt;=$D$15,$C$27*$C$28*$C$29*($D$14-$D$16),$C$27*$C$28*($D$15*($D$14-$D$16)+($C$29-$D$15)*$D$14)),0)</f>
        <v>0.35167499999999996</v>
      </c>
      <c r="Q16" s="79">
        <f>IF($D$22&gt;=2,IF($D$29&lt;=$D$15,$D$27*$D$28*$D$29*($D$14-$D$16),$D$27*$D$28*($D$15*($D$14-$D$16)+($D$29-$D$15)*$D$14)),0)</f>
        <v>0</v>
      </c>
      <c r="R16" s="79">
        <f>IF($D$22&gt;=3,IF($E$29&lt;=$D$15,$E$27*$E$28*$E$29*($D$14-$D$16),$E$27*$E$28*($D$15*($D$14-$D$16)+($E$29-$D$15)*$D$14)),0)</f>
        <v>0</v>
      </c>
      <c r="S16" s="79">
        <f>IF($D$22&gt;=4,IF($F$29&lt;=$D$15,$F$27*$F$28*$F$29*($D$14-$D$16),$F$27*$F$28*($D$15*($D$14-$D$16)+($F$29-$D$15)*$D$14)),0)</f>
        <v>0</v>
      </c>
      <c r="T16" s="79">
        <f>IF($D$22&gt;=5,IF($G$29&lt;=$D$15,$G$27*$G$28*$G$29*($D$14-$D$16),$G$27*$G$28*($D$15*($D$14-$D$16)+($G$29-$D$15)*$D$14)),0)</f>
        <v>0</v>
      </c>
      <c r="U16" s="79">
        <f>IF($D$22&gt;=6,IF($H$29&lt;=$D$15,$H$27*$H$28*$H$29*($D$14-$D$16),$H$27*$H$28*($D$15*($D$14-$D$16)+($H$29-$D$15)*$D$14)),0)</f>
        <v>0</v>
      </c>
      <c r="V16" s="79">
        <f>IF($D$22&gt;=7,IF($I$29&lt;=$D$15,$I$27*$I$28*$I$29*($D$14-$D$16),$I$27*$I$28*($D$15*($D$14-$D$16)+($I$29-$D$15)*$D$14)),0)</f>
        <v>0</v>
      </c>
      <c r="W16" s="79">
        <f>IF($D$22&gt;=8,IF($J$29&lt;=$D$15,$J$27*$J$28*$J$29*($D$14-$D$16),$J$27*$J$28*($D$15*($D$14-$D$16)+($J$29-$D$15)*$D$14)),0)</f>
        <v>0</v>
      </c>
      <c r="X16" s="227">
        <v>12</v>
      </c>
      <c r="Y16" s="230" t="str">
        <f t="shared" ca="1" si="24"/>
        <v>N.A.</v>
      </c>
      <c r="Z16" s="230" t="str">
        <f t="shared" ca="1" si="25"/>
        <v>N.A.</v>
      </c>
      <c r="AA16" s="230" t="str">
        <f t="shared" ca="1" si="0"/>
        <v>N.A.</v>
      </c>
      <c r="AB16" s="230" t="str">
        <f t="shared" ca="1" si="1"/>
        <v>N.A.</v>
      </c>
      <c r="AC16" s="230" t="str">
        <f t="shared" ca="1" si="2"/>
        <v>N.A.</v>
      </c>
      <c r="AD16" s="229" t="str">
        <f t="shared" ca="1" si="3"/>
        <v>N.A.</v>
      </c>
      <c r="AE16" s="229" t="str">
        <f t="shared" ca="1" si="4"/>
        <v>N.A.</v>
      </c>
      <c r="AF16" s="229" t="str">
        <f t="shared" ca="1" si="5"/>
        <v>N.A.</v>
      </c>
      <c r="AG16" s="229" t="str">
        <f t="shared" ca="1" si="6"/>
        <v>N.A.</v>
      </c>
      <c r="AH16" s="230" t="str">
        <f t="shared" ca="1" si="7"/>
        <v>N.A.</v>
      </c>
      <c r="AI16" s="230" t="str">
        <f t="shared" ca="1" si="8"/>
        <v>N.A.</v>
      </c>
      <c r="AJ16" s="230" t="str">
        <f t="shared" ca="1" si="9"/>
        <v>N.A.</v>
      </c>
      <c r="AK16" s="230" t="str">
        <f t="shared" ca="1" si="10"/>
        <v>N.A.</v>
      </c>
      <c r="AL16" s="230" t="str">
        <f t="shared" ca="1" si="11"/>
        <v>N.A.</v>
      </c>
      <c r="AM16" s="230" t="str">
        <f t="shared" ca="1" si="12"/>
        <v>N.A.</v>
      </c>
      <c r="AN16" s="230" t="str">
        <f t="shared" ca="1" si="13"/>
        <v>N.A.</v>
      </c>
      <c r="AO16" s="230" t="str">
        <f t="shared" ca="1" si="14"/>
        <v>N.A.</v>
      </c>
      <c r="AP16" s="230" t="str">
        <f t="shared" ca="1" si="15"/>
        <v>N.A.</v>
      </c>
      <c r="AQ16" s="230" t="str">
        <f t="shared" ca="1" si="16"/>
        <v>N.A.</v>
      </c>
      <c r="AR16" s="230" t="str">
        <f t="shared" ca="1" si="17"/>
        <v>N.A.</v>
      </c>
      <c r="AS16" s="229" t="str">
        <f t="shared" ca="1" si="18"/>
        <v>N.A.</v>
      </c>
      <c r="AT16" s="229" t="str">
        <f t="shared" ca="1" si="19"/>
        <v>N.A.</v>
      </c>
      <c r="AU16" s="230" t="str">
        <f t="shared" ca="1" si="20"/>
        <v>N.A.</v>
      </c>
      <c r="AV16" s="230" t="str">
        <f t="shared" ca="1" si="21"/>
        <v>N.A.</v>
      </c>
      <c r="AW16" s="230" t="str">
        <f t="shared" ca="1" si="22"/>
        <v>N.A.</v>
      </c>
      <c r="AX16" s="230" t="str">
        <f t="shared" ca="1" si="23"/>
        <v>N.A.</v>
      </c>
      <c r="AZ16" s="184" t="s">
        <v>235</v>
      </c>
      <c r="BA16" s="176" t="s">
        <v>16</v>
      </c>
      <c r="BB16" s="176"/>
      <c r="BC16" s="176"/>
      <c r="BD16" s="176"/>
      <c r="BE16" s="176"/>
      <c r="BF16" s="176"/>
      <c r="BG16" s="176"/>
      <c r="BH16" s="177"/>
      <c r="BK16" s="122" t="s">
        <v>55</v>
      </c>
      <c r="BL16" s="231">
        <f>$G$25-$G$27/2</f>
        <v>0</v>
      </c>
      <c r="BM16" s="231">
        <f>$G$25+$G$27/2</f>
        <v>0</v>
      </c>
      <c r="BN16" s="231">
        <f>$G$25+$G$27/2</f>
        <v>0</v>
      </c>
      <c r="BO16" s="231">
        <f>$G$25-$G$27/2</f>
        <v>0</v>
      </c>
      <c r="BP16" s="231">
        <f>$G$25-$G$27/2</f>
        <v>0</v>
      </c>
    </row>
    <row r="17" spans="1:68" ht="15">
      <c r="A17" s="57">
        <v>19</v>
      </c>
      <c r="B17" s="23"/>
      <c r="C17" s="235" t="s">
        <v>324</v>
      </c>
      <c r="D17" s="269" t="str">
        <f ca="1">SUBSTITUTE(VLOOKUP(RIGHT( CELL("имяфайла",$E$2), LEN( CELL("имяфайла",$E$2))-FIND("]", CELL("имяфайла",$E$2))),Summary!C:Z,$A17,FALSE),".",",")</f>
        <v>2,05</v>
      </c>
      <c r="E17" s="238"/>
      <c r="F17" s="24"/>
      <c r="G17" s="24"/>
      <c r="H17" s="24"/>
      <c r="I17" s="24"/>
      <c r="J17" s="24"/>
      <c r="K17" s="30"/>
      <c r="N17" s="58"/>
      <c r="O17" s="80" t="s">
        <v>104</v>
      </c>
      <c r="P17" s="79">
        <f ca="1">IF($D$22&gt;=1,-($C$30)+$P$16,0)</f>
        <v>88.351675</v>
      </c>
      <c r="Q17" s="79">
        <f>IF($D$22&gt;=2,-($D$30)+$Q$16,0)</f>
        <v>0</v>
      </c>
      <c r="R17" s="79">
        <f>IF($D$22&gt;=3,-($E$30)+$R$16,0)</f>
        <v>0</v>
      </c>
      <c r="S17" s="79">
        <f>IF($D$22&gt;=4,-($F$30)+$S$16,0)</f>
        <v>0</v>
      </c>
      <c r="T17" s="79">
        <f>IF($D$22&gt;=5,-($G$30)+$T$16,0)</f>
        <v>0</v>
      </c>
      <c r="U17" s="79">
        <f>IF($D$22&gt;=6,-($H$30)+$U$16,0)</f>
        <v>0</v>
      </c>
      <c r="V17" s="79">
        <f>IF($D$22&gt;=7,-($I$30)+$V$16,0)</f>
        <v>0</v>
      </c>
      <c r="W17" s="79">
        <f>IF($D$22&gt;=8,-($J$30)+$W$16,0)</f>
        <v>0</v>
      </c>
      <c r="X17" s="227">
        <v>13</v>
      </c>
      <c r="Y17" s="230" t="str">
        <f t="shared" ca="1" si="24"/>
        <v>N.A.</v>
      </c>
      <c r="Z17" s="230" t="str">
        <f t="shared" ca="1" si="25"/>
        <v>N.A.</v>
      </c>
      <c r="AA17" s="230" t="str">
        <f t="shared" ca="1" si="0"/>
        <v>N.A.</v>
      </c>
      <c r="AB17" s="230" t="str">
        <f t="shared" ca="1" si="1"/>
        <v>N.A.</v>
      </c>
      <c r="AC17" s="230" t="str">
        <f t="shared" ca="1" si="2"/>
        <v>N.A.</v>
      </c>
      <c r="AD17" s="229" t="str">
        <f t="shared" ca="1" si="3"/>
        <v>N.A.</v>
      </c>
      <c r="AE17" s="229" t="str">
        <f t="shared" ca="1" si="4"/>
        <v>N.A.</v>
      </c>
      <c r="AF17" s="229" t="str">
        <f t="shared" ca="1" si="5"/>
        <v>N.A.</v>
      </c>
      <c r="AG17" s="229" t="str">
        <f t="shared" ca="1" si="6"/>
        <v>N.A.</v>
      </c>
      <c r="AH17" s="230" t="str">
        <f t="shared" ca="1" si="7"/>
        <v>N.A.</v>
      </c>
      <c r="AI17" s="230" t="str">
        <f t="shared" ca="1" si="8"/>
        <v>N.A.</v>
      </c>
      <c r="AJ17" s="230" t="str">
        <f t="shared" ca="1" si="9"/>
        <v>N.A.</v>
      </c>
      <c r="AK17" s="230" t="str">
        <f t="shared" ca="1" si="10"/>
        <v>N.A.</v>
      </c>
      <c r="AL17" s="230" t="str">
        <f t="shared" ca="1" si="11"/>
        <v>N.A.</v>
      </c>
      <c r="AM17" s="230" t="str">
        <f t="shared" ca="1" si="12"/>
        <v>N.A.</v>
      </c>
      <c r="AN17" s="230" t="str">
        <f t="shared" ca="1" si="13"/>
        <v>N.A.</v>
      </c>
      <c r="AO17" s="230" t="str">
        <f t="shared" ca="1" si="14"/>
        <v>N.A.</v>
      </c>
      <c r="AP17" s="230" t="str">
        <f t="shared" ca="1" si="15"/>
        <v>N.A.</v>
      </c>
      <c r="AQ17" s="230" t="str">
        <f t="shared" ca="1" si="16"/>
        <v>N.A.</v>
      </c>
      <c r="AR17" s="230" t="str">
        <f t="shared" ca="1" si="17"/>
        <v>N.A.</v>
      </c>
      <c r="AS17" s="229" t="str">
        <f t="shared" ca="1" si="18"/>
        <v>N.A.</v>
      </c>
      <c r="AT17" s="229" t="str">
        <f t="shared" ca="1" si="19"/>
        <v>N.A.</v>
      </c>
      <c r="AU17" s="230" t="str">
        <f t="shared" ca="1" si="20"/>
        <v>N.A.</v>
      </c>
      <c r="AV17" s="230" t="str">
        <f t="shared" ca="1" si="21"/>
        <v>N.A.</v>
      </c>
      <c r="AW17" s="230" t="str">
        <f t="shared" ca="1" si="22"/>
        <v>N.A.</v>
      </c>
      <c r="AX17" s="230" t="str">
        <f t="shared" ca="1" si="23"/>
        <v>N.A.</v>
      </c>
      <c r="AZ17" s="178"/>
      <c r="BA17" s="67" t="s">
        <v>14</v>
      </c>
      <c r="BB17" s="67"/>
      <c r="BC17" s="67"/>
      <c r="BD17" s="67"/>
      <c r="BE17" s="67"/>
      <c r="BF17" s="67"/>
      <c r="BG17" s="67"/>
      <c r="BH17" s="179"/>
      <c r="BK17" s="122" t="s">
        <v>56</v>
      </c>
      <c r="BL17" s="231">
        <f>$G$26+$G$28/2</f>
        <v>0</v>
      </c>
      <c r="BM17" s="231">
        <f>$G$26+$G$28/2</f>
        <v>0</v>
      </c>
      <c r="BN17" s="231">
        <f>$G$26-$G$28/2</f>
        <v>0</v>
      </c>
      <c r="BO17" s="231">
        <f>$G$26-$G$28/2</f>
        <v>0</v>
      </c>
      <c r="BP17" s="231">
        <f>$G$26+$G$28/2</f>
        <v>0</v>
      </c>
    </row>
    <row r="18" spans="1:68" ht="15">
      <c r="A18" s="57">
        <v>20</v>
      </c>
      <c r="B18" s="23"/>
      <c r="C18" s="235" t="s">
        <v>323</v>
      </c>
      <c r="D18" s="269" t="str">
        <f ca="1">SUBSTITUTE(VLOOKUP(RIGHT( CELL("имяфайла",$E$2), LEN( CELL("имяфайла",$E$2))-FIND("]", CELL("имяфайла",$E$2))),Summary!C:Z,$A18,FALSE),".",",")</f>
        <v>0,28</v>
      </c>
      <c r="E18" s="238"/>
      <c r="F18" s="24"/>
      <c r="G18" s="24"/>
      <c r="H18" s="24"/>
      <c r="I18" s="24"/>
      <c r="J18" s="24"/>
      <c r="K18" s="30"/>
      <c r="N18" s="58"/>
      <c r="O18" s="81" t="s">
        <v>112</v>
      </c>
      <c r="P18" s="79">
        <f ca="1">ROUND(SUM($P$17:$W$17),6)</f>
        <v>88.351675</v>
      </c>
      <c r="Q18" s="82" t="s">
        <v>66</v>
      </c>
      <c r="R18" s="135"/>
      <c r="S18" s="136"/>
      <c r="T18" s="136"/>
      <c r="U18" s="136"/>
      <c r="V18" s="136"/>
      <c r="W18" s="83"/>
      <c r="X18" s="227">
        <v>14</v>
      </c>
      <c r="Y18" s="230" t="str">
        <f t="shared" ca="1" si="24"/>
        <v>N.A.</v>
      </c>
      <c r="Z18" s="230" t="str">
        <f t="shared" ca="1" si="25"/>
        <v>N.A.</v>
      </c>
      <c r="AA18" s="230" t="str">
        <f t="shared" ca="1" si="0"/>
        <v>N.A.</v>
      </c>
      <c r="AB18" s="230" t="str">
        <f t="shared" ca="1" si="1"/>
        <v>N.A.</v>
      </c>
      <c r="AC18" s="230" t="str">
        <f t="shared" ca="1" si="2"/>
        <v>N.A.</v>
      </c>
      <c r="AD18" s="229" t="str">
        <f t="shared" ca="1" si="3"/>
        <v>N.A.</v>
      </c>
      <c r="AE18" s="229" t="str">
        <f t="shared" ca="1" si="4"/>
        <v>N.A.</v>
      </c>
      <c r="AF18" s="229" t="str">
        <f t="shared" ca="1" si="5"/>
        <v>N.A.</v>
      </c>
      <c r="AG18" s="229" t="str">
        <f t="shared" ca="1" si="6"/>
        <v>N.A.</v>
      </c>
      <c r="AH18" s="230" t="str">
        <f t="shared" ca="1" si="7"/>
        <v>N.A.</v>
      </c>
      <c r="AI18" s="230" t="str">
        <f t="shared" ca="1" si="8"/>
        <v>N.A.</v>
      </c>
      <c r="AJ18" s="230" t="str">
        <f t="shared" ca="1" si="9"/>
        <v>N.A.</v>
      </c>
      <c r="AK18" s="230" t="str">
        <f t="shared" ca="1" si="10"/>
        <v>N.A.</v>
      </c>
      <c r="AL18" s="230" t="str">
        <f t="shared" ca="1" si="11"/>
        <v>N.A.</v>
      </c>
      <c r="AM18" s="230" t="str">
        <f t="shared" ca="1" si="12"/>
        <v>N.A.</v>
      </c>
      <c r="AN18" s="230" t="str">
        <f t="shared" ca="1" si="13"/>
        <v>N.A.</v>
      </c>
      <c r="AO18" s="230" t="str">
        <f t="shared" ca="1" si="14"/>
        <v>N.A.</v>
      </c>
      <c r="AP18" s="230" t="str">
        <f t="shared" ca="1" si="15"/>
        <v>N.A.</v>
      </c>
      <c r="AQ18" s="230" t="str">
        <f t="shared" ca="1" si="16"/>
        <v>N.A.</v>
      </c>
      <c r="AR18" s="230" t="str">
        <f t="shared" ca="1" si="17"/>
        <v>N.A.</v>
      </c>
      <c r="AS18" s="229" t="str">
        <f t="shared" ca="1" si="18"/>
        <v>N.A.</v>
      </c>
      <c r="AT18" s="229" t="str">
        <f t="shared" ca="1" si="19"/>
        <v>N.A.</v>
      </c>
      <c r="AU18" s="230" t="str">
        <f t="shared" ca="1" si="20"/>
        <v>N.A.</v>
      </c>
      <c r="AV18" s="230" t="str">
        <f t="shared" ca="1" si="21"/>
        <v>N.A.</v>
      </c>
      <c r="AW18" s="230" t="str">
        <f t="shared" ca="1" si="22"/>
        <v>N.A.</v>
      </c>
      <c r="AX18" s="230" t="str">
        <f t="shared" ca="1" si="23"/>
        <v>N.A.</v>
      </c>
      <c r="AZ18" s="178"/>
      <c r="BA18" s="67" t="s">
        <v>15</v>
      </c>
      <c r="BB18" s="67"/>
      <c r="BC18" s="67"/>
      <c r="BD18" s="67"/>
      <c r="BE18" s="67"/>
      <c r="BF18" s="67"/>
      <c r="BG18" s="67"/>
      <c r="BH18" s="179"/>
      <c r="BK18" s="122" t="s">
        <v>57</v>
      </c>
      <c r="BL18" s="231">
        <f>$H$25-$H$27/2</f>
        <v>0</v>
      </c>
      <c r="BM18" s="231">
        <f>$H$25+$H$27/2</f>
        <v>0</v>
      </c>
      <c r="BN18" s="231">
        <f>$H$25+$H$27/2</f>
        <v>0</v>
      </c>
      <c r="BO18" s="231">
        <f>$H$25-$H$27/2</f>
        <v>0</v>
      </c>
      <c r="BP18" s="231">
        <f>$H$25-$H$27/2</f>
        <v>0</v>
      </c>
    </row>
    <row r="19" spans="1:68" ht="15">
      <c r="A19" s="57">
        <v>21</v>
      </c>
      <c r="B19" s="23"/>
      <c r="C19" s="43" t="s">
        <v>40</v>
      </c>
      <c r="D19" s="269" t="str">
        <f ca="1">SUBSTITUTE(VLOOKUP(RIGHT( CELL("имяфайла",$E$2), LEN( CELL("имяфайла",$E$2))-FIND("]", CELL("имяфайла",$E$2))),Summary!C:Z,$A19,FALSE),".",",")</f>
        <v>0,1</v>
      </c>
      <c r="E19" s="34" t="s">
        <v>42</v>
      </c>
      <c r="F19" s="24"/>
      <c r="G19" s="24"/>
      <c r="H19" s="24"/>
      <c r="I19" s="24"/>
      <c r="J19" s="24"/>
      <c r="K19" s="30"/>
      <c r="N19" s="58"/>
      <c r="O19" s="68" t="s">
        <v>239</v>
      </c>
      <c r="P19" s="79">
        <f ca="1">IF($D$22&gt;=1,IF($C$30&lt;=0,$C$30,0),0)</f>
        <v>0</v>
      </c>
      <c r="Q19" s="79">
        <f>IF($D$22&gt;=2,IF($D$30&lt;=0,$D$30,0),0)</f>
        <v>0</v>
      </c>
      <c r="R19" s="79">
        <f>IF($D$22&gt;=3,IF($E$30&lt;=0,$E$30,0),0)</f>
        <v>0</v>
      </c>
      <c r="S19" s="79">
        <f>IF($D$22&gt;=4,IF($F$30&lt;=0,$F$30,0),0)</f>
        <v>0</v>
      </c>
      <c r="T19" s="79">
        <f>IF($D$22&gt;=5,IF($G$30&lt;=0,$G$30,0),0)</f>
        <v>0</v>
      </c>
      <c r="U19" s="79">
        <f>IF($D$22&gt;=6,IF($H$30&lt;=0,$H$30,0),0)</f>
        <v>0</v>
      </c>
      <c r="V19" s="79">
        <f>IF($D$22&gt;=7,IF($I$30&lt;=0,$I$30,0),0)</f>
        <v>0</v>
      </c>
      <c r="W19" s="79">
        <f>IF($D$22&gt;=8,IF($J$30&lt;=0,$J$30,0),0)</f>
        <v>0</v>
      </c>
      <c r="X19" s="227">
        <v>15</v>
      </c>
      <c r="Y19" s="230" t="str">
        <f t="shared" ca="1" si="24"/>
        <v>N.A.</v>
      </c>
      <c r="Z19" s="230" t="str">
        <f t="shared" ca="1" si="25"/>
        <v>N.A.</v>
      </c>
      <c r="AA19" s="230" t="str">
        <f t="shared" ca="1" si="0"/>
        <v>N.A.</v>
      </c>
      <c r="AB19" s="230" t="str">
        <f t="shared" ca="1" si="1"/>
        <v>N.A.</v>
      </c>
      <c r="AC19" s="230" t="str">
        <f t="shared" ca="1" si="2"/>
        <v>N.A.</v>
      </c>
      <c r="AD19" s="229" t="str">
        <f t="shared" ca="1" si="3"/>
        <v>N.A.</v>
      </c>
      <c r="AE19" s="229" t="str">
        <f t="shared" ca="1" si="4"/>
        <v>N.A.</v>
      </c>
      <c r="AF19" s="229" t="str">
        <f t="shared" ca="1" si="5"/>
        <v>N.A.</v>
      </c>
      <c r="AG19" s="229" t="str">
        <f t="shared" ca="1" si="6"/>
        <v>N.A.</v>
      </c>
      <c r="AH19" s="230" t="str">
        <f t="shared" ca="1" si="7"/>
        <v>N.A.</v>
      </c>
      <c r="AI19" s="230" t="str">
        <f t="shared" ca="1" si="8"/>
        <v>N.A.</v>
      </c>
      <c r="AJ19" s="230" t="str">
        <f t="shared" ca="1" si="9"/>
        <v>N.A.</v>
      </c>
      <c r="AK19" s="230" t="str">
        <f t="shared" ca="1" si="10"/>
        <v>N.A.</v>
      </c>
      <c r="AL19" s="230" t="str">
        <f t="shared" ca="1" si="11"/>
        <v>N.A.</v>
      </c>
      <c r="AM19" s="230" t="str">
        <f t="shared" ca="1" si="12"/>
        <v>N.A.</v>
      </c>
      <c r="AN19" s="230" t="str">
        <f t="shared" ca="1" si="13"/>
        <v>N.A.</v>
      </c>
      <c r="AO19" s="230" t="str">
        <f t="shared" ca="1" si="14"/>
        <v>N.A.</v>
      </c>
      <c r="AP19" s="230" t="str">
        <f t="shared" ca="1" si="15"/>
        <v>N.A.</v>
      </c>
      <c r="AQ19" s="230" t="str">
        <f t="shared" ca="1" si="16"/>
        <v>N.A.</v>
      </c>
      <c r="AR19" s="230" t="str">
        <f t="shared" ca="1" si="17"/>
        <v>N.A.</v>
      </c>
      <c r="AS19" s="229" t="str">
        <f t="shared" ca="1" si="18"/>
        <v>N.A.</v>
      </c>
      <c r="AT19" s="229" t="str">
        <f t="shared" ca="1" si="19"/>
        <v>N.A.</v>
      </c>
      <c r="AU19" s="230" t="str">
        <f t="shared" ca="1" si="20"/>
        <v>N.A.</v>
      </c>
      <c r="AV19" s="230" t="str">
        <f t="shared" ca="1" si="21"/>
        <v>N.A.</v>
      </c>
      <c r="AW19" s="230" t="str">
        <f t="shared" ca="1" si="22"/>
        <v>N.A.</v>
      </c>
      <c r="AX19" s="230" t="str">
        <f t="shared" ca="1" si="23"/>
        <v>N.A.</v>
      </c>
      <c r="AZ19" s="178"/>
      <c r="BA19" s="67" t="s">
        <v>13</v>
      </c>
      <c r="BB19" s="67"/>
      <c r="BC19" s="67"/>
      <c r="BD19" s="67"/>
      <c r="BE19" s="67"/>
      <c r="BF19" s="67"/>
      <c r="BG19" s="67"/>
      <c r="BH19" s="179"/>
      <c r="BK19" s="122" t="s">
        <v>58</v>
      </c>
      <c r="BL19" s="231">
        <f>$H$26+$H$28/2</f>
        <v>0</v>
      </c>
      <c r="BM19" s="231">
        <f>$H$26+$H$28/2</f>
        <v>0</v>
      </c>
      <c r="BN19" s="231">
        <f>$H$26-$H$28/2</f>
        <v>0</v>
      </c>
      <c r="BO19" s="231">
        <f>$H$26-$H$28/2</f>
        <v>0</v>
      </c>
      <c r="BP19" s="231">
        <f>$H$26+$H$28/2</f>
        <v>0</v>
      </c>
    </row>
    <row r="20" spans="1:68">
      <c r="A20" s="57">
        <v>4</v>
      </c>
      <c r="B20" s="23"/>
      <c r="C20" s="24"/>
      <c r="D20" s="24"/>
      <c r="E20" s="24"/>
      <c r="F20" s="24"/>
      <c r="G20" s="24"/>
      <c r="H20" s="143"/>
      <c r="I20" s="24"/>
      <c r="J20" s="24"/>
      <c r="K20" s="30"/>
      <c r="N20" s="58"/>
      <c r="O20" s="81" t="s">
        <v>206</v>
      </c>
      <c r="P20" s="79">
        <f ca="1">ROUND(SUM($P$19:$W$19),6)</f>
        <v>0</v>
      </c>
      <c r="Q20" s="82" t="s">
        <v>66</v>
      </c>
      <c r="R20" s="135"/>
      <c r="S20" s="136"/>
      <c r="T20" s="136"/>
      <c r="U20" s="136"/>
      <c r="V20" s="136"/>
      <c r="W20" s="83"/>
      <c r="X20" s="227">
        <v>16</v>
      </c>
      <c r="Y20" s="230" t="str">
        <f t="shared" ca="1" si="24"/>
        <v>N.A.</v>
      </c>
      <c r="Z20" s="230" t="str">
        <f t="shared" ca="1" si="25"/>
        <v>N.A.</v>
      </c>
      <c r="AA20" s="230" t="str">
        <f t="shared" ca="1" si="0"/>
        <v>N.A.</v>
      </c>
      <c r="AB20" s="230" t="str">
        <f t="shared" ca="1" si="1"/>
        <v>N.A.</v>
      </c>
      <c r="AC20" s="230" t="str">
        <f t="shared" ca="1" si="2"/>
        <v>N.A.</v>
      </c>
      <c r="AD20" s="229" t="str">
        <f t="shared" ca="1" si="3"/>
        <v>N.A.</v>
      </c>
      <c r="AE20" s="229" t="str">
        <f t="shared" ca="1" si="4"/>
        <v>N.A.</v>
      </c>
      <c r="AF20" s="229" t="str">
        <f t="shared" ca="1" si="5"/>
        <v>N.A.</v>
      </c>
      <c r="AG20" s="229" t="str">
        <f t="shared" ca="1" si="6"/>
        <v>N.A.</v>
      </c>
      <c r="AH20" s="230" t="str">
        <f t="shared" ca="1" si="7"/>
        <v>N.A.</v>
      </c>
      <c r="AI20" s="230" t="str">
        <f t="shared" ca="1" si="8"/>
        <v>N.A.</v>
      </c>
      <c r="AJ20" s="230" t="str">
        <f t="shared" ca="1" si="9"/>
        <v>N.A.</v>
      </c>
      <c r="AK20" s="230" t="str">
        <f t="shared" ca="1" si="10"/>
        <v>N.A.</v>
      </c>
      <c r="AL20" s="230" t="str">
        <f t="shared" ca="1" si="11"/>
        <v>N.A.</v>
      </c>
      <c r="AM20" s="230" t="str">
        <f t="shared" ca="1" si="12"/>
        <v>N.A.</v>
      </c>
      <c r="AN20" s="230" t="str">
        <f t="shared" ca="1" si="13"/>
        <v>N.A.</v>
      </c>
      <c r="AO20" s="230" t="str">
        <f t="shared" ca="1" si="14"/>
        <v>N.A.</v>
      </c>
      <c r="AP20" s="230" t="str">
        <f t="shared" ca="1" si="15"/>
        <v>N.A.</v>
      </c>
      <c r="AQ20" s="230" t="str">
        <f t="shared" ca="1" si="16"/>
        <v>N.A.</v>
      </c>
      <c r="AR20" s="230" t="str">
        <f t="shared" ca="1" si="17"/>
        <v>N.A.</v>
      </c>
      <c r="AS20" s="229" t="str">
        <f t="shared" ca="1" si="18"/>
        <v>N.A.</v>
      </c>
      <c r="AT20" s="229" t="str">
        <f t="shared" ca="1" si="19"/>
        <v>N.A.</v>
      </c>
      <c r="AU20" s="230" t="str">
        <f t="shared" ca="1" si="20"/>
        <v>N.A.</v>
      </c>
      <c r="AV20" s="230" t="str">
        <f t="shared" ca="1" si="21"/>
        <v>N.A.</v>
      </c>
      <c r="AW20" s="230" t="str">
        <f t="shared" ca="1" si="22"/>
        <v>N.A.</v>
      </c>
      <c r="AX20" s="230" t="str">
        <f t="shared" ca="1" si="23"/>
        <v>N.A.</v>
      </c>
      <c r="AZ20" s="180"/>
      <c r="BA20" s="181" t="s">
        <v>17</v>
      </c>
      <c r="BB20" s="181"/>
      <c r="BC20" s="181"/>
      <c r="BD20" s="181"/>
      <c r="BE20" s="181"/>
      <c r="BF20" s="181"/>
      <c r="BG20" s="181"/>
      <c r="BH20" s="182"/>
      <c r="BK20" s="122" t="s">
        <v>59</v>
      </c>
      <c r="BL20" s="231">
        <f>$I$25-$I$27/2</f>
        <v>0</v>
      </c>
      <c r="BM20" s="231">
        <f>$I$25+$I$27/2</f>
        <v>0</v>
      </c>
      <c r="BN20" s="231">
        <f>$I$25+$I$27/2</f>
        <v>0</v>
      </c>
      <c r="BO20" s="231">
        <f>$I$25-$I$27/2</f>
        <v>0</v>
      </c>
      <c r="BP20" s="231">
        <f>$I$25-$I$27/2</f>
        <v>0</v>
      </c>
    </row>
    <row r="21" spans="1:68">
      <c r="B21" s="44" t="s">
        <v>27</v>
      </c>
      <c r="C21" s="78"/>
      <c r="D21" s="61"/>
      <c r="E21" s="24"/>
      <c r="F21" s="24"/>
      <c r="G21" s="24"/>
      <c r="H21" s="24"/>
      <c r="I21" s="24"/>
      <c r="J21" s="24"/>
      <c r="K21" s="30"/>
      <c r="N21" s="58"/>
      <c r="O21" s="68" t="s">
        <v>207</v>
      </c>
      <c r="P21" s="79" t="str">
        <f ca="1">IF($D$22&gt;=1,IF($C$30&gt;0,$C$30,0),0)</f>
        <v>-88</v>
      </c>
      <c r="Q21" s="79">
        <f>IF($D$22&gt;=2,IF($D$30&gt;0,$D$30,0),0)</f>
        <v>0</v>
      </c>
      <c r="R21" s="79">
        <f>IF($D$22&gt;=3,IF($E$30&gt;0,$E$30,0),0)</f>
        <v>0</v>
      </c>
      <c r="S21" s="79">
        <f>IF($D$22&gt;=4,IF($F$30&gt;0,$F$30,0),0)</f>
        <v>0</v>
      </c>
      <c r="T21" s="79">
        <f>IF($D$22&gt;=5,IF($G$30&gt;0,$G$30,0),0)</f>
        <v>0</v>
      </c>
      <c r="U21" s="79">
        <f>IF($D$22&gt;=6,IF($H$30&gt;0,$H$30,0),0)</f>
        <v>0</v>
      </c>
      <c r="V21" s="79">
        <f>IF($D$22&gt;=7,IF($I$30&gt;0,$I$30,0),0)</f>
        <v>0</v>
      </c>
      <c r="W21" s="79">
        <f>IF($D$22&gt;=8,IF($J$30&gt;0,$J$30,0),0)</f>
        <v>0</v>
      </c>
      <c r="X21" s="227">
        <v>17</v>
      </c>
      <c r="Y21" s="230" t="str">
        <f t="shared" ca="1" si="24"/>
        <v>N.A.</v>
      </c>
      <c r="Z21" s="230" t="str">
        <f t="shared" ca="1" si="25"/>
        <v>N.A.</v>
      </c>
      <c r="AA21" s="230" t="str">
        <f t="shared" ca="1" si="0"/>
        <v>N.A.</v>
      </c>
      <c r="AB21" s="230" t="str">
        <f t="shared" ca="1" si="1"/>
        <v>N.A.</v>
      </c>
      <c r="AC21" s="230" t="str">
        <f t="shared" ca="1" si="2"/>
        <v>N.A.</v>
      </c>
      <c r="AD21" s="229" t="str">
        <f t="shared" ca="1" si="3"/>
        <v>N.A.</v>
      </c>
      <c r="AE21" s="229" t="str">
        <f t="shared" ca="1" si="4"/>
        <v>N.A.</v>
      </c>
      <c r="AF21" s="229" t="str">
        <f t="shared" ca="1" si="5"/>
        <v>N.A.</v>
      </c>
      <c r="AG21" s="229" t="str">
        <f t="shared" ca="1" si="6"/>
        <v>N.A.</v>
      </c>
      <c r="AH21" s="230" t="str">
        <f t="shared" ca="1" si="7"/>
        <v>N.A.</v>
      </c>
      <c r="AI21" s="230" t="str">
        <f t="shared" ca="1" si="8"/>
        <v>N.A.</v>
      </c>
      <c r="AJ21" s="230" t="str">
        <f t="shared" ca="1" si="9"/>
        <v>N.A.</v>
      </c>
      <c r="AK21" s="230" t="str">
        <f t="shared" ca="1" si="10"/>
        <v>N.A.</v>
      </c>
      <c r="AL21" s="230" t="str">
        <f t="shared" ca="1" si="11"/>
        <v>N.A.</v>
      </c>
      <c r="AM21" s="230" t="str">
        <f t="shared" ca="1" si="12"/>
        <v>N.A.</v>
      </c>
      <c r="AN21" s="230" t="str">
        <f t="shared" ca="1" si="13"/>
        <v>N.A.</v>
      </c>
      <c r="AO21" s="230" t="str">
        <f t="shared" ca="1" si="14"/>
        <v>N.A.</v>
      </c>
      <c r="AP21" s="230" t="str">
        <f t="shared" ca="1" si="15"/>
        <v>N.A.</v>
      </c>
      <c r="AQ21" s="230" t="str">
        <f t="shared" ca="1" si="16"/>
        <v>N.A.</v>
      </c>
      <c r="AR21" s="230" t="str">
        <f t="shared" ca="1" si="17"/>
        <v>N.A.</v>
      </c>
      <c r="AS21" s="229" t="str">
        <f t="shared" ca="1" si="18"/>
        <v>N.A.</v>
      </c>
      <c r="AT21" s="229" t="str">
        <f t="shared" ca="1" si="19"/>
        <v>N.A.</v>
      </c>
      <c r="AU21" s="230" t="str">
        <f t="shared" ca="1" si="20"/>
        <v>N.A.</v>
      </c>
      <c r="AV21" s="230" t="str">
        <f t="shared" ca="1" si="21"/>
        <v>N.A.</v>
      </c>
      <c r="AW21" s="230" t="str">
        <f t="shared" ca="1" si="22"/>
        <v>N.A.</v>
      </c>
      <c r="AX21" s="230" t="str">
        <f t="shared" ca="1" si="23"/>
        <v>N.A.</v>
      </c>
      <c r="BK21" s="122" t="s">
        <v>60</v>
      </c>
      <c r="BL21" s="231">
        <f>$I$26+$I$28/2</f>
        <v>0</v>
      </c>
      <c r="BM21" s="231">
        <f>$I$26+$I$28/2</f>
        <v>0</v>
      </c>
      <c r="BN21" s="231">
        <f>$I$26-$I$28/2</f>
        <v>0</v>
      </c>
      <c r="BO21" s="231">
        <f>$I$26-$I$28/2</f>
        <v>0</v>
      </c>
      <c r="BP21" s="231">
        <f>$I$26+$I$28/2</f>
        <v>0</v>
      </c>
    </row>
    <row r="22" spans="1:68" ht="15">
      <c r="B22" s="23"/>
      <c r="C22" s="56" t="s">
        <v>144</v>
      </c>
      <c r="D22" s="270">
        <v>1</v>
      </c>
      <c r="E22" s="24"/>
      <c r="F22" s="256"/>
      <c r="G22" s="256"/>
      <c r="H22" s="256"/>
      <c r="I22" s="256"/>
      <c r="J22" s="256"/>
      <c r="K22" s="30"/>
      <c r="N22" s="58"/>
      <c r="O22" s="81" t="s">
        <v>208</v>
      </c>
      <c r="P22" s="79">
        <f ca="1">ROUND(SUM($P$21:$W$21),6)</f>
        <v>0</v>
      </c>
      <c r="Q22" s="82" t="s">
        <v>66</v>
      </c>
      <c r="R22" s="135"/>
      <c r="S22" s="136"/>
      <c r="T22" s="136"/>
      <c r="U22" s="136"/>
      <c r="V22" s="136"/>
      <c r="W22" s="83"/>
      <c r="X22" s="227">
        <v>18</v>
      </c>
      <c r="Y22" s="230" t="str">
        <f t="shared" ca="1" si="24"/>
        <v>N.A.</v>
      </c>
      <c r="Z22" s="230" t="str">
        <f t="shared" ca="1" si="25"/>
        <v>N.A.</v>
      </c>
      <c r="AA22" s="230" t="str">
        <f t="shared" ca="1" si="0"/>
        <v>N.A.</v>
      </c>
      <c r="AB22" s="230" t="str">
        <f t="shared" ca="1" si="1"/>
        <v>N.A.</v>
      </c>
      <c r="AC22" s="230" t="str">
        <f t="shared" ca="1" si="2"/>
        <v>N.A.</v>
      </c>
      <c r="AD22" s="229" t="str">
        <f t="shared" ca="1" si="3"/>
        <v>N.A.</v>
      </c>
      <c r="AE22" s="229" t="str">
        <f t="shared" ca="1" si="4"/>
        <v>N.A.</v>
      </c>
      <c r="AF22" s="229" t="str">
        <f t="shared" ca="1" si="5"/>
        <v>N.A.</v>
      </c>
      <c r="AG22" s="229" t="str">
        <f t="shared" ca="1" si="6"/>
        <v>N.A.</v>
      </c>
      <c r="AH22" s="230" t="str">
        <f t="shared" ca="1" si="7"/>
        <v>N.A.</v>
      </c>
      <c r="AI22" s="230" t="str">
        <f t="shared" ca="1" si="8"/>
        <v>N.A.</v>
      </c>
      <c r="AJ22" s="230" t="str">
        <f t="shared" ca="1" si="9"/>
        <v>N.A.</v>
      </c>
      <c r="AK22" s="230" t="str">
        <f t="shared" ca="1" si="10"/>
        <v>N.A.</v>
      </c>
      <c r="AL22" s="230" t="str">
        <f t="shared" ca="1" si="11"/>
        <v>N.A.</v>
      </c>
      <c r="AM22" s="230" t="str">
        <f t="shared" ca="1" si="12"/>
        <v>N.A.</v>
      </c>
      <c r="AN22" s="230" t="str">
        <f t="shared" ca="1" si="13"/>
        <v>N.A.</v>
      </c>
      <c r="AO22" s="230" t="str">
        <f t="shared" ca="1" si="14"/>
        <v>N.A.</v>
      </c>
      <c r="AP22" s="230" t="str">
        <f t="shared" ca="1" si="15"/>
        <v>N.A.</v>
      </c>
      <c r="AQ22" s="230" t="str">
        <f t="shared" ca="1" si="16"/>
        <v>N.A.</v>
      </c>
      <c r="AR22" s="230" t="str">
        <f t="shared" ca="1" si="17"/>
        <v>N.A.</v>
      </c>
      <c r="AS22" s="229" t="str">
        <f t="shared" ca="1" si="18"/>
        <v>N.A.</v>
      </c>
      <c r="AT22" s="229" t="str">
        <f t="shared" ca="1" si="19"/>
        <v>N.A.</v>
      </c>
      <c r="AU22" s="230" t="str">
        <f t="shared" ca="1" si="20"/>
        <v>N.A.</v>
      </c>
      <c r="AV22" s="230" t="str">
        <f t="shared" ca="1" si="21"/>
        <v>N.A.</v>
      </c>
      <c r="AW22" s="230" t="str">
        <f t="shared" ca="1" si="22"/>
        <v>N.A.</v>
      </c>
      <c r="AX22" s="230" t="str">
        <f t="shared" ca="1" si="23"/>
        <v>N.A.</v>
      </c>
      <c r="BK22" s="122" t="s">
        <v>61</v>
      </c>
      <c r="BL22" s="231">
        <f>$J$25-$J$27/2</f>
        <v>0</v>
      </c>
      <c r="BM22" s="231">
        <f>$J$25+$J$27/2</f>
        <v>0</v>
      </c>
      <c r="BN22" s="231">
        <f>$J$25+$J$27/2</f>
        <v>0</v>
      </c>
      <c r="BO22" s="231">
        <f>$J$25-$J$27/2</f>
        <v>0</v>
      </c>
      <c r="BP22" s="231">
        <f>$J$25-$J$27/2</f>
        <v>0</v>
      </c>
    </row>
    <row r="23" spans="1:68">
      <c r="B23" s="23"/>
      <c r="C23" s="241"/>
      <c r="D23" s="241"/>
      <c r="E23" s="241"/>
      <c r="F23" s="241"/>
      <c r="G23" s="241"/>
      <c r="H23" s="241"/>
      <c r="I23" s="241"/>
      <c r="J23" s="241"/>
      <c r="K23" s="30"/>
      <c r="N23" s="58"/>
      <c r="O23" s="85" t="s">
        <v>211</v>
      </c>
      <c r="P23" s="33">
        <f ca="1">IF($D$22&gt;=1,$P$17*(-$P$15),0)</f>
        <v>0</v>
      </c>
      <c r="Q23" s="33">
        <f>IF($D$22&gt;=2,$Q$17*(-$Q$15),0)</f>
        <v>0</v>
      </c>
      <c r="R23" s="33">
        <f>IF($D$22&gt;=3,$R$17*(-$R$15),0)</f>
        <v>0</v>
      </c>
      <c r="S23" s="33">
        <f>IF($D$22&gt;=4,$S$17*(-$S$15),0)</f>
        <v>0</v>
      </c>
      <c r="T23" s="33">
        <f>IF($D$22&gt;=5,$T$17*(-$T$15),0)</f>
        <v>0</v>
      </c>
      <c r="U23" s="33">
        <f>IF($D$22&gt;=6,$U$17*(-$U$15),0)</f>
        <v>0</v>
      </c>
      <c r="V23" s="33">
        <f>IF($D$22&gt;=7,$V$17*(-$V$15),0)</f>
        <v>0</v>
      </c>
      <c r="W23" s="33">
        <f>IF($D$22=8,$W$17*(-$W$15),0)</f>
        <v>0</v>
      </c>
      <c r="X23" s="227">
        <v>19</v>
      </c>
      <c r="Y23" s="230" t="str">
        <f t="shared" ca="1" si="24"/>
        <v>N.A.</v>
      </c>
      <c r="Z23" s="230" t="str">
        <f t="shared" ca="1" si="25"/>
        <v>N.A.</v>
      </c>
      <c r="AA23" s="230" t="str">
        <f t="shared" ca="1" si="0"/>
        <v>N.A.</v>
      </c>
      <c r="AB23" s="230" t="str">
        <f t="shared" ca="1" si="1"/>
        <v>N.A.</v>
      </c>
      <c r="AC23" s="230" t="str">
        <f t="shared" ca="1" si="2"/>
        <v>N.A.</v>
      </c>
      <c r="AD23" s="229" t="str">
        <f t="shared" ca="1" si="3"/>
        <v>N.A.</v>
      </c>
      <c r="AE23" s="229" t="str">
        <f t="shared" ca="1" si="4"/>
        <v>N.A.</v>
      </c>
      <c r="AF23" s="229" t="str">
        <f t="shared" ca="1" si="5"/>
        <v>N.A.</v>
      </c>
      <c r="AG23" s="229" t="str">
        <f t="shared" ca="1" si="6"/>
        <v>N.A.</v>
      </c>
      <c r="AH23" s="230" t="str">
        <f t="shared" ca="1" si="7"/>
        <v>N.A.</v>
      </c>
      <c r="AI23" s="230" t="str">
        <f t="shared" ca="1" si="8"/>
        <v>N.A.</v>
      </c>
      <c r="AJ23" s="230" t="str">
        <f t="shared" ca="1" si="9"/>
        <v>N.A.</v>
      </c>
      <c r="AK23" s="230" t="str">
        <f t="shared" ca="1" si="10"/>
        <v>N.A.</v>
      </c>
      <c r="AL23" s="230" t="str">
        <f t="shared" ca="1" si="11"/>
        <v>N.A.</v>
      </c>
      <c r="AM23" s="230" t="str">
        <f t="shared" ca="1" si="12"/>
        <v>N.A.</v>
      </c>
      <c r="AN23" s="230" t="str">
        <f t="shared" ca="1" si="13"/>
        <v>N.A.</v>
      </c>
      <c r="AO23" s="230" t="str">
        <f t="shared" ca="1" si="14"/>
        <v>N.A.</v>
      </c>
      <c r="AP23" s="230" t="str">
        <f t="shared" ca="1" si="15"/>
        <v>N.A.</v>
      </c>
      <c r="AQ23" s="230" t="str">
        <f t="shared" ca="1" si="16"/>
        <v>N.A.</v>
      </c>
      <c r="AR23" s="230" t="str">
        <f t="shared" ca="1" si="17"/>
        <v>N.A.</v>
      </c>
      <c r="AS23" s="229" t="str">
        <f t="shared" ca="1" si="18"/>
        <v>N.A.</v>
      </c>
      <c r="AT23" s="229" t="str">
        <f t="shared" ca="1" si="19"/>
        <v>N.A.</v>
      </c>
      <c r="AU23" s="230" t="str">
        <f t="shared" ca="1" si="20"/>
        <v>N.A.</v>
      </c>
      <c r="AV23" s="230" t="str">
        <f t="shared" ca="1" si="21"/>
        <v>N.A.</v>
      </c>
      <c r="AW23" s="230" t="str">
        <f t="shared" ca="1" si="22"/>
        <v>N.A.</v>
      </c>
      <c r="AX23" s="230" t="str">
        <f t="shared" ca="1" si="23"/>
        <v>N.A.</v>
      </c>
      <c r="AZ23" s="261" t="s">
        <v>363</v>
      </c>
      <c r="BK23" s="122" t="s">
        <v>62</v>
      </c>
      <c r="BL23" s="231">
        <f>$J$26+$J$28/2</f>
        <v>0</v>
      </c>
      <c r="BM23" s="231">
        <f>$J$26+$J$28/2</f>
        <v>0</v>
      </c>
      <c r="BN23" s="231">
        <f>$J$26-$J$28/2</f>
        <v>0</v>
      </c>
      <c r="BO23" s="231">
        <f>$J$26-$J$28/2</f>
        <v>0</v>
      </c>
      <c r="BP23" s="231">
        <f>$J$26+$J$28/2</f>
        <v>0</v>
      </c>
    </row>
    <row r="24" spans="1:68">
      <c r="B24" s="23"/>
      <c r="C24" s="29" t="str">
        <f>IF($D$22&gt;=1,"Pier #1","")</f>
        <v>Pier #1</v>
      </c>
      <c r="D24" s="29" t="str">
        <f>IF($D$22&gt;=2,"Pier #2","")</f>
        <v/>
      </c>
      <c r="E24" s="29" t="str">
        <f>IF($D$22&gt;=3,"Pier #3","")</f>
        <v/>
      </c>
      <c r="F24" s="29" t="str">
        <f>IF($D$22&gt;=4,"Pier #4","")</f>
        <v/>
      </c>
      <c r="G24" s="29" t="str">
        <f>IF($D$22&gt;=5,"Pier #5","")</f>
        <v/>
      </c>
      <c r="H24" s="29" t="str">
        <f>IF($D$22&gt;=6,"Pier #6","")</f>
        <v/>
      </c>
      <c r="I24" s="29" t="str">
        <f>IF($D$22&gt;=7,"Pier #7","")</f>
        <v/>
      </c>
      <c r="J24" s="250" t="str">
        <f>IF($D$22=8,"Pier #8","")</f>
        <v/>
      </c>
      <c r="K24" s="30"/>
      <c r="N24" s="58"/>
      <c r="O24" s="81" t="s">
        <v>108</v>
      </c>
      <c r="P24" s="79">
        <f ca="1">ROUND(SUM($P$23:$W$23),6)</f>
        <v>0</v>
      </c>
      <c r="Q24" s="82" t="s">
        <v>107</v>
      </c>
      <c r="R24" s="135"/>
      <c r="S24" s="136"/>
      <c r="T24" s="136"/>
      <c r="U24" s="136"/>
      <c r="V24" s="136"/>
      <c r="W24" s="83"/>
      <c r="X24" s="227">
        <v>20</v>
      </c>
      <c r="Y24" s="230" t="str">
        <f t="shared" ca="1" si="24"/>
        <v>N.A.</v>
      </c>
      <c r="Z24" s="230" t="str">
        <f t="shared" ca="1" si="25"/>
        <v>N.A.</v>
      </c>
      <c r="AA24" s="230" t="str">
        <f t="shared" ca="1" si="0"/>
        <v>N.A.</v>
      </c>
      <c r="AB24" s="230" t="str">
        <f t="shared" ca="1" si="1"/>
        <v>N.A.</v>
      </c>
      <c r="AC24" s="230" t="str">
        <f t="shared" ca="1" si="2"/>
        <v>N.A.</v>
      </c>
      <c r="AD24" s="229" t="str">
        <f t="shared" ca="1" si="3"/>
        <v>N.A.</v>
      </c>
      <c r="AE24" s="229" t="str">
        <f t="shared" ca="1" si="4"/>
        <v>N.A.</v>
      </c>
      <c r="AF24" s="229" t="str">
        <f t="shared" ca="1" si="5"/>
        <v>N.A.</v>
      </c>
      <c r="AG24" s="229" t="str">
        <f t="shared" ca="1" si="6"/>
        <v>N.A.</v>
      </c>
      <c r="AH24" s="230" t="str">
        <f t="shared" ca="1" si="7"/>
        <v>N.A.</v>
      </c>
      <c r="AI24" s="230" t="str">
        <f t="shared" ca="1" si="8"/>
        <v>N.A.</v>
      </c>
      <c r="AJ24" s="230" t="str">
        <f t="shared" ca="1" si="9"/>
        <v>N.A.</v>
      </c>
      <c r="AK24" s="230" t="str">
        <f t="shared" ca="1" si="10"/>
        <v>N.A.</v>
      </c>
      <c r="AL24" s="230" t="str">
        <f t="shared" ca="1" si="11"/>
        <v>N.A.</v>
      </c>
      <c r="AM24" s="230" t="str">
        <f t="shared" ca="1" si="12"/>
        <v>N.A.</v>
      </c>
      <c r="AN24" s="230" t="str">
        <f t="shared" ca="1" si="13"/>
        <v>N.A.</v>
      </c>
      <c r="AO24" s="230" t="str">
        <f t="shared" ca="1" si="14"/>
        <v>N.A.</v>
      </c>
      <c r="AP24" s="230" t="str">
        <f t="shared" ca="1" si="15"/>
        <v>N.A.</v>
      </c>
      <c r="AQ24" s="230" t="str">
        <f t="shared" ca="1" si="16"/>
        <v>N.A.</v>
      </c>
      <c r="AR24" s="230" t="str">
        <f t="shared" ca="1" si="17"/>
        <v>N.A.</v>
      </c>
      <c r="AS24" s="229" t="str">
        <f t="shared" ca="1" si="18"/>
        <v>N.A.</v>
      </c>
      <c r="AT24" s="229" t="str">
        <f t="shared" ca="1" si="19"/>
        <v>N.A.</v>
      </c>
      <c r="AU24" s="230" t="str">
        <f t="shared" ca="1" si="20"/>
        <v>N.A.</v>
      </c>
      <c r="AV24" s="230" t="str">
        <f t="shared" ca="1" si="21"/>
        <v>N.A.</v>
      </c>
      <c r="AW24" s="230" t="str">
        <f t="shared" ca="1" si="22"/>
        <v>N.A.</v>
      </c>
      <c r="AX24" s="230" t="str">
        <f t="shared" ca="1" si="23"/>
        <v>N.A.</v>
      </c>
      <c r="AZ24" s="260" t="s">
        <v>115</v>
      </c>
      <c r="BK24" s="122" t="s">
        <v>160</v>
      </c>
      <c r="BL24" s="231">
        <f ca="1">$C$61</f>
        <v>-0.75</v>
      </c>
      <c r="BM24" s="122"/>
      <c r="BN24" s="232"/>
      <c r="BO24" s="50"/>
      <c r="BP24" s="122"/>
    </row>
    <row r="25" spans="1:68" ht="15">
      <c r="B25" s="19" t="s">
        <v>150</v>
      </c>
      <c r="C25" s="268">
        <v>0</v>
      </c>
      <c r="D25" s="271"/>
      <c r="E25" s="102"/>
      <c r="F25" s="106"/>
      <c r="G25" s="102"/>
      <c r="H25" s="106"/>
      <c r="I25" s="102"/>
      <c r="J25" s="102"/>
      <c r="K25" s="30" t="str">
        <f ca="1">RIGHT(CELL("имяфайла", E2), LEN(CELL("имяфайла", E2))-FIND("]",CELL("имяфайла", E2)))</f>
        <v>MB-A</v>
      </c>
      <c r="N25" s="58"/>
      <c r="O25" s="85" t="s">
        <v>212</v>
      </c>
      <c r="P25" s="33">
        <f ca="1">IF($D$22&gt;=1,-$C$32*($C$29+$D$13)+$C$33,0)</f>
        <v>0</v>
      </c>
      <c r="Q25" s="33">
        <f>IF($D$22&gt;=2,-$D$32*($D$29+$D$13)+$D$33,0)</f>
        <v>0</v>
      </c>
      <c r="R25" s="33">
        <f>IF($D$22&gt;=3,-$E$32*($E$29+$D$13)+$E$33,0)</f>
        <v>0</v>
      </c>
      <c r="S25" s="33">
        <f>IF($D$22&gt;=4,-$F$32*($F$29+$D$13)+$F$33,0)</f>
        <v>0</v>
      </c>
      <c r="T25" s="33">
        <f>IF($D$22&gt;=5,-$G$32*($G$29+$D$13)+$G$33,0)</f>
        <v>0</v>
      </c>
      <c r="U25" s="33">
        <f>IF($D$22&gt;=6,-$H$32*($H$29+$D$13)+$H$33,0)</f>
        <v>0</v>
      </c>
      <c r="V25" s="33">
        <f>IF($D$22&gt;=7,-$I$32*($I$29+$D$13)+$I$33,0)</f>
        <v>0</v>
      </c>
      <c r="W25" s="33">
        <f>IF($D$22&gt;=8,-$J$32*($J$29+$D$13)+$J$33,0)</f>
        <v>0</v>
      </c>
      <c r="X25" s="227">
        <v>21</v>
      </c>
      <c r="Y25" s="230" t="str">
        <f t="shared" ca="1" si="24"/>
        <v>N.A.</v>
      </c>
      <c r="Z25" s="230" t="str">
        <f t="shared" ca="1" si="25"/>
        <v>N.A.</v>
      </c>
      <c r="AA25" s="230" t="str">
        <f t="shared" ca="1" si="0"/>
        <v>N.A.</v>
      </c>
      <c r="AB25" s="230" t="str">
        <f t="shared" ca="1" si="1"/>
        <v>N.A.</v>
      </c>
      <c r="AC25" s="230" t="str">
        <f t="shared" ca="1" si="2"/>
        <v>N.A.</v>
      </c>
      <c r="AD25" s="229" t="str">
        <f t="shared" ca="1" si="3"/>
        <v>N.A.</v>
      </c>
      <c r="AE25" s="229" t="str">
        <f t="shared" ca="1" si="4"/>
        <v>N.A.</v>
      </c>
      <c r="AF25" s="229" t="str">
        <f t="shared" ca="1" si="5"/>
        <v>N.A.</v>
      </c>
      <c r="AG25" s="229" t="str">
        <f t="shared" ca="1" si="6"/>
        <v>N.A.</v>
      </c>
      <c r="AH25" s="230" t="str">
        <f t="shared" ca="1" si="7"/>
        <v>N.A.</v>
      </c>
      <c r="AI25" s="230" t="str">
        <f t="shared" ca="1" si="8"/>
        <v>N.A.</v>
      </c>
      <c r="AJ25" s="230" t="str">
        <f t="shared" ca="1" si="9"/>
        <v>N.A.</v>
      </c>
      <c r="AK25" s="230" t="str">
        <f t="shared" ca="1" si="10"/>
        <v>N.A.</v>
      </c>
      <c r="AL25" s="230" t="str">
        <f t="shared" ca="1" si="11"/>
        <v>N.A.</v>
      </c>
      <c r="AM25" s="230" t="str">
        <f t="shared" ca="1" si="12"/>
        <v>N.A.</v>
      </c>
      <c r="AN25" s="230" t="str">
        <f t="shared" ca="1" si="13"/>
        <v>N.A.</v>
      </c>
      <c r="AO25" s="230" t="str">
        <f t="shared" ca="1" si="14"/>
        <v>N.A.</v>
      </c>
      <c r="AP25" s="230" t="str">
        <f t="shared" ca="1" si="15"/>
        <v>N.A.</v>
      </c>
      <c r="AQ25" s="230" t="str">
        <f t="shared" ca="1" si="16"/>
        <v>N.A.</v>
      </c>
      <c r="AR25" s="230" t="str">
        <f t="shared" ca="1" si="17"/>
        <v>N.A.</v>
      </c>
      <c r="AS25" s="229" t="str">
        <f t="shared" ca="1" si="18"/>
        <v>N.A.</v>
      </c>
      <c r="AT25" s="229" t="str">
        <f t="shared" ca="1" si="19"/>
        <v>N.A.</v>
      </c>
      <c r="AU25" s="230" t="str">
        <f t="shared" ca="1" si="20"/>
        <v>N.A.</v>
      </c>
      <c r="AV25" s="230" t="str">
        <f t="shared" ca="1" si="21"/>
        <v>N.A.</v>
      </c>
      <c r="AW25" s="230" t="str">
        <f t="shared" ca="1" si="22"/>
        <v>N.A.</v>
      </c>
      <c r="AX25" s="230" t="str">
        <f t="shared" ca="1" si="23"/>
        <v>N.A.</v>
      </c>
      <c r="AZ25" s="139" t="s">
        <v>117</v>
      </c>
      <c r="BA25" s="265" t="str">
        <f ca="1">$C$67</f>
        <v>N.A.</v>
      </c>
      <c r="BK25" s="122" t="s">
        <v>161</v>
      </c>
      <c r="BL25" s="231">
        <f ca="1">$C$62</f>
        <v>0</v>
      </c>
      <c r="BM25" s="122"/>
      <c r="BN25" s="232"/>
      <c r="BO25" s="50"/>
      <c r="BP25" s="122"/>
    </row>
    <row r="26" spans="1:68" ht="15">
      <c r="B26" s="19" t="s">
        <v>151</v>
      </c>
      <c r="C26" s="268">
        <v>0</v>
      </c>
      <c r="D26" s="268"/>
      <c r="E26" s="103"/>
      <c r="F26" s="107"/>
      <c r="G26" s="103"/>
      <c r="H26" s="107"/>
      <c r="I26" s="103"/>
      <c r="J26" s="103"/>
      <c r="K26" s="30"/>
      <c r="N26" s="58"/>
      <c r="O26" s="68" t="s">
        <v>250</v>
      </c>
      <c r="P26" s="79">
        <f ca="1">IF(AND($P$17&lt;0,$P$15&lt;0),$P$17*($D$12/2-$P$15),IF(AND($P$17&lt;0,$P$15&gt;0),-$P$17*($D$12/2+$P$15),IF(AND($P$17&lt;0,$P$15=0,$P$41&lt;0),-$P$17*$D$12/2,IF(AND($P$17&lt;0,$P$15=0,$P$41&gt;0),$P$17*$D$12/2,0))))</f>
        <v>0</v>
      </c>
      <c r="Q26" s="79">
        <f ca="1">IF(AND($Q$17&lt;0,$Q$15&lt;0),$Q$17*($D$12/2-$Q$15),IF(AND($Q$17&lt;0,$Q$15&gt;0),-$Q$17*($D$12/2+$Q$15),IF(AND($Q$17&lt;0,$Q$15=0,$P$41&lt;0),-$Q$17*$D$12/2,IF(AND($Q$17&lt;0,$Q$15=0,$P$41&gt;0),$Q$17*$D$12/2,0))))</f>
        <v>0</v>
      </c>
      <c r="R26" s="79">
        <f ca="1">IF(AND($R$17&lt;0,$R$15&lt;0),$R$17*($D$12/2-$R$15),IF(AND($R$17&lt;0,$R$15&gt;0),-$R$17*($D$12/2+$R$15),IF(AND($R$17&lt;0,$R$15=0,$P$41&lt;0),-$R$17*$D$12/2,IF(AND($R$17&lt;0,$R$15=0,$P$41&gt;0),$R$17*$D$12/2,0))))</f>
        <v>0</v>
      </c>
      <c r="S26" s="79">
        <f ca="1">IF(AND($S$17&lt;0,$S$15&lt;0),$S$17*($D$12/2-$S$15),IF(AND($S$17&lt;0,$S$15&gt;0),-$S$17*($D$12/2+$S$15),IF(AND($S$17&lt;0,$S$15=0,$P$41&lt;0),-$S$17*$D$12/2,IF(AND($S$17&lt;0,$S$15=0,$P$41&gt;0),$S$17*$D$12/2,0))))</f>
        <v>0</v>
      </c>
      <c r="T26" s="79">
        <f ca="1">IF(AND($T$17&lt;0,$T$15&lt;0),$T$17*($D$12/2-$T$15),IF(AND($T$17&lt;0,$T$15&gt;0),-$T$17*($D$12/2+$T$15),IF(AND($T$17&lt;0,$T$15=0,$P$41&lt;0),-$T$17*$D$12/2,IF(AND($T$17&lt;0,$T$15=0,$P$41&gt;0),$T$17*$D$12/2,0))))</f>
        <v>0</v>
      </c>
      <c r="U26" s="79">
        <f ca="1">IF(AND($U$17&lt;0,$U$15&lt;0),$U$17*($D$12/2-$U$15),IF(AND($U$17&lt;0,$U$15&gt;0),-$U$17*($D$12/2+$U$15),IF(AND($U$17&lt;0,$U$15=0,$P$41&lt;0),-$U$17*$D$12/2,IF(AND($U$17&lt;0,$U$15=0,$P$41&gt;0),$U$17*$D$12/2,0))))</f>
        <v>0</v>
      </c>
      <c r="V26" s="79">
        <f ca="1">IF(AND($V$17&lt;0,$V$15&lt;0),$V$17*($D$12/2-$V$15),IF(AND($V$17&lt;0,$V$15&gt;0),-$V$17*($D$12/2+$V$15),IF(AND($V$17&lt;0,$V$15=0,$P$41&lt;0),-$V$17*$D$12/2,IF(AND($V$17&lt;0,$V$15=0,$P$41&gt;0),$V$17*$D$12/2,0))))</f>
        <v>0</v>
      </c>
      <c r="W26" s="79">
        <f ca="1">IF(AND($W$17&lt;0,$W$15&lt;0),$W$17*($D$12/2-$W$15),IF(AND($W$17&lt;0,$W$15&gt;0),-$W$17*($D$12/2+$W$15),IF(AND($W$17&lt;0,$W$15=0,$P$41&lt;0),-$W$17*$D$12/2,IF(AND($W$17&lt;0,$W$15=0,$P$41&gt;0),$W$17*$D$12/2,0))))</f>
        <v>0</v>
      </c>
      <c r="X26" s="227">
        <v>22</v>
      </c>
      <c r="Y26" s="230" t="str">
        <f t="shared" ca="1" si="24"/>
        <v>N.A.</v>
      </c>
      <c r="Z26" s="230" t="str">
        <f t="shared" ca="1" si="25"/>
        <v>N.A.</v>
      </c>
      <c r="AA26" s="230" t="str">
        <f t="shared" ca="1" si="0"/>
        <v>N.A.</v>
      </c>
      <c r="AB26" s="230" t="str">
        <f t="shared" ca="1" si="1"/>
        <v>N.A.</v>
      </c>
      <c r="AC26" s="230" t="str">
        <f t="shared" ca="1" si="2"/>
        <v>N.A.</v>
      </c>
      <c r="AD26" s="229" t="str">
        <f t="shared" ca="1" si="3"/>
        <v>N.A.</v>
      </c>
      <c r="AE26" s="229" t="str">
        <f t="shared" ca="1" si="4"/>
        <v>N.A.</v>
      </c>
      <c r="AF26" s="229" t="str">
        <f t="shared" ca="1" si="5"/>
        <v>N.A.</v>
      </c>
      <c r="AG26" s="229" t="str">
        <f t="shared" ca="1" si="6"/>
        <v>N.A.</v>
      </c>
      <c r="AH26" s="230" t="str">
        <f t="shared" ca="1" si="7"/>
        <v>N.A.</v>
      </c>
      <c r="AI26" s="230" t="str">
        <f t="shared" ca="1" si="8"/>
        <v>N.A.</v>
      </c>
      <c r="AJ26" s="230" t="str">
        <f t="shared" ca="1" si="9"/>
        <v>N.A.</v>
      </c>
      <c r="AK26" s="230" t="str">
        <f t="shared" ca="1" si="10"/>
        <v>N.A.</v>
      </c>
      <c r="AL26" s="230" t="str">
        <f t="shared" ca="1" si="11"/>
        <v>N.A.</v>
      </c>
      <c r="AM26" s="230" t="str">
        <f t="shared" ca="1" si="12"/>
        <v>N.A.</v>
      </c>
      <c r="AN26" s="230" t="str">
        <f t="shared" ca="1" si="13"/>
        <v>N.A.</v>
      </c>
      <c r="AO26" s="230" t="str">
        <f t="shared" ca="1" si="14"/>
        <v>N.A.</v>
      </c>
      <c r="AP26" s="230" t="str">
        <f t="shared" ca="1" si="15"/>
        <v>N.A.</v>
      </c>
      <c r="AQ26" s="230" t="str">
        <f t="shared" ca="1" si="16"/>
        <v>N.A.</v>
      </c>
      <c r="AR26" s="230" t="str">
        <f t="shared" ca="1" si="17"/>
        <v>N.A.</v>
      </c>
      <c r="AS26" s="229" t="str">
        <f t="shared" ca="1" si="18"/>
        <v>N.A.</v>
      </c>
      <c r="AT26" s="229" t="str">
        <f t="shared" ca="1" si="19"/>
        <v>N.A.</v>
      </c>
      <c r="AU26" s="230" t="str">
        <f t="shared" ca="1" si="20"/>
        <v>N.A.</v>
      </c>
      <c r="AV26" s="230" t="str">
        <f t="shared" ca="1" si="21"/>
        <v>N.A.</v>
      </c>
      <c r="AW26" s="230" t="str">
        <f t="shared" ca="1" si="22"/>
        <v>N.A.</v>
      </c>
      <c r="AX26" s="230" t="str">
        <f t="shared" ca="1" si="23"/>
        <v>N.A.</v>
      </c>
      <c r="AZ26" s="139" t="s">
        <v>119</v>
      </c>
      <c r="BA26" s="112">
        <f ca="1">$C$70</f>
        <v>5.7413646780521583</v>
      </c>
      <c r="BK26" s="122" t="s">
        <v>165</v>
      </c>
      <c r="BL26" s="248">
        <f>$BA$4/2</f>
        <v>8.25</v>
      </c>
      <c r="BM26" s="249">
        <f>$BB$4/2</f>
        <v>5</v>
      </c>
      <c r="BN26" s="232"/>
      <c r="BO26" s="50"/>
      <c r="BP26" s="122"/>
    </row>
    <row r="27" spans="1:68" ht="15">
      <c r="A27" s="57">
        <v>4</v>
      </c>
      <c r="B27" s="19" t="s">
        <v>185</v>
      </c>
      <c r="C27" s="269" t="str">
        <f ca="1">SUBSTITUTE(VLOOKUP(RIGHT( CELL("имяфайла",$E$2), LEN( CELL("имяфайла",$E$2))-FIND("]", CELL("имяфайла",$E$2))),Summary!C:Z,$A27,FALSE),".",",")</f>
        <v>2,0000</v>
      </c>
      <c r="D27" s="269"/>
      <c r="E27" s="103"/>
      <c r="F27" s="107"/>
      <c r="G27" s="103"/>
      <c r="H27" s="107"/>
      <c r="I27" s="103"/>
      <c r="J27" s="103"/>
      <c r="K27" s="30"/>
      <c r="N27" s="58"/>
      <c r="O27" s="81" t="s">
        <v>109</v>
      </c>
      <c r="P27" s="79">
        <f ca="1">ROUND(SUM($P$25:$W$25)+SUM($P$26:$W$26),6)</f>
        <v>0</v>
      </c>
      <c r="Q27" s="82" t="s">
        <v>107</v>
      </c>
      <c r="R27" s="135"/>
      <c r="S27" s="136"/>
      <c r="T27" s="136"/>
      <c r="U27" s="136"/>
      <c r="V27" s="136"/>
      <c r="W27" s="83"/>
      <c r="X27" s="227">
        <v>23</v>
      </c>
      <c r="Y27" s="230" t="str">
        <f t="shared" ca="1" si="24"/>
        <v>N.A.</v>
      </c>
      <c r="Z27" s="230" t="str">
        <f t="shared" ca="1" si="25"/>
        <v>N.A.</v>
      </c>
      <c r="AA27" s="230" t="str">
        <f t="shared" ca="1" si="0"/>
        <v>N.A.</v>
      </c>
      <c r="AB27" s="230" t="str">
        <f t="shared" ca="1" si="1"/>
        <v>N.A.</v>
      </c>
      <c r="AC27" s="230" t="str">
        <f t="shared" ca="1" si="2"/>
        <v>N.A.</v>
      </c>
      <c r="AD27" s="229" t="str">
        <f t="shared" ca="1" si="3"/>
        <v>N.A.</v>
      </c>
      <c r="AE27" s="229" t="str">
        <f t="shared" ca="1" si="4"/>
        <v>N.A.</v>
      </c>
      <c r="AF27" s="229" t="str">
        <f t="shared" ca="1" si="5"/>
        <v>N.A.</v>
      </c>
      <c r="AG27" s="229" t="str">
        <f t="shared" ca="1" si="6"/>
        <v>N.A.</v>
      </c>
      <c r="AH27" s="230" t="str">
        <f t="shared" ca="1" si="7"/>
        <v>N.A.</v>
      </c>
      <c r="AI27" s="230" t="str">
        <f t="shared" ca="1" si="8"/>
        <v>N.A.</v>
      </c>
      <c r="AJ27" s="230" t="str">
        <f t="shared" ca="1" si="9"/>
        <v>N.A.</v>
      </c>
      <c r="AK27" s="230" t="str">
        <f t="shared" ca="1" si="10"/>
        <v>N.A.</v>
      </c>
      <c r="AL27" s="230" t="str">
        <f t="shared" ca="1" si="11"/>
        <v>N.A.</v>
      </c>
      <c r="AM27" s="230" t="str">
        <f t="shared" ca="1" si="12"/>
        <v>N.A.</v>
      </c>
      <c r="AN27" s="230" t="str">
        <f t="shared" ca="1" si="13"/>
        <v>N.A.</v>
      </c>
      <c r="AO27" s="230" t="str">
        <f t="shared" ca="1" si="14"/>
        <v>N.A.</v>
      </c>
      <c r="AP27" s="230" t="str">
        <f t="shared" ca="1" si="15"/>
        <v>N.A.</v>
      </c>
      <c r="AQ27" s="230" t="str">
        <f t="shared" ca="1" si="16"/>
        <v>N.A.</v>
      </c>
      <c r="AR27" s="230" t="str">
        <f t="shared" ca="1" si="17"/>
        <v>N.A.</v>
      </c>
      <c r="AS27" s="229" t="str">
        <f t="shared" ca="1" si="18"/>
        <v>N.A.</v>
      </c>
      <c r="AT27" s="229" t="str">
        <f t="shared" ca="1" si="19"/>
        <v>N.A.</v>
      </c>
      <c r="AU27" s="230" t="str">
        <f t="shared" ca="1" si="20"/>
        <v>N.A.</v>
      </c>
      <c r="AV27" s="230" t="str">
        <f t="shared" ca="1" si="21"/>
        <v>N.A.</v>
      </c>
      <c r="AW27" s="230" t="str">
        <f t="shared" ca="1" si="22"/>
        <v>N.A.</v>
      </c>
      <c r="AX27" s="230" t="str">
        <f t="shared" ca="1" si="23"/>
        <v>N.A.</v>
      </c>
      <c r="AZ27" s="260" t="s">
        <v>325</v>
      </c>
      <c r="BK27" s="122" t="s">
        <v>166</v>
      </c>
      <c r="BL27" s="248">
        <f>-$BA$4/2</f>
        <v>-8.25</v>
      </c>
      <c r="BM27" s="249">
        <f>$BB$4/2</f>
        <v>5</v>
      </c>
      <c r="BN27" s="232"/>
      <c r="BO27" s="50"/>
      <c r="BP27" s="122"/>
    </row>
    <row r="28" spans="1:68" ht="15">
      <c r="A28" s="57">
        <v>5</v>
      </c>
      <c r="B28" s="19" t="s">
        <v>186</v>
      </c>
      <c r="C28" s="269" t="str">
        <f ca="1">SUBSTITUTE(VLOOKUP(RIGHT( CELL("имяфайла",$E$2), LEN( CELL("имяфайла",$E$2))-FIND("]", CELL("имяфайла",$E$2))),Summary!C:Z,$A28,FALSE),".",",")</f>
        <v>1,1250</v>
      </c>
      <c r="D28" s="269"/>
      <c r="E28" s="103"/>
      <c r="F28" s="107"/>
      <c r="G28" s="103"/>
      <c r="H28" s="107"/>
      <c r="I28" s="103"/>
      <c r="J28" s="103"/>
      <c r="K28" s="30"/>
      <c r="N28" s="58"/>
      <c r="O28" s="85" t="s">
        <v>213</v>
      </c>
      <c r="P28" s="33">
        <f ca="1">IF($D$22&gt;=1,$P$17*$P$14,0)</f>
        <v>0</v>
      </c>
      <c r="Q28" s="33">
        <f>IF($D$22&gt;=2,$Q$17*$Q$14,0)</f>
        <v>0</v>
      </c>
      <c r="R28" s="33">
        <f>IF($D$22&gt;=3,$R$17*$R$14,0)</f>
        <v>0</v>
      </c>
      <c r="S28" s="33">
        <f>IF($D$22&gt;=4,$S$17*$S$14,0)</f>
        <v>0</v>
      </c>
      <c r="T28" s="33">
        <f>IF($D$22&gt;=5,$T$17*$T$14,0)</f>
        <v>0</v>
      </c>
      <c r="U28" s="33">
        <f>IF($D$22&gt;=6,$U$17*$U$14,0)</f>
        <v>0</v>
      </c>
      <c r="V28" s="33">
        <f>IF($D$22&gt;=7,$V$17*$V$14,0)</f>
        <v>0</v>
      </c>
      <c r="W28" s="33">
        <f>IF($D$22=8,$W$17*$W$14,0)</f>
        <v>0</v>
      </c>
      <c r="X28" s="227">
        <v>24</v>
      </c>
      <c r="Y28" s="230" t="str">
        <f t="shared" ca="1" si="24"/>
        <v>N.A.</v>
      </c>
      <c r="Z28" s="230" t="str">
        <f t="shared" ca="1" si="25"/>
        <v>N.A.</v>
      </c>
      <c r="AA28" s="230" t="str">
        <f t="shared" ca="1" si="0"/>
        <v>N.A.</v>
      </c>
      <c r="AB28" s="230" t="str">
        <f t="shared" ca="1" si="1"/>
        <v>N.A.</v>
      </c>
      <c r="AC28" s="230" t="str">
        <f t="shared" ca="1" si="2"/>
        <v>N.A.</v>
      </c>
      <c r="AD28" s="229" t="str">
        <f t="shared" ca="1" si="3"/>
        <v>N.A.</v>
      </c>
      <c r="AE28" s="229" t="str">
        <f t="shared" ca="1" si="4"/>
        <v>N.A.</v>
      </c>
      <c r="AF28" s="229" t="str">
        <f t="shared" ca="1" si="5"/>
        <v>N.A.</v>
      </c>
      <c r="AG28" s="229" t="str">
        <f t="shared" ca="1" si="6"/>
        <v>N.A.</v>
      </c>
      <c r="AH28" s="230" t="str">
        <f t="shared" ca="1" si="7"/>
        <v>N.A.</v>
      </c>
      <c r="AI28" s="230" t="str">
        <f t="shared" ca="1" si="8"/>
        <v>N.A.</v>
      </c>
      <c r="AJ28" s="230" t="str">
        <f t="shared" ca="1" si="9"/>
        <v>N.A.</v>
      </c>
      <c r="AK28" s="230" t="str">
        <f t="shared" ca="1" si="10"/>
        <v>N.A.</v>
      </c>
      <c r="AL28" s="230" t="str">
        <f t="shared" ca="1" si="11"/>
        <v>N.A.</v>
      </c>
      <c r="AM28" s="230" t="str">
        <f t="shared" ca="1" si="12"/>
        <v>N.A.</v>
      </c>
      <c r="AN28" s="230" t="str">
        <f t="shared" ca="1" si="13"/>
        <v>N.A.</v>
      </c>
      <c r="AO28" s="230" t="str">
        <f t="shared" ca="1" si="14"/>
        <v>N.A.</v>
      </c>
      <c r="AP28" s="230" t="str">
        <f t="shared" ca="1" si="15"/>
        <v>N.A.</v>
      </c>
      <c r="AQ28" s="230" t="str">
        <f t="shared" ca="1" si="16"/>
        <v>N.A.</v>
      </c>
      <c r="AR28" s="230" t="str">
        <f t="shared" ca="1" si="17"/>
        <v>N.A.</v>
      </c>
      <c r="AS28" s="229" t="str">
        <f t="shared" ca="1" si="18"/>
        <v>N.A.</v>
      </c>
      <c r="AT28" s="229" t="str">
        <f t="shared" ca="1" si="19"/>
        <v>N.A.</v>
      </c>
      <c r="AU28" s="230" t="str">
        <f t="shared" ca="1" si="20"/>
        <v>N.A.</v>
      </c>
      <c r="AV28" s="230" t="str">
        <f t="shared" ca="1" si="21"/>
        <v>N.A.</v>
      </c>
      <c r="AW28" s="230" t="str">
        <f t="shared" ca="1" si="22"/>
        <v>N.A.</v>
      </c>
      <c r="AX28" s="230" t="str">
        <f t="shared" ca="1" si="23"/>
        <v>N.A.</v>
      </c>
      <c r="AZ28" s="47" t="s">
        <v>326</v>
      </c>
      <c r="BA28" s="265" t="str">
        <f ca="1">$C$75</f>
        <v>N.A.</v>
      </c>
      <c r="BK28" s="122" t="s">
        <v>167</v>
      </c>
      <c r="BL28" s="248">
        <f>-$BA$4/2</f>
        <v>-8.25</v>
      </c>
      <c r="BM28" s="249">
        <f>-$BB$4/2</f>
        <v>-5</v>
      </c>
      <c r="BN28" s="232"/>
      <c r="BO28" s="232"/>
      <c r="BP28" s="122"/>
    </row>
    <row r="29" spans="1:68" ht="15">
      <c r="A29" s="57">
        <v>6</v>
      </c>
      <c r="B29" s="19" t="s">
        <v>188</v>
      </c>
      <c r="C29" s="269" t="str">
        <f ca="1">SUBSTITUTE(VLOOKUP(RIGHT( CELL("имяфайла",$E$2), LEN( CELL("имяфайла",$E$2))-FIND("]", CELL("имяфайла",$E$2))),Summary!C:Z,$A29,FALSE),".",",")</f>
        <v>3,0000</v>
      </c>
      <c r="D29" s="269"/>
      <c r="E29" s="103"/>
      <c r="F29" s="107"/>
      <c r="G29" s="103"/>
      <c r="H29" s="107"/>
      <c r="I29" s="103"/>
      <c r="J29" s="103"/>
      <c r="K29" s="30"/>
      <c r="N29" s="58"/>
      <c r="O29" s="81" t="s">
        <v>110</v>
      </c>
      <c r="P29" s="79">
        <f ca="1">ROUND(SUM($P$28:$W$28),6)</f>
        <v>0</v>
      </c>
      <c r="Q29" s="82" t="s">
        <v>107</v>
      </c>
      <c r="R29" s="135"/>
      <c r="S29" s="136"/>
      <c r="T29" s="136"/>
      <c r="U29" s="136"/>
      <c r="V29" s="136"/>
      <c r="W29" s="83"/>
      <c r="X29" s="227">
        <v>25</v>
      </c>
      <c r="Y29" s="230" t="str">
        <f t="shared" ca="1" si="24"/>
        <v>N.A.</v>
      </c>
      <c r="Z29" s="230" t="str">
        <f t="shared" ca="1" si="25"/>
        <v>N.A.</v>
      </c>
      <c r="AA29" s="230" t="str">
        <f t="shared" ca="1" si="0"/>
        <v>N.A.</v>
      </c>
      <c r="AB29" s="230" t="str">
        <f t="shared" ca="1" si="1"/>
        <v>N.A.</v>
      </c>
      <c r="AC29" s="230" t="str">
        <f t="shared" ca="1" si="2"/>
        <v>N.A.</v>
      </c>
      <c r="AD29" s="229" t="str">
        <f t="shared" ca="1" si="3"/>
        <v>N.A.</v>
      </c>
      <c r="AE29" s="229" t="str">
        <f t="shared" ca="1" si="4"/>
        <v>N.A.</v>
      </c>
      <c r="AF29" s="229" t="str">
        <f t="shared" ca="1" si="5"/>
        <v>N.A.</v>
      </c>
      <c r="AG29" s="229" t="str">
        <f t="shared" ca="1" si="6"/>
        <v>N.A.</v>
      </c>
      <c r="AH29" s="230" t="str">
        <f t="shared" ca="1" si="7"/>
        <v>N.A.</v>
      </c>
      <c r="AI29" s="230" t="str">
        <f t="shared" ca="1" si="8"/>
        <v>N.A.</v>
      </c>
      <c r="AJ29" s="230" t="str">
        <f t="shared" ca="1" si="9"/>
        <v>N.A.</v>
      </c>
      <c r="AK29" s="230" t="str">
        <f t="shared" ca="1" si="10"/>
        <v>N.A.</v>
      </c>
      <c r="AL29" s="230" t="str">
        <f t="shared" ca="1" si="11"/>
        <v>N.A.</v>
      </c>
      <c r="AM29" s="230" t="str">
        <f t="shared" ca="1" si="12"/>
        <v>N.A.</v>
      </c>
      <c r="AN29" s="230" t="str">
        <f t="shared" ca="1" si="13"/>
        <v>N.A.</v>
      </c>
      <c r="AO29" s="230" t="str">
        <f t="shared" ca="1" si="14"/>
        <v>N.A.</v>
      </c>
      <c r="AP29" s="230" t="str">
        <f t="shared" ca="1" si="15"/>
        <v>N.A.</v>
      </c>
      <c r="AQ29" s="230" t="str">
        <f t="shared" ca="1" si="16"/>
        <v>N.A.</v>
      </c>
      <c r="AR29" s="230" t="str">
        <f t="shared" ca="1" si="17"/>
        <v>N.A.</v>
      </c>
      <c r="AS29" s="229" t="str">
        <f t="shared" ca="1" si="18"/>
        <v>N.A.</v>
      </c>
      <c r="AT29" s="229" t="str">
        <f t="shared" ca="1" si="19"/>
        <v>N.A.</v>
      </c>
      <c r="AU29" s="230" t="str">
        <f t="shared" ca="1" si="20"/>
        <v>N.A.</v>
      </c>
      <c r="AV29" s="230" t="str">
        <f t="shared" ca="1" si="21"/>
        <v>N.A.</v>
      </c>
      <c r="AW29" s="230" t="str">
        <f t="shared" ca="1" si="22"/>
        <v>N.A.</v>
      </c>
      <c r="AX29" s="230" t="str">
        <f t="shared" ca="1" si="23"/>
        <v>N.A.</v>
      </c>
      <c r="AZ29" s="47" t="s">
        <v>327</v>
      </c>
      <c r="BA29" s="112" t="str">
        <f>$C$78</f>
        <v>N.A.</v>
      </c>
      <c r="BK29" s="122" t="s">
        <v>168</v>
      </c>
      <c r="BL29" s="248">
        <f>$BA$4/2</f>
        <v>8.25</v>
      </c>
      <c r="BM29" s="249">
        <f>-$BB$4/2</f>
        <v>-5</v>
      </c>
      <c r="BN29" s="232"/>
      <c r="BO29" s="232"/>
      <c r="BP29" s="122"/>
    </row>
    <row r="30" spans="1:68" ht="15">
      <c r="A30" s="57">
        <v>10</v>
      </c>
      <c r="B30" s="19" t="s">
        <v>145</v>
      </c>
      <c r="C30" s="269" t="str">
        <f ca="1">SUBSTITUTE(VLOOKUP(RIGHT( CELL("имяфайла",$E$2), LEN( CELL("имяфайла",$E$2))-FIND("]", CELL("имяфайла",$E$2))),Summary!C:Z,$A30,FALSE),".",",")</f>
        <v>-88</v>
      </c>
      <c r="D30" s="269"/>
      <c r="E30" s="104"/>
      <c r="F30" s="108"/>
      <c r="G30" s="104"/>
      <c r="H30" s="108"/>
      <c r="I30" s="104"/>
      <c r="J30" s="104"/>
      <c r="K30" s="30"/>
      <c r="N30" s="58"/>
      <c r="O30" s="85" t="s">
        <v>249</v>
      </c>
      <c r="P30" s="33">
        <f ca="1">IF($D$22&gt;=1,$C$31*($C$29+$D$13)+$C$34,0)</f>
        <v>-86.66</v>
      </c>
      <c r="Q30" s="33">
        <f>IF($D$22&gt;=2,$D$31*($D$29+$D$13)+$D$34,0)</f>
        <v>0</v>
      </c>
      <c r="R30" s="33">
        <f>IF($D$22&gt;=3,$E$31*($E$29+$D$13)+$E$34,0)</f>
        <v>0</v>
      </c>
      <c r="S30" s="33">
        <f>IF($D$22&gt;=4,$F$31*($F$29+$D$13)+$F$34,0)</f>
        <v>0</v>
      </c>
      <c r="T30" s="33">
        <f>IF($D$22&gt;=5,$G$31*($G$29+$D$13)+$G$34,0)</f>
        <v>0</v>
      </c>
      <c r="U30" s="33">
        <f>IF($D$22&gt;=6,$H$31*($H$29+$D$13)+$H$34,0)</f>
        <v>0</v>
      </c>
      <c r="V30" s="33">
        <f>IF($D$22&gt;=7,$I$31*($I$29+$D$13)+$I$34,0)</f>
        <v>0</v>
      </c>
      <c r="W30" s="33">
        <f>IF($D$22&gt;=8,$J$31*($J$29+$D$13)+$J$34,0)</f>
        <v>0</v>
      </c>
      <c r="X30" s="227">
        <v>26</v>
      </c>
      <c r="Y30" s="230" t="str">
        <f t="shared" ca="1" si="24"/>
        <v>N.A.</v>
      </c>
      <c r="Z30" s="230" t="str">
        <f t="shared" ca="1" si="25"/>
        <v>N.A.</v>
      </c>
      <c r="AA30" s="230" t="str">
        <f t="shared" ca="1" si="0"/>
        <v>N.A.</v>
      </c>
      <c r="AB30" s="230" t="str">
        <f t="shared" ca="1" si="1"/>
        <v>N.A.</v>
      </c>
      <c r="AC30" s="230" t="str">
        <f t="shared" ca="1" si="2"/>
        <v>N.A.</v>
      </c>
      <c r="AD30" s="229" t="str">
        <f t="shared" ca="1" si="3"/>
        <v>N.A.</v>
      </c>
      <c r="AE30" s="229" t="str">
        <f t="shared" ca="1" si="4"/>
        <v>N.A.</v>
      </c>
      <c r="AF30" s="229" t="str">
        <f t="shared" ca="1" si="5"/>
        <v>N.A.</v>
      </c>
      <c r="AG30" s="229" t="str">
        <f t="shared" ca="1" si="6"/>
        <v>N.A.</v>
      </c>
      <c r="AH30" s="230" t="str">
        <f t="shared" ca="1" si="7"/>
        <v>N.A.</v>
      </c>
      <c r="AI30" s="230" t="str">
        <f t="shared" ca="1" si="8"/>
        <v>N.A.</v>
      </c>
      <c r="AJ30" s="230" t="str">
        <f t="shared" ca="1" si="9"/>
        <v>N.A.</v>
      </c>
      <c r="AK30" s="230" t="str">
        <f t="shared" ca="1" si="10"/>
        <v>N.A.</v>
      </c>
      <c r="AL30" s="230" t="str">
        <f t="shared" ca="1" si="11"/>
        <v>N.A.</v>
      </c>
      <c r="AM30" s="230" t="str">
        <f t="shared" ca="1" si="12"/>
        <v>N.A.</v>
      </c>
      <c r="AN30" s="230" t="str">
        <f t="shared" ca="1" si="13"/>
        <v>N.A.</v>
      </c>
      <c r="AO30" s="230" t="str">
        <f t="shared" ca="1" si="14"/>
        <v>N.A.</v>
      </c>
      <c r="AP30" s="230" t="str">
        <f t="shared" ca="1" si="15"/>
        <v>N.A.</v>
      </c>
      <c r="AQ30" s="230" t="str">
        <f t="shared" ca="1" si="16"/>
        <v>N.A.</v>
      </c>
      <c r="AR30" s="230" t="str">
        <f t="shared" ca="1" si="17"/>
        <v>N.A.</v>
      </c>
      <c r="AS30" s="229" t="str">
        <f t="shared" ca="1" si="18"/>
        <v>N.A.</v>
      </c>
      <c r="AT30" s="229" t="str">
        <f t="shared" ca="1" si="19"/>
        <v>N.A.</v>
      </c>
      <c r="AU30" s="230" t="str">
        <f t="shared" ca="1" si="20"/>
        <v>N.A.</v>
      </c>
      <c r="AV30" s="230" t="str">
        <f t="shared" ca="1" si="21"/>
        <v>N.A.</v>
      </c>
      <c r="AW30" s="230" t="str">
        <f t="shared" ca="1" si="22"/>
        <v>N.A.</v>
      </c>
      <c r="AX30" s="230" t="str">
        <f t="shared" ca="1" si="23"/>
        <v>N.A.</v>
      </c>
      <c r="AZ30" s="262" t="s">
        <v>113</v>
      </c>
    </row>
    <row r="31" spans="1:68" ht="15">
      <c r="A31" s="57">
        <v>9</v>
      </c>
      <c r="B31" s="19" t="s">
        <v>146</v>
      </c>
      <c r="C31" s="269" t="str">
        <f ca="1">SUBSTITUTE(VLOOKUP(RIGHT( CELL("имяфайла",$E$2), LEN( CELL("имяфайла",$E$2))-FIND("]", CELL("имяфайла",$E$2))),Summary!C:Z,$A31,FALSE),".",",")</f>
        <v>-20</v>
      </c>
      <c r="D31" s="269"/>
      <c r="E31" s="104"/>
      <c r="F31" s="108"/>
      <c r="G31" s="104"/>
      <c r="H31" s="108"/>
      <c r="I31" s="104"/>
      <c r="J31" s="104"/>
      <c r="K31" s="30"/>
      <c r="L31" s="24"/>
      <c r="N31" s="58"/>
      <c r="O31" s="68" t="s">
        <v>214</v>
      </c>
      <c r="P31" s="79">
        <f ca="1">IF(AND($P$17&lt;0,$P$14&lt;0),-$P$17*($D$11/2-$P$14),IF(AND($P$17&lt;0,$P$14&gt;0),$P$17*($D$11/2+$P$14),IF(AND($P$17&lt;0,$P$14=0,$P$40&gt;0),-$P$17*$D$11/2,IF(AND($P$17&lt;0,$P$14=0,$P$40&lt;0),$P$17*$D$11/2,0))))</f>
        <v>0</v>
      </c>
      <c r="Q31" s="79">
        <f ca="1">IF(AND($Q$17&lt;0,$Q$14&lt;0),-$Q$17*($D$11/2-$Q$14),IF(AND($Q$17&lt;0,$Q$14&gt;0),$Q$17*($D$11/2+$Q$14),IF(AND($Q$17&lt;0,$Q$14=0,$P$40&gt;0),-$Q$17*$D$11/2,IF(AND($Q$17&lt;0,$Q$14=0,$P$40&lt;0),$Q$17*$D$11/2,0))))</f>
        <v>0</v>
      </c>
      <c r="R31" s="79">
        <f ca="1">IF(AND($R$17&lt;0,$R$14&lt;0),-$R$17*($D$11/2-$R$14),IF(AND($R$17&lt;0,$R$14&gt;0),$R$17*($D$11/2+$R$14),IF(AND($R$17&lt;0,$R$14=0,$P$40&gt;0),-$R$17*$D$11/2,IF(AND($R$17&lt;0,$R$14=0,$P$40&lt;0),$R$17*$D$11/2,0))))</f>
        <v>0</v>
      </c>
      <c r="S31" s="79">
        <f ca="1">IF(AND($S$17&lt;0,$S$14&lt;0),-$S$17*($D$11/2-$S$14),IF(AND($S$17&lt;0,$S$14&gt;0),$S$17*($D$11/2+$S$14),IF(AND($S$17&lt;0,$S$14=0,$P$40&gt;0),-$S$17*$D$11/2,IF(AND($S$17&lt;0,$S$14=0,$P$40&lt;0),$S$17*$D$11/2,0))))</f>
        <v>0</v>
      </c>
      <c r="T31" s="79">
        <f ca="1">IF(AND($T$17&lt;0,$T$14&lt;0),-$T$17*($D$11/2-$T$14),IF(AND($T$17&lt;0,$T$14&gt;0),$T$17*($D$11/2+$T$14),IF(AND($T$17&lt;0,$T$14=0,$P$40&gt;0),-$T$17*$D$11/2,IF(AND($T$17&lt;0,$T$14=0,$P$40&lt;0),$T$17*$D$11/2,0))))</f>
        <v>0</v>
      </c>
      <c r="U31" s="79">
        <f ca="1">IF(AND($U$17&lt;0,$U$14&lt;0),-$U$17*($D$11/2-$U$14),IF(AND($U$17&lt;0,$U$14&gt;0),$U$17*($D$11/2+$U$14),IF(AND($U$17&lt;0,$U$14=0,$P$40&gt;0),-$U$17*$D$11/2,IF(AND($U$17&lt;0,$U$14=0,$P$40&lt;0),$U$17*$D$11/2,0))))</f>
        <v>0</v>
      </c>
      <c r="V31" s="79">
        <f ca="1">IF(AND($V$17&lt;0,$V$14&lt;0),-$V$17*($D$11/2-$V$14),IF(AND($V$17&lt;0,$V$14&gt;0),$V$17*($D$11/2+$V$14),IF(AND($V$17&lt;0,$V$14=0,$P$40&gt;0),-$V$17*$D$11/2,IF(AND($V$17&lt;0,$V$14=0,$P$40&lt;0),$V$17*$D$11/2,0))))</f>
        <v>0</v>
      </c>
      <c r="W31" s="79">
        <f ca="1">IF(AND($W$17&lt;0,$W$14&lt;0),-$W$17*($D$11/2-$W$14),IF(AND($W$17&lt;0,$W$14&gt;0),$W$17*($D$11/2+$W$14),IF(AND($W$17&lt;0,$W$14=0,$P$40&gt;0),-$W$17*$D$11/2,IF(AND($W$17&lt;0,$W$14=0,$P$40&lt;0),$W$17*$D$11/2,0))))</f>
        <v>0</v>
      </c>
      <c r="X31" s="227">
        <v>27</v>
      </c>
      <c r="Y31" s="230" t="str">
        <f t="shared" ca="1" si="24"/>
        <v>N.A.</v>
      </c>
      <c r="Z31" s="230" t="str">
        <f t="shared" ca="1" si="25"/>
        <v>N.A.</v>
      </c>
      <c r="AA31" s="230" t="str">
        <f t="shared" ca="1" si="0"/>
        <v>N.A.</v>
      </c>
      <c r="AB31" s="230" t="str">
        <f t="shared" ca="1" si="1"/>
        <v>N.A.</v>
      </c>
      <c r="AC31" s="230" t="str">
        <f t="shared" ca="1" si="2"/>
        <v>N.A.</v>
      </c>
      <c r="AD31" s="229" t="str">
        <f t="shared" ca="1" si="3"/>
        <v>N.A.</v>
      </c>
      <c r="AE31" s="229" t="str">
        <f t="shared" ca="1" si="4"/>
        <v>N.A.</v>
      </c>
      <c r="AF31" s="229" t="str">
        <f t="shared" ca="1" si="5"/>
        <v>N.A.</v>
      </c>
      <c r="AG31" s="229" t="str">
        <f t="shared" ca="1" si="6"/>
        <v>N.A.</v>
      </c>
      <c r="AH31" s="230" t="str">
        <f t="shared" ca="1" si="7"/>
        <v>N.A.</v>
      </c>
      <c r="AI31" s="230" t="str">
        <f t="shared" ca="1" si="8"/>
        <v>N.A.</v>
      </c>
      <c r="AJ31" s="230" t="str">
        <f t="shared" ca="1" si="9"/>
        <v>N.A.</v>
      </c>
      <c r="AK31" s="230" t="str">
        <f t="shared" ca="1" si="10"/>
        <v>N.A.</v>
      </c>
      <c r="AL31" s="230" t="str">
        <f t="shared" ca="1" si="11"/>
        <v>N.A.</v>
      </c>
      <c r="AM31" s="230" t="str">
        <f t="shared" ca="1" si="12"/>
        <v>N.A.</v>
      </c>
      <c r="AN31" s="230" t="str">
        <f t="shared" ca="1" si="13"/>
        <v>N.A.</v>
      </c>
      <c r="AO31" s="230" t="str">
        <f t="shared" ca="1" si="14"/>
        <v>N.A.</v>
      </c>
      <c r="AP31" s="230" t="str">
        <f t="shared" ca="1" si="15"/>
        <v>N.A.</v>
      </c>
      <c r="AQ31" s="230" t="str">
        <f t="shared" ca="1" si="16"/>
        <v>N.A.</v>
      </c>
      <c r="AR31" s="230" t="str">
        <f t="shared" ca="1" si="17"/>
        <v>N.A.</v>
      </c>
      <c r="AS31" s="229" t="str">
        <f t="shared" ca="1" si="18"/>
        <v>N.A.</v>
      </c>
      <c r="AT31" s="229" t="str">
        <f t="shared" ca="1" si="19"/>
        <v>N.A.</v>
      </c>
      <c r="AU31" s="230" t="str">
        <f t="shared" ca="1" si="20"/>
        <v>N.A.</v>
      </c>
      <c r="AV31" s="230" t="str">
        <f t="shared" ca="1" si="21"/>
        <v>N.A.</v>
      </c>
      <c r="AW31" s="230" t="str">
        <f t="shared" ca="1" si="22"/>
        <v>N.A.</v>
      </c>
      <c r="AX31" s="230" t="str">
        <f t="shared" ca="1" si="23"/>
        <v>N.A.</v>
      </c>
      <c r="AZ31" s="139" t="s">
        <v>114</v>
      </c>
      <c r="BA31" s="263" t="str">
        <f ca="1">$C$83</f>
        <v>N.A.</v>
      </c>
    </row>
    <row r="32" spans="1:68">
      <c r="B32" s="19" t="s">
        <v>147</v>
      </c>
      <c r="C32" s="103">
        <v>0</v>
      </c>
      <c r="D32" s="104"/>
      <c r="E32" s="104"/>
      <c r="F32" s="108"/>
      <c r="G32" s="104"/>
      <c r="H32" s="108"/>
      <c r="I32" s="104"/>
      <c r="J32" s="104"/>
      <c r="K32" s="30"/>
      <c r="N32" s="58"/>
      <c r="O32" s="81" t="s">
        <v>111</v>
      </c>
      <c r="P32" s="79">
        <f ca="1">ROUND(SUM($P$30:$W$30)+SUM($P$31:$W$31),6)</f>
        <v>-86.66</v>
      </c>
      <c r="Q32" s="82" t="s">
        <v>107</v>
      </c>
      <c r="R32" s="135"/>
      <c r="S32" s="136"/>
      <c r="T32" s="136"/>
      <c r="U32" s="136"/>
      <c r="V32" s="136"/>
      <c r="W32" s="83"/>
      <c r="X32" s="227">
        <v>28</v>
      </c>
      <c r="Y32" s="230" t="str">
        <f t="shared" ca="1" si="24"/>
        <v>N.A.</v>
      </c>
      <c r="Z32" s="230" t="str">
        <f t="shared" ca="1" si="25"/>
        <v>N.A.</v>
      </c>
      <c r="AA32" s="230" t="str">
        <f t="shared" ca="1" si="0"/>
        <v>N.A.</v>
      </c>
      <c r="AB32" s="230" t="str">
        <f t="shared" ca="1" si="1"/>
        <v>N.A.</v>
      </c>
      <c r="AC32" s="230" t="str">
        <f t="shared" ca="1" si="2"/>
        <v>N.A.</v>
      </c>
      <c r="AD32" s="229" t="str">
        <f t="shared" ca="1" si="3"/>
        <v>N.A.</v>
      </c>
      <c r="AE32" s="229" t="str">
        <f t="shared" ca="1" si="4"/>
        <v>N.A.</v>
      </c>
      <c r="AF32" s="229" t="str">
        <f t="shared" ca="1" si="5"/>
        <v>N.A.</v>
      </c>
      <c r="AG32" s="229" t="str">
        <f t="shared" ca="1" si="6"/>
        <v>N.A.</v>
      </c>
      <c r="AH32" s="230" t="str">
        <f t="shared" ca="1" si="7"/>
        <v>N.A.</v>
      </c>
      <c r="AI32" s="230" t="str">
        <f t="shared" ca="1" si="8"/>
        <v>N.A.</v>
      </c>
      <c r="AJ32" s="230" t="str">
        <f t="shared" ca="1" si="9"/>
        <v>N.A.</v>
      </c>
      <c r="AK32" s="230" t="str">
        <f t="shared" ca="1" si="10"/>
        <v>N.A.</v>
      </c>
      <c r="AL32" s="230" t="str">
        <f t="shared" ca="1" si="11"/>
        <v>N.A.</v>
      </c>
      <c r="AM32" s="230" t="str">
        <f t="shared" ca="1" si="12"/>
        <v>N.A.</v>
      </c>
      <c r="AN32" s="230" t="str">
        <f t="shared" ca="1" si="13"/>
        <v>N.A.</v>
      </c>
      <c r="AO32" s="230" t="str">
        <f t="shared" ca="1" si="14"/>
        <v>N.A.</v>
      </c>
      <c r="AP32" s="230" t="str">
        <f t="shared" ca="1" si="15"/>
        <v>N.A.</v>
      </c>
      <c r="AQ32" s="230" t="str">
        <f t="shared" ca="1" si="16"/>
        <v>N.A.</v>
      </c>
      <c r="AR32" s="230" t="str">
        <f t="shared" ca="1" si="17"/>
        <v>N.A.</v>
      </c>
      <c r="AS32" s="229" t="str">
        <f t="shared" ca="1" si="18"/>
        <v>N.A.</v>
      </c>
      <c r="AT32" s="229" t="str">
        <f t="shared" ca="1" si="19"/>
        <v>N.A.</v>
      </c>
      <c r="AU32" s="230" t="str">
        <f t="shared" ca="1" si="20"/>
        <v>N.A.</v>
      </c>
      <c r="AV32" s="230" t="str">
        <f t="shared" ca="1" si="21"/>
        <v>N.A.</v>
      </c>
      <c r="AW32" s="230" t="str">
        <f t="shared" ca="1" si="22"/>
        <v>N.A.</v>
      </c>
      <c r="AX32" s="230" t="str">
        <f t="shared" ca="1" si="23"/>
        <v>N.A.</v>
      </c>
      <c r="AZ32" s="267" t="s">
        <v>365</v>
      </c>
      <c r="BE32" s="126"/>
    </row>
    <row r="33" spans="2:54">
      <c r="B33" s="19" t="s">
        <v>148</v>
      </c>
      <c r="C33" s="103">
        <v>0</v>
      </c>
      <c r="D33" s="104"/>
      <c r="E33" s="104"/>
      <c r="F33" s="108"/>
      <c r="G33" s="104"/>
      <c r="H33" s="108"/>
      <c r="I33" s="104"/>
      <c r="J33" s="104"/>
      <c r="K33" s="30"/>
      <c r="M33" s="83"/>
      <c r="N33" s="58"/>
      <c r="O33" s="68" t="s">
        <v>120</v>
      </c>
      <c r="P33" s="79">
        <f ca="1">IF(AND($P$17&gt;0,$P$44&gt;0),$P$17*($D$12/2+$P$15),IF(AND($P$17&gt;0,$P$44&lt;0),$P$17*($D$12/2-$P$15),0))</f>
        <v>0</v>
      </c>
      <c r="Q33" s="79">
        <f ca="1">IF(AND($Q$17&gt;0,$P$44&gt;0),$Q$17*($D$12/2+$Q$15),IF(AND($Q$17&gt;0,$P$44&lt;0),$Q$17*($D$12/2-$Q$15),0))</f>
        <v>0</v>
      </c>
      <c r="R33" s="79">
        <f ca="1">IF(AND($R$17&gt;0,$P$44&gt;0),$R$17*($D$12/2+$R$15),IF(AND($R$17&gt;0,$P$44&lt;0),$R$17*($D$12/2-$R$15),0))</f>
        <v>0</v>
      </c>
      <c r="S33" s="79">
        <f ca="1">IF(AND($S$17&gt;0,$P$44&gt;0),$S$17*($D$12/2+$S$15),IF(AND($S$17&gt;0,$P$44&lt;0),$S$17*($D$12/2-$S$15),0))</f>
        <v>0</v>
      </c>
      <c r="T33" s="79">
        <f ca="1">IF(AND($T$17&gt;0,$P$44&gt;0),$T$17*($D$12/2+$T$15),IF(AND($T$17&gt;0,$P$44&lt;0),$T$17*($D$12/2-$T$15),0))</f>
        <v>0</v>
      </c>
      <c r="U33" s="79">
        <f ca="1">IF(AND($U$17&gt;0,$P$44&gt;0),$U$17*($D$12/2+$U$15),IF(AND($U$17&gt;0,$P$44&lt;0),$U$17*($D$12/2-$U$15),0))</f>
        <v>0</v>
      </c>
      <c r="V33" s="79">
        <f ca="1">IF(AND($V$17&gt;0,$P$44&gt;0),$V$17*($D$12/2+$V$15),IF(AND($V$17&gt;0,$P$44&lt;0),$V$17*($D$12/2-$V$15),0))</f>
        <v>0</v>
      </c>
      <c r="W33" s="79">
        <f ca="1">IF(AND($W$17&gt;0,$P$44&gt;0),$W$17*($D$12/2+$W$15),IF(AND($W$17&gt;0,$P$44&lt;0),$W$17*($D$12/2-$W$15),0))</f>
        <v>0</v>
      </c>
      <c r="X33" s="227">
        <v>29</v>
      </c>
      <c r="Y33" s="230" t="str">
        <f t="shared" ca="1" si="24"/>
        <v>N.A.</v>
      </c>
      <c r="Z33" s="230" t="str">
        <f t="shared" ca="1" si="25"/>
        <v>N.A.</v>
      </c>
      <c r="AA33" s="230" t="str">
        <f t="shared" ca="1" si="0"/>
        <v>N.A.</v>
      </c>
      <c r="AB33" s="230" t="str">
        <f t="shared" ca="1" si="1"/>
        <v>N.A.</v>
      </c>
      <c r="AC33" s="230" t="str">
        <f t="shared" ca="1" si="2"/>
        <v>N.A.</v>
      </c>
      <c r="AD33" s="229" t="str">
        <f t="shared" ca="1" si="3"/>
        <v>N.A.</v>
      </c>
      <c r="AE33" s="229" t="str">
        <f t="shared" ca="1" si="4"/>
        <v>N.A.</v>
      </c>
      <c r="AF33" s="229" t="str">
        <f t="shared" ca="1" si="5"/>
        <v>N.A.</v>
      </c>
      <c r="AG33" s="229" t="str">
        <f t="shared" ca="1" si="6"/>
        <v>N.A.</v>
      </c>
      <c r="AH33" s="230" t="str">
        <f t="shared" ca="1" si="7"/>
        <v>N.A.</v>
      </c>
      <c r="AI33" s="230" t="str">
        <f t="shared" ca="1" si="8"/>
        <v>N.A.</v>
      </c>
      <c r="AJ33" s="230" t="str">
        <f t="shared" ca="1" si="9"/>
        <v>N.A.</v>
      </c>
      <c r="AK33" s="230" t="str">
        <f t="shared" ca="1" si="10"/>
        <v>N.A.</v>
      </c>
      <c r="AL33" s="230" t="str">
        <f t="shared" ca="1" si="11"/>
        <v>N.A.</v>
      </c>
      <c r="AM33" s="230" t="str">
        <f t="shared" ca="1" si="12"/>
        <v>N.A.</v>
      </c>
      <c r="AN33" s="230" t="str">
        <f t="shared" ca="1" si="13"/>
        <v>N.A.</v>
      </c>
      <c r="AO33" s="230" t="str">
        <f t="shared" ca="1" si="14"/>
        <v>N.A.</v>
      </c>
      <c r="AP33" s="230" t="str">
        <f t="shared" ca="1" si="15"/>
        <v>N.A.</v>
      </c>
      <c r="AQ33" s="230" t="str">
        <f t="shared" ca="1" si="16"/>
        <v>N.A.</v>
      </c>
      <c r="AR33" s="230" t="str">
        <f t="shared" ca="1" si="17"/>
        <v>N.A.</v>
      </c>
      <c r="AS33" s="229" t="str">
        <f t="shared" ca="1" si="18"/>
        <v>N.A.</v>
      </c>
      <c r="AT33" s="229" t="str">
        <f t="shared" ca="1" si="19"/>
        <v>N.A.</v>
      </c>
      <c r="AU33" s="230" t="str">
        <f t="shared" ca="1" si="20"/>
        <v>N.A.</v>
      </c>
      <c r="AV33" s="230" t="str">
        <f t="shared" ca="1" si="21"/>
        <v>N.A.</v>
      </c>
      <c r="AW33" s="230" t="str">
        <f t="shared" ca="1" si="22"/>
        <v>N.A.</v>
      </c>
      <c r="AX33" s="230" t="str">
        <f t="shared" ca="1" si="23"/>
        <v>N.A.</v>
      </c>
      <c r="AZ33" s="19" t="s">
        <v>178</v>
      </c>
      <c r="BA33" s="264">
        <f ca="1">$C$90</f>
        <v>100</v>
      </c>
      <c r="BB33" s="253" t="s">
        <v>152</v>
      </c>
    </row>
    <row r="34" spans="2:54">
      <c r="B34" s="19" t="s">
        <v>149</v>
      </c>
      <c r="C34" s="103">
        <v>0</v>
      </c>
      <c r="D34" s="105"/>
      <c r="E34" s="105"/>
      <c r="F34" s="109"/>
      <c r="G34" s="105"/>
      <c r="H34" s="109"/>
      <c r="I34" s="105"/>
      <c r="J34" s="105"/>
      <c r="K34" s="30"/>
      <c r="N34" s="58"/>
      <c r="O34" s="81" t="s">
        <v>116</v>
      </c>
      <c r="P34" s="79">
        <f ca="1">ROUND(SUM($P$33:$W$33)+($D$11*$D$12*$D$13*$D$14+$D$11*$D$12*$D$15*$D$16)*$D$12/2,6)</f>
        <v>55.535625000000003</v>
      </c>
      <c r="Q34" s="82" t="s">
        <v>107</v>
      </c>
      <c r="R34" s="136"/>
      <c r="S34" s="136"/>
      <c r="T34" s="136"/>
      <c r="U34" s="136"/>
      <c r="V34" s="136"/>
      <c r="W34" s="83"/>
      <c r="X34" s="227">
        <v>30</v>
      </c>
      <c r="Y34" s="230" t="str">
        <f t="shared" ca="1" si="24"/>
        <v>N.A.</v>
      </c>
      <c r="Z34" s="230" t="str">
        <f t="shared" ca="1" si="25"/>
        <v>N.A.</v>
      </c>
      <c r="AA34" s="230" t="str">
        <f t="shared" ca="1" si="0"/>
        <v>N.A.</v>
      </c>
      <c r="AB34" s="230" t="str">
        <f t="shared" ca="1" si="1"/>
        <v>N.A.</v>
      </c>
      <c r="AC34" s="230" t="str">
        <f t="shared" ca="1" si="2"/>
        <v>N.A.</v>
      </c>
      <c r="AD34" s="229" t="str">
        <f t="shared" ca="1" si="3"/>
        <v>N.A.</v>
      </c>
      <c r="AE34" s="229" t="str">
        <f t="shared" ca="1" si="4"/>
        <v>N.A.</v>
      </c>
      <c r="AF34" s="229" t="str">
        <f t="shared" ca="1" si="5"/>
        <v>N.A.</v>
      </c>
      <c r="AG34" s="229" t="str">
        <f t="shared" ca="1" si="6"/>
        <v>N.A.</v>
      </c>
      <c r="AH34" s="230" t="str">
        <f t="shared" ca="1" si="7"/>
        <v>N.A.</v>
      </c>
      <c r="AI34" s="230" t="str">
        <f t="shared" ca="1" si="8"/>
        <v>N.A.</v>
      </c>
      <c r="AJ34" s="230" t="str">
        <f t="shared" ca="1" si="9"/>
        <v>N.A.</v>
      </c>
      <c r="AK34" s="230" t="str">
        <f t="shared" ca="1" si="10"/>
        <v>N.A.</v>
      </c>
      <c r="AL34" s="230" t="str">
        <f t="shared" ca="1" si="11"/>
        <v>N.A.</v>
      </c>
      <c r="AM34" s="230" t="str">
        <f t="shared" ca="1" si="12"/>
        <v>N.A.</v>
      </c>
      <c r="AN34" s="230" t="str">
        <f t="shared" ca="1" si="13"/>
        <v>N.A.</v>
      </c>
      <c r="AO34" s="230" t="str">
        <f t="shared" ca="1" si="14"/>
        <v>N.A.</v>
      </c>
      <c r="AP34" s="230" t="str">
        <f t="shared" ca="1" si="15"/>
        <v>N.A.</v>
      </c>
      <c r="AQ34" s="230" t="str">
        <f t="shared" ca="1" si="16"/>
        <v>N.A.</v>
      </c>
      <c r="AR34" s="230" t="str">
        <f t="shared" ca="1" si="17"/>
        <v>N.A.</v>
      </c>
      <c r="AS34" s="229" t="str">
        <f t="shared" ca="1" si="18"/>
        <v>N.A.</v>
      </c>
      <c r="AT34" s="229" t="str">
        <f t="shared" ca="1" si="19"/>
        <v>N.A.</v>
      </c>
      <c r="AU34" s="230" t="str">
        <f t="shared" ca="1" si="20"/>
        <v>N.A.</v>
      </c>
      <c r="AV34" s="230" t="str">
        <f t="shared" ca="1" si="21"/>
        <v>N.A.</v>
      </c>
      <c r="AW34" s="230" t="str">
        <f t="shared" ca="1" si="22"/>
        <v>N.A.</v>
      </c>
      <c r="AX34" s="230" t="str">
        <f t="shared" ca="1" si="23"/>
        <v>N.A.</v>
      </c>
      <c r="AZ34" s="42" t="s">
        <v>364</v>
      </c>
    </row>
    <row r="35" spans="2:54">
      <c r="B35" s="23"/>
      <c r="C35" s="24"/>
      <c r="D35" s="24"/>
      <c r="E35" s="24"/>
      <c r="F35" s="24"/>
      <c r="G35" s="24"/>
      <c r="H35" s="24"/>
      <c r="I35" s="24"/>
      <c r="J35" s="24"/>
      <c r="K35" s="30"/>
      <c r="N35" s="58"/>
      <c r="O35" s="68" t="s">
        <v>121</v>
      </c>
      <c r="P35" s="79">
        <f ca="1">IF(AND($P$17&gt;0,$P$47&gt;0),$P$17*($D$11/2-$P$14),IF(AND($P$17&gt;0,$P$47&lt;0),$P$17*($D$11/2+$P$14),0))</f>
        <v>397.5825375</v>
      </c>
      <c r="Q35" s="79">
        <f ca="1">IF(AND($Q$17&gt;0,$P$47&gt;0),$Q$17*($D$11/2-$Q$14),IF(AND($Q$17&gt;0,$P$47&lt;0),$Q$17*($D$11/2+$Q$14),0))</f>
        <v>0</v>
      </c>
      <c r="R35" s="79">
        <f ca="1">IF(AND($R$17&gt;0,$P$47&gt;0),$R$17*($D$11/2-$R$14),IF(AND($R$17&gt;0,$P$47&lt;0),$R$17*($D$11/2+$R$14),0))</f>
        <v>0</v>
      </c>
      <c r="S35" s="79">
        <f ca="1">IF(AND($S$17&gt;0,$P$47&gt;0),$S$17*($D$11/2-$S$14),IF(AND($S$17&gt;0,$P$47&lt;0),$S$17*($D$11/2+$S$14),0))</f>
        <v>0</v>
      </c>
      <c r="T35" s="79">
        <f ca="1">IF(AND($T$17&gt;0,$P$47&gt;0),$T$17*($D$11/2-$T$14),IF(AND($T$17&gt;0,$P$47&lt;0),$T$17*($D$11/2+$T$14),0))</f>
        <v>0</v>
      </c>
      <c r="U35" s="79">
        <f ca="1">IF(AND($U$17&gt;0,$P$47&gt;0),$U$17*($D$11/2-$U$14),IF(AND($U$17&gt;0,$P$47&lt;0),$U$17*($D$11/2+$U$14),0))</f>
        <v>0</v>
      </c>
      <c r="V35" s="79">
        <f ca="1">IF(AND($V$17&gt;0,$P$47&gt;0),$V$17*($D$11/2-$V$14),IF(AND($V$17&gt;0,$P$47&lt;0),$V$17*($D$11/2+$V$14),0))</f>
        <v>0</v>
      </c>
      <c r="W35" s="79">
        <f ca="1">IF(AND($W$17&gt;0,$P$47&gt;0),$W$17*($D$11/2-$W$14),IF(AND($W$17&gt;0,$P$47&lt;0),$W$17*($D$11/2+$W$14),0))</f>
        <v>0</v>
      </c>
      <c r="Y35" s="60"/>
      <c r="Z35" s="60"/>
      <c r="AA35" s="40"/>
      <c r="AB35" s="40"/>
      <c r="AC35" s="40"/>
      <c r="AD35" s="41"/>
      <c r="AE35" s="41"/>
      <c r="AF35" s="41"/>
      <c r="AG35" s="41"/>
      <c r="AH35" s="40"/>
      <c r="AI35" s="40"/>
      <c r="AJ35" s="40"/>
      <c r="AK35" s="40"/>
      <c r="AL35" s="40"/>
      <c r="AM35" s="40"/>
      <c r="AN35" s="40"/>
      <c r="AO35" s="40"/>
      <c r="AP35" s="40"/>
      <c r="AQ35" s="231" t="s">
        <v>155</v>
      </c>
      <c r="AR35" s="231" t="s">
        <v>156</v>
      </c>
      <c r="AS35" s="232" t="s">
        <v>158</v>
      </c>
      <c r="AT35" s="232" t="s">
        <v>159</v>
      </c>
      <c r="AU35" s="233" t="e">
        <f ca="1">IF(LOOKUP(MIN($AS$36,$AT$36),$X$5:$X$34,$AU$5:$AU$34)&lt;0,0,LOOKUP($AS$36,$X$5:$X$34,$AU$5:$AU$34))</f>
        <v>#N/A</v>
      </c>
      <c r="AV35" s="233" t="e">
        <f ca="1">IF(LOOKUP(MIN($AS$36,$AT$36),$X$5:$X$34,$AV$5:$AV$34)&lt;0,0,LOOKUP($AS$36,$X$5:$X$34,$AV$5:$AV$34))</f>
        <v>#N/A</v>
      </c>
      <c r="AW35" s="233" t="e">
        <f ca="1">IF(LOOKUP(MIN($AS$36,$AT$36),$X$5:$X$34,$AW$5:$AW$34)&lt;0,0,LOOKUP($AS$36,$X$5:$X$34,$AW$5:$AW$34))</f>
        <v>#N/A</v>
      </c>
      <c r="AX35" s="233" t="e">
        <f ca="1">IF(LOOKUP(MIN($AS$36,$AT$36),$X$5:$X$34,$AX$5:$AX$34)&lt;0,0,LOOKUP($AS$36,$X$5:$X$34,$AX$5:$AX$34))</f>
        <v>#N/A</v>
      </c>
      <c r="AZ35" s="259" t="s">
        <v>237</v>
      </c>
      <c r="BA35" s="263">
        <f ca="1">$C$108</f>
        <v>3.3952008333333334</v>
      </c>
      <c r="BB35" s="253" t="s">
        <v>42</v>
      </c>
    </row>
    <row r="36" spans="2:54">
      <c r="B36" s="23"/>
      <c r="C36" s="24"/>
      <c r="D36" s="24"/>
      <c r="E36" s="24"/>
      <c r="F36" s="24"/>
      <c r="G36" s="24"/>
      <c r="H36" s="24"/>
      <c r="I36" s="24"/>
      <c r="J36" s="29"/>
      <c r="K36" s="30"/>
      <c r="N36" s="58"/>
      <c r="O36" s="81" t="s">
        <v>118</v>
      </c>
      <c r="P36" s="79">
        <f ca="1">ROUND(SUM($P$35:$W$35)+($D$11*$D$12*$D$13*$D$14+$D$11*$D$12*$D$15*$D$16)*$D$11/2,6)</f>
        <v>497.54666300000002</v>
      </c>
      <c r="Q36" s="82" t="s">
        <v>107</v>
      </c>
      <c r="R36" s="136"/>
      <c r="S36" s="136"/>
      <c r="T36" s="136"/>
      <c r="U36" s="136"/>
      <c r="V36" s="77"/>
      <c r="W36" s="77"/>
      <c r="Y36" s="60"/>
      <c r="Z36" s="60"/>
      <c r="AA36" s="40"/>
      <c r="AB36" s="40"/>
      <c r="AC36" s="40"/>
      <c r="AD36" s="41"/>
      <c r="AE36" s="41"/>
      <c r="AF36" s="41"/>
      <c r="AG36" s="41"/>
      <c r="AH36" s="40"/>
      <c r="AI36" s="40"/>
      <c r="AJ36" s="40"/>
      <c r="AK36" s="40"/>
      <c r="AL36" s="40"/>
      <c r="AM36" s="40"/>
      <c r="AN36" s="40"/>
      <c r="AO36" s="40"/>
      <c r="AP36" s="40"/>
      <c r="AQ36" s="231" t="str">
        <f ca="1">IF(OR($P$91&lt;=1,$P$91="N.A."),"N.A.",IF(LOOKUP(MIN($AS$36,$AT$36),$X$5:$X$34,$AQ$5:$AQ$34)&lt;0,0,LOOKUP($AS$36,$X$5:$X$34,$AQ$5:$AQ$34)))</f>
        <v>N.A.</v>
      </c>
      <c r="AR36" s="231" t="str">
        <f ca="1">IF(OR($P$91&lt;=1,$P$91="N.A."),"N.A.",IF(LOOKUP(MIN($AS$36,$AT$36),$X$5:$X$34,$AR$5:$AR$34)&lt;0,0,LOOKUP($AS$36,$X$5:$X$34,$AR$5:$AR$34)))</f>
        <v>N.A.</v>
      </c>
      <c r="AS36" s="234" t="str">
        <f ca="1">IF(OR($P$91&lt;=1,$P$91="N.A."),"N.A.",MATCH(0,$AS$5:$AS$34,0))</f>
        <v>N.A.</v>
      </c>
      <c r="AT36" s="234" t="str">
        <f ca="1">IF(OR($P$91&lt;=1,$P$91="N.A."),"N.A.",MATCH(0,$AT$5:$AT$34,0))</f>
        <v>N.A.</v>
      </c>
      <c r="AU36" s="233" t="str">
        <f ca="1">IF(OR($P$91&lt;=1,$P$91="N.A."),"N.A.",IF(AND($P$40&gt;0,$P$41&gt;0),$AV$35,IF(AND($P$40&lt;0,$P$41&gt;0),$AW$35,IF(AND($P$40&lt;0,$P$41&lt;0),$AX$35,IF(AND($P$40&gt;0,$P$41&lt;0),$AU$35)))))</f>
        <v>N.A.</v>
      </c>
      <c r="AV36" s="233" t="str">
        <f ca="1">IF(OR($P$91&lt;=1,$P$91="N.A."),"N.A.",IF(AND($P$40&gt;0,$P$41&gt;0),$AU$35,IF(AND($P$40&lt;0,$P$41&gt;0),$AX$35,IF(AND($P$40&lt;0,$P$41&lt;0),$AW$35,IF(AND($P$40&gt;0,$P$41&lt;0),$AV$35)))))</f>
        <v>N.A.</v>
      </c>
      <c r="AW36" s="233" t="str">
        <f ca="1">IF(OR($P$91&lt;=1,$P$91="N.A."),"N.A.",IF(AND($P$40&gt;0,$P$41&gt;0),$AX$35,IF(AND($P$40&lt;0,$P$41&gt;0),$AU$35,IF(AND($P$40&lt;0,$P$41&lt;0),$AV$35,IF(AND($P$40&gt;0,$P$41&lt;0),$AW$35)))))</f>
        <v>N.A.</v>
      </c>
      <c r="AX36" s="233" t="str">
        <f ca="1">IF(OR($P$91&lt;=1,$P$91="N.A."),"N.A.",IF(AND($P$40&gt;0,$P$41&gt;0),$AW$35,IF(AND($P$40&lt;0,$P$41&gt;0),$AV$35,IF(AND($P$40&lt;0,$P$41&lt;0),$AU$35,IF(AND($P$40&gt;0,$P$41&lt;0),$AX$35)))))</f>
        <v>N.A.</v>
      </c>
    </row>
    <row r="37" spans="2:54">
      <c r="B37" s="23"/>
      <c r="C37" s="20"/>
      <c r="D37" s="20"/>
      <c r="E37" s="20"/>
      <c r="F37" s="22"/>
      <c r="G37" s="29"/>
      <c r="H37" s="53"/>
      <c r="I37" s="24"/>
      <c r="J37" s="29"/>
      <c r="K37" s="30"/>
      <c r="N37" s="58"/>
      <c r="O37" s="72" t="s">
        <v>105</v>
      </c>
      <c r="V37" s="73"/>
      <c r="W37" s="73"/>
      <c r="Y37" s="60"/>
      <c r="Z37" s="60"/>
      <c r="AA37" s="40"/>
      <c r="AB37" s="40"/>
      <c r="AC37" s="40"/>
      <c r="AD37" s="41"/>
      <c r="AE37" s="41"/>
      <c r="AF37" s="41"/>
      <c r="AG37" s="41"/>
      <c r="AH37" s="40"/>
      <c r="AI37" s="40"/>
      <c r="AJ37" s="40"/>
      <c r="AK37" s="40"/>
      <c r="AL37" s="40"/>
      <c r="AM37" s="40"/>
      <c r="AN37" s="40"/>
      <c r="AO37" s="40"/>
      <c r="AP37" s="40"/>
      <c r="AQ37" s="40"/>
      <c r="AR37" s="40"/>
      <c r="AS37" s="41"/>
      <c r="AT37" s="41"/>
      <c r="AU37" s="60"/>
      <c r="AV37" s="60"/>
      <c r="AW37" s="60"/>
      <c r="AX37" s="60"/>
    </row>
    <row r="38" spans="2:54">
      <c r="B38" s="23"/>
      <c r="C38" s="24"/>
      <c r="D38" s="24"/>
      <c r="E38" s="25"/>
      <c r="F38" s="24"/>
      <c r="G38" s="24"/>
      <c r="H38" s="24" t="s">
        <v>26</v>
      </c>
      <c r="I38" s="24"/>
      <c r="J38" s="29"/>
      <c r="K38" s="30"/>
      <c r="N38" s="58"/>
      <c r="O38" s="81" t="s">
        <v>103</v>
      </c>
      <c r="P38" s="79">
        <f ca="1">$P$11+$P$18</f>
        <v>115.06592499999999</v>
      </c>
      <c r="Q38" s="62" t="s">
        <v>66</v>
      </c>
      <c r="R38" s="86" t="s">
        <v>106</v>
      </c>
      <c r="S38" s="40"/>
      <c r="V38" s="73"/>
      <c r="W38" s="73"/>
      <c r="Y38" s="60"/>
      <c r="Z38" s="60"/>
      <c r="AA38" s="40"/>
      <c r="AB38" s="40"/>
      <c r="AC38" s="40"/>
      <c r="AD38" s="41"/>
      <c r="AE38" s="41"/>
      <c r="AF38" s="41"/>
      <c r="AG38" s="41"/>
      <c r="AH38" s="40"/>
      <c r="AI38" s="40"/>
      <c r="AJ38" s="40"/>
      <c r="AK38" s="40"/>
      <c r="AL38" s="40"/>
      <c r="AM38" s="40"/>
      <c r="AN38" s="40"/>
      <c r="AO38" s="40"/>
      <c r="AP38" s="40"/>
      <c r="AQ38" s="40"/>
      <c r="AR38" s="40"/>
      <c r="AS38" s="41"/>
      <c r="AT38" s="41"/>
      <c r="AU38" s="60"/>
      <c r="AV38" s="60"/>
      <c r="AW38" s="60"/>
      <c r="AX38" s="60"/>
    </row>
    <row r="39" spans="2:54">
      <c r="B39" s="23"/>
      <c r="C39" s="24"/>
      <c r="D39" s="27"/>
      <c r="E39" s="25"/>
      <c r="F39" s="28"/>
      <c r="G39" s="27"/>
      <c r="H39" s="25"/>
      <c r="I39" s="24"/>
      <c r="J39" s="24"/>
      <c r="K39" s="30"/>
      <c r="N39" s="58"/>
      <c r="O39" s="72" t="s">
        <v>122</v>
      </c>
      <c r="U39" s="40"/>
      <c r="V39" s="73"/>
      <c r="W39" s="73"/>
      <c r="Y39" s="60"/>
      <c r="Z39" s="60"/>
      <c r="AA39" s="40"/>
      <c r="AB39" s="40"/>
      <c r="AC39" s="40"/>
      <c r="AD39" s="41"/>
      <c r="AE39" s="41"/>
      <c r="AF39" s="41"/>
      <c r="AG39" s="41"/>
      <c r="AH39" s="40"/>
      <c r="AI39" s="40"/>
      <c r="AJ39" s="40"/>
      <c r="AK39" s="40"/>
      <c r="AL39" s="40"/>
      <c r="AM39" s="40"/>
      <c r="AN39" s="40"/>
      <c r="AO39" s="40"/>
      <c r="AP39" s="40"/>
      <c r="AQ39" s="40"/>
      <c r="AR39" s="40"/>
      <c r="AS39" s="41"/>
      <c r="AT39" s="41"/>
      <c r="AU39" s="60"/>
      <c r="AV39" s="60"/>
      <c r="AW39" s="60"/>
      <c r="AX39" s="60"/>
    </row>
    <row r="40" spans="2:54">
      <c r="B40" s="23"/>
      <c r="C40" s="24"/>
      <c r="D40" s="29"/>
      <c r="E40" s="29"/>
      <c r="F40" s="24"/>
      <c r="G40" s="29"/>
      <c r="H40" s="29"/>
      <c r="I40" s="24"/>
      <c r="J40" s="24"/>
      <c r="K40" s="30"/>
      <c r="N40" s="58"/>
      <c r="O40" s="68" t="s">
        <v>64</v>
      </c>
      <c r="P40" s="79">
        <f ca="1">ROUND(($P$29+SUM($P$30:$W$30))/$P$38,2)</f>
        <v>-0.75</v>
      </c>
      <c r="Q40" s="62" t="s">
        <v>41</v>
      </c>
      <c r="R40" s="71"/>
      <c r="U40" s="40"/>
      <c r="V40" s="73"/>
      <c r="W40" s="73"/>
      <c r="Y40" s="60"/>
      <c r="Z40" s="60"/>
      <c r="AA40" s="40"/>
      <c r="AB40" s="40"/>
      <c r="AC40" s="40"/>
      <c r="AD40" s="41"/>
      <c r="AE40" s="41"/>
      <c r="AF40" s="41"/>
      <c r="AG40" s="41"/>
      <c r="AH40" s="40"/>
      <c r="AI40" s="40"/>
      <c r="AJ40" s="40"/>
      <c r="AK40" s="40"/>
      <c r="AL40" s="40"/>
      <c r="AM40" s="40"/>
      <c r="AN40" s="40"/>
      <c r="AO40" s="40"/>
      <c r="AP40" s="40"/>
      <c r="AQ40" s="40"/>
      <c r="AR40" s="40"/>
      <c r="AS40" s="41"/>
      <c r="AT40" s="41"/>
      <c r="AU40" s="60"/>
      <c r="AV40" s="60"/>
      <c r="AW40" s="60"/>
      <c r="AX40" s="60"/>
    </row>
    <row r="41" spans="2:54">
      <c r="B41" s="23"/>
      <c r="C41" s="24"/>
      <c r="D41" s="61"/>
      <c r="E41" s="61"/>
      <c r="F41" s="35"/>
      <c r="G41" s="61"/>
      <c r="H41" s="61"/>
      <c r="I41" s="24"/>
      <c r="J41" s="24"/>
      <c r="K41" s="30"/>
      <c r="N41" s="58"/>
      <c r="O41" s="68" t="s">
        <v>65</v>
      </c>
      <c r="P41" s="79">
        <f ca="1">ROUND(-($P$24+SUM($P$25:$W$25))/$P$38,2)</f>
        <v>0</v>
      </c>
      <c r="Q41" s="62" t="s">
        <v>41</v>
      </c>
      <c r="R41" s="76"/>
      <c r="U41" s="40"/>
      <c r="Y41" s="60"/>
      <c r="Z41" s="60"/>
      <c r="AA41" s="40"/>
      <c r="AB41" s="40"/>
      <c r="AC41" s="40"/>
      <c r="AD41" s="41"/>
      <c r="AE41" s="41"/>
      <c r="AF41" s="41"/>
      <c r="AG41" s="41"/>
      <c r="AH41" s="40"/>
      <c r="AI41" s="40"/>
      <c r="AJ41" s="40"/>
      <c r="AK41" s="40"/>
      <c r="AL41" s="40"/>
      <c r="AM41" s="40"/>
      <c r="AN41" s="40"/>
      <c r="AO41" s="40"/>
      <c r="AP41" s="40"/>
      <c r="AQ41" s="40"/>
      <c r="AR41" s="40"/>
      <c r="AS41" s="41"/>
      <c r="AT41" s="41"/>
      <c r="AU41" s="60"/>
      <c r="AV41" s="60"/>
      <c r="AW41" s="60"/>
      <c r="AX41" s="60"/>
    </row>
    <row r="42" spans="2:54">
      <c r="B42" s="23"/>
      <c r="C42" s="24"/>
      <c r="D42" s="61"/>
      <c r="E42" s="61"/>
      <c r="F42" s="35"/>
      <c r="G42" s="61"/>
      <c r="H42" s="61"/>
      <c r="I42" s="24"/>
      <c r="J42" s="24"/>
      <c r="K42" s="30"/>
      <c r="N42" s="58"/>
      <c r="O42" s="72" t="s">
        <v>115</v>
      </c>
      <c r="R42" s="40"/>
      <c r="S42" s="40"/>
      <c r="T42" s="40"/>
      <c r="V42" s="73"/>
      <c r="W42" s="73"/>
      <c r="Y42" s="60"/>
      <c r="Z42" s="60"/>
      <c r="AA42" s="40"/>
      <c r="AB42" s="40"/>
      <c r="AC42" s="40"/>
      <c r="AD42" s="41"/>
      <c r="AE42" s="41"/>
      <c r="AF42" s="41"/>
      <c r="AG42" s="41"/>
      <c r="AH42" s="40"/>
      <c r="AI42" s="40"/>
      <c r="AJ42" s="40"/>
      <c r="AK42" s="40"/>
      <c r="AL42" s="40"/>
      <c r="AM42" s="40"/>
      <c r="AN42" s="40"/>
      <c r="AO42" s="40"/>
      <c r="AP42" s="40"/>
      <c r="AQ42" s="40"/>
      <c r="AR42" s="40"/>
      <c r="AS42" s="41"/>
      <c r="AT42" s="41"/>
      <c r="AU42" s="60"/>
      <c r="AV42" s="60"/>
      <c r="AW42" s="60"/>
      <c r="AX42" s="60"/>
    </row>
    <row r="43" spans="2:54">
      <c r="B43" s="23"/>
      <c r="C43" s="24"/>
      <c r="D43" s="61"/>
      <c r="E43" s="61"/>
      <c r="F43" s="35"/>
      <c r="G43" s="61"/>
      <c r="H43" s="61"/>
      <c r="I43" s="24"/>
      <c r="J43" s="24"/>
      <c r="K43" s="189"/>
      <c r="L43" s="28"/>
      <c r="M43" s="28"/>
      <c r="N43" s="58"/>
      <c r="O43" s="81" t="s">
        <v>116</v>
      </c>
      <c r="P43" s="79">
        <f ca="1">$P$34</f>
        <v>55.535625000000003</v>
      </c>
      <c r="Q43" s="62" t="s">
        <v>107</v>
      </c>
      <c r="R43" s="76"/>
      <c r="S43" s="40"/>
      <c r="T43" s="40"/>
      <c r="U43" s="40"/>
      <c r="V43" s="73"/>
      <c r="W43" s="73"/>
      <c r="Y43" s="60"/>
      <c r="Z43" s="60"/>
      <c r="AA43" s="40"/>
      <c r="AB43" s="40"/>
      <c r="AC43" s="40"/>
      <c r="AD43" s="41"/>
      <c r="AE43" s="41"/>
      <c r="AF43" s="41"/>
      <c r="AG43" s="41"/>
      <c r="AH43" s="40"/>
      <c r="AI43" s="40"/>
      <c r="AJ43" s="40"/>
      <c r="AK43" s="40"/>
      <c r="AL43" s="40"/>
      <c r="AM43" s="40"/>
      <c r="AN43" s="40"/>
      <c r="AO43" s="40"/>
      <c r="AP43" s="40"/>
      <c r="AQ43" s="40"/>
      <c r="AR43" s="40"/>
      <c r="AS43" s="41"/>
      <c r="AT43" s="41"/>
      <c r="AU43" s="60"/>
      <c r="AV43" s="60"/>
      <c r="AW43" s="60"/>
      <c r="AX43" s="60"/>
    </row>
    <row r="44" spans="2:54">
      <c r="B44" s="23"/>
      <c r="C44" s="24"/>
      <c r="D44" s="61"/>
      <c r="E44" s="61"/>
      <c r="F44" s="35"/>
      <c r="G44" s="61"/>
      <c r="H44" s="61"/>
      <c r="I44" s="24"/>
      <c r="J44" s="24"/>
      <c r="K44" s="30"/>
      <c r="N44" s="58"/>
      <c r="O44" s="81" t="s">
        <v>109</v>
      </c>
      <c r="P44" s="79">
        <f ca="1">$P$27</f>
        <v>0</v>
      </c>
      <c r="Q44" s="62" t="s">
        <v>107</v>
      </c>
      <c r="R44" s="62"/>
      <c r="U44" s="40"/>
      <c r="V44" s="73"/>
      <c r="W44" s="73"/>
      <c r="Y44" s="60"/>
      <c r="Z44" s="60"/>
      <c r="AA44" s="40"/>
      <c r="AB44" s="40"/>
      <c r="AC44" s="40"/>
      <c r="AD44" s="41"/>
      <c r="AE44" s="41"/>
      <c r="AF44" s="41"/>
      <c r="AG44" s="41"/>
      <c r="AH44" s="40"/>
      <c r="AI44" s="40"/>
      <c r="AJ44" s="40"/>
      <c r="AK44" s="40"/>
      <c r="AL44" s="40"/>
      <c r="AM44" s="40"/>
      <c r="AN44" s="40"/>
      <c r="AO44" s="40"/>
      <c r="AP44" s="40"/>
      <c r="AQ44" s="40"/>
      <c r="AR44" s="40"/>
      <c r="AS44" s="41"/>
      <c r="AT44" s="41"/>
      <c r="AU44" s="60"/>
      <c r="AV44" s="60"/>
      <c r="AW44" s="60"/>
      <c r="AX44" s="60"/>
    </row>
    <row r="45" spans="2:54">
      <c r="B45" s="23"/>
      <c r="C45" s="24"/>
      <c r="D45" s="61"/>
      <c r="E45" s="61"/>
      <c r="F45" s="35"/>
      <c r="G45" s="61"/>
      <c r="H45" s="61"/>
      <c r="I45" s="24"/>
      <c r="J45" s="24"/>
      <c r="K45" s="30"/>
      <c r="L45" s="24"/>
      <c r="M45" s="24"/>
      <c r="N45" s="58"/>
      <c r="O45" s="68" t="s">
        <v>117</v>
      </c>
      <c r="P45" s="60" t="str">
        <f ca="1">IF(OR($P$44&gt;0,$P$44&lt;0),ABS($P$43/$P$44),"N.A.")</f>
        <v>N.A.</v>
      </c>
      <c r="Q45" s="62"/>
      <c r="R45" s="62"/>
      <c r="U45" s="40"/>
      <c r="V45" s="73"/>
      <c r="W45" s="73"/>
      <c r="Y45" s="60"/>
      <c r="Z45" s="60"/>
      <c r="AA45" s="40"/>
      <c r="AB45" s="40"/>
      <c r="AC45" s="40"/>
      <c r="AD45" s="41"/>
      <c r="AE45" s="41"/>
      <c r="AF45" s="41"/>
      <c r="AG45" s="41"/>
      <c r="AH45" s="40"/>
      <c r="AI45" s="40"/>
      <c r="AJ45" s="40"/>
      <c r="AK45" s="40"/>
      <c r="AL45" s="40"/>
      <c r="AM45" s="40"/>
      <c r="AN45" s="40"/>
      <c r="AO45" s="40"/>
      <c r="AP45" s="40"/>
      <c r="AQ45" s="40"/>
      <c r="AR45" s="40"/>
      <c r="AS45" s="41"/>
      <c r="AT45" s="41"/>
      <c r="AU45" s="60"/>
      <c r="AV45" s="60"/>
      <c r="AW45" s="60"/>
      <c r="AX45" s="60"/>
    </row>
    <row r="46" spans="2:54">
      <c r="B46" s="23"/>
      <c r="C46" s="35"/>
      <c r="D46" s="61"/>
      <c r="E46" s="61"/>
      <c r="F46" s="35"/>
      <c r="G46" s="61"/>
      <c r="H46" s="61"/>
      <c r="I46" s="24"/>
      <c r="J46" s="24"/>
      <c r="K46" s="30"/>
      <c r="L46" s="24"/>
      <c r="M46" s="24"/>
      <c r="N46" s="58"/>
      <c r="O46" s="81" t="s">
        <v>118</v>
      </c>
      <c r="P46" s="79">
        <f ca="1">$P$36</f>
        <v>497.54666300000002</v>
      </c>
      <c r="Q46" s="62" t="s">
        <v>107</v>
      </c>
      <c r="R46" s="62"/>
      <c r="U46" s="40"/>
      <c r="V46" s="73"/>
      <c r="W46" s="73"/>
      <c r="Y46" s="60"/>
      <c r="Z46" s="60"/>
      <c r="AA46" s="40"/>
      <c r="AB46" s="40"/>
      <c r="AC46" s="40"/>
      <c r="AD46" s="41"/>
      <c r="AE46" s="41"/>
      <c r="AF46" s="41"/>
      <c r="AG46" s="41"/>
      <c r="AH46" s="40"/>
      <c r="AI46" s="40"/>
      <c r="AJ46" s="40"/>
      <c r="AK46" s="40"/>
      <c r="AL46" s="40"/>
      <c r="AM46" s="40"/>
      <c r="AN46" s="40"/>
      <c r="AO46" s="40"/>
      <c r="AP46" s="40"/>
      <c r="AQ46" s="40"/>
      <c r="AR46" s="40"/>
      <c r="AS46" s="41"/>
      <c r="AT46" s="41"/>
      <c r="AU46" s="60"/>
      <c r="AV46" s="60"/>
      <c r="AW46" s="60"/>
      <c r="AX46" s="60"/>
    </row>
    <row r="47" spans="2:54">
      <c r="B47" s="23"/>
      <c r="C47" s="28"/>
      <c r="D47" s="28"/>
      <c r="E47" s="28"/>
      <c r="F47" s="28"/>
      <c r="G47" s="28"/>
      <c r="H47" s="24"/>
      <c r="I47" s="24"/>
      <c r="J47" s="50"/>
      <c r="K47" s="30"/>
      <c r="L47" s="24"/>
      <c r="M47" s="24"/>
      <c r="N47" s="58"/>
      <c r="O47" s="81" t="s">
        <v>111</v>
      </c>
      <c r="P47" s="79">
        <f ca="1">$P$32</f>
        <v>-86.66</v>
      </c>
      <c r="Q47" s="62" t="s">
        <v>107</v>
      </c>
      <c r="R47" s="76"/>
      <c r="S47" s="40"/>
      <c r="T47" s="40"/>
      <c r="U47" s="40"/>
      <c r="V47" s="73"/>
      <c r="W47" s="73"/>
      <c r="Y47" s="60"/>
      <c r="Z47" s="60"/>
      <c r="AA47" s="40"/>
      <c r="AB47" s="40"/>
      <c r="AC47" s="40"/>
      <c r="AD47" s="41"/>
      <c r="AE47" s="41"/>
      <c r="AF47" s="41"/>
      <c r="AG47" s="41"/>
      <c r="AH47" s="40"/>
      <c r="AI47" s="40"/>
      <c r="AJ47" s="40"/>
      <c r="AK47" s="40"/>
      <c r="AL47" s="40"/>
      <c r="AM47" s="40"/>
      <c r="AN47" s="40"/>
      <c r="AO47" s="40"/>
      <c r="AP47" s="40"/>
      <c r="AQ47" s="40"/>
      <c r="AR47" s="40"/>
      <c r="AS47" s="41"/>
      <c r="AT47" s="41"/>
      <c r="AU47" s="60"/>
      <c r="AV47" s="60"/>
      <c r="AW47" s="60"/>
      <c r="AX47" s="60"/>
    </row>
    <row r="48" spans="2:54">
      <c r="B48" s="23"/>
      <c r="C48" s="29"/>
      <c r="D48" s="29"/>
      <c r="E48" s="29"/>
      <c r="F48" s="29"/>
      <c r="G48" s="29"/>
      <c r="H48" s="29"/>
      <c r="I48" s="24"/>
      <c r="J48" s="24"/>
      <c r="K48" s="30"/>
      <c r="L48" s="24"/>
      <c r="M48" s="24"/>
      <c r="N48" s="58"/>
      <c r="O48" s="68" t="s">
        <v>119</v>
      </c>
      <c r="P48" s="60">
        <f ca="1">IF(OR($P$47&gt;0,$P$47&lt;0),ABS($P$46/$P$47),"N.A.")</f>
        <v>5.7413646780521583</v>
      </c>
      <c r="Q48" s="62"/>
      <c r="R48" s="62"/>
      <c r="S48" s="40"/>
      <c r="T48" s="40"/>
      <c r="U48" s="40"/>
      <c r="V48" s="73"/>
      <c r="W48" s="73"/>
      <c r="Y48" s="60"/>
      <c r="Z48" s="60"/>
      <c r="AA48" s="40"/>
      <c r="AB48" s="40"/>
      <c r="AC48" s="40"/>
      <c r="AD48" s="41"/>
      <c r="AE48" s="41"/>
      <c r="AF48" s="41"/>
      <c r="AG48" s="41"/>
      <c r="AH48" s="40"/>
      <c r="AI48" s="40"/>
      <c r="AJ48" s="40"/>
      <c r="AK48" s="40"/>
      <c r="AL48" s="40"/>
      <c r="AM48" s="40"/>
      <c r="AN48" s="40"/>
      <c r="AO48" s="40"/>
      <c r="AP48" s="40"/>
      <c r="AQ48" s="40"/>
      <c r="AR48" s="40"/>
      <c r="AS48" s="41"/>
      <c r="AT48" s="41"/>
      <c r="AU48" s="60"/>
      <c r="AV48" s="60"/>
      <c r="AW48" s="60"/>
      <c r="AX48" s="60"/>
    </row>
    <row r="49" spans="2:57">
      <c r="B49" s="23"/>
      <c r="C49" s="24"/>
      <c r="D49" s="24"/>
      <c r="E49" s="24"/>
      <c r="F49" s="24"/>
      <c r="G49" s="24"/>
      <c r="H49" s="24"/>
      <c r="I49" s="24"/>
      <c r="J49" s="24"/>
      <c r="K49" s="30"/>
      <c r="N49" s="84"/>
      <c r="O49" s="240" t="s">
        <v>325</v>
      </c>
      <c r="P49" s="84"/>
      <c r="Y49" s="60"/>
      <c r="Z49" s="60"/>
      <c r="AA49" s="40"/>
      <c r="AB49" s="40"/>
      <c r="AC49" s="40"/>
      <c r="AD49" s="41"/>
      <c r="AE49" s="41"/>
      <c r="AF49" s="41"/>
      <c r="AG49" s="41"/>
      <c r="AH49" s="40"/>
      <c r="AI49" s="40"/>
      <c r="AJ49" s="40"/>
      <c r="AK49" s="40"/>
      <c r="AL49" s="40"/>
      <c r="AM49" s="40"/>
      <c r="AN49" s="40"/>
      <c r="AO49" s="40"/>
      <c r="AP49" s="40"/>
      <c r="AQ49" s="40"/>
      <c r="AR49" s="40"/>
      <c r="AS49" s="41"/>
      <c r="AT49" s="41"/>
      <c r="AU49" s="60"/>
      <c r="AV49" s="60"/>
      <c r="AW49" s="60"/>
      <c r="AX49" s="60"/>
    </row>
    <row r="50" spans="2:57">
      <c r="B50" s="23"/>
      <c r="C50" s="24"/>
      <c r="D50" s="24"/>
      <c r="E50" s="24"/>
      <c r="F50" s="24"/>
      <c r="G50" s="24"/>
      <c r="H50" s="24"/>
      <c r="I50" s="24"/>
      <c r="J50" s="24"/>
      <c r="K50" s="30"/>
      <c r="N50" s="219"/>
      <c r="O50" s="74" t="s">
        <v>329</v>
      </c>
      <c r="P50" s="41">
        <f ca="1">($D$13*($D$17*$D$16*($D$15+$D$13)+$D$17*$D$16*$D$15)/2)*$D$12</f>
        <v>5.0146176987499995</v>
      </c>
      <c r="Q50" s="237" t="s">
        <v>66</v>
      </c>
      <c r="Y50" s="60"/>
      <c r="Z50" s="60"/>
      <c r="AA50" s="40"/>
      <c r="AB50" s="40"/>
      <c r="AC50" s="40"/>
      <c r="AD50" s="41"/>
      <c r="AE50" s="41"/>
      <c r="AF50" s="41"/>
      <c r="AG50" s="41"/>
      <c r="AH50" s="40"/>
      <c r="AI50" s="40"/>
      <c r="AJ50" s="40"/>
      <c r="AK50" s="40"/>
      <c r="AL50" s="40"/>
      <c r="AM50" s="40"/>
      <c r="AN50" s="40"/>
      <c r="AO50" s="40"/>
      <c r="AP50" s="40"/>
      <c r="AQ50" s="40"/>
      <c r="AR50" s="40"/>
      <c r="AS50" s="41"/>
      <c r="AT50" s="41"/>
      <c r="AU50" s="60"/>
      <c r="AV50" s="60"/>
      <c r="AW50" s="60"/>
      <c r="AX50" s="60"/>
    </row>
    <row r="51" spans="2:57">
      <c r="B51" s="127"/>
      <c r="C51" s="128"/>
      <c r="D51" s="128"/>
      <c r="E51" s="24"/>
      <c r="F51" s="24"/>
      <c r="G51" s="24"/>
      <c r="H51" s="24"/>
      <c r="I51" s="24"/>
      <c r="J51" s="24"/>
      <c r="K51" s="30"/>
      <c r="N51" s="219"/>
      <c r="O51" s="74" t="s">
        <v>330</v>
      </c>
      <c r="P51" s="41">
        <f ca="1">IF($P$38&lt;=0,0,$D$18*($P$38-$P$10))</f>
        <v>30.958459000000001</v>
      </c>
      <c r="Q51" s="237" t="s">
        <v>66</v>
      </c>
      <c r="Y51" s="60"/>
      <c r="Z51" s="60"/>
      <c r="AA51" s="40"/>
      <c r="AB51" s="40"/>
      <c r="AC51" s="40"/>
      <c r="AD51" s="41"/>
      <c r="AE51" s="41"/>
      <c r="AF51" s="41"/>
      <c r="AG51" s="41"/>
      <c r="AH51" s="40"/>
      <c r="AI51" s="40"/>
      <c r="AJ51" s="40"/>
      <c r="AK51" s="40"/>
      <c r="AL51" s="40"/>
      <c r="AM51" s="40"/>
      <c r="AN51" s="40"/>
      <c r="AO51" s="40"/>
      <c r="AP51" s="40"/>
      <c r="AQ51" s="40"/>
      <c r="AR51" s="40"/>
      <c r="AS51" s="41"/>
      <c r="AT51" s="41"/>
      <c r="AU51" s="60"/>
      <c r="AV51" s="60"/>
      <c r="AW51" s="60"/>
      <c r="AX51" s="60"/>
    </row>
    <row r="52" spans="2:57">
      <c r="B52" s="127"/>
      <c r="C52" s="128"/>
      <c r="D52" s="128"/>
      <c r="E52" s="24"/>
      <c r="F52" s="24"/>
      <c r="G52" s="24"/>
      <c r="H52" s="24"/>
      <c r="I52" s="24"/>
      <c r="J52" s="24"/>
      <c r="K52" s="30"/>
      <c r="N52" s="219"/>
      <c r="O52" s="74" t="s">
        <v>326</v>
      </c>
      <c r="P52" s="41" t="str">
        <f ca="1">IF(SUM($C$31:$J$31)&lt;&gt;0,SUM($P$50:$P$51)/ABS(SUM($C$31:$J$31)),"N.A.")</f>
        <v>N.A.</v>
      </c>
      <c r="Q52" s="219"/>
      <c r="Y52" s="60"/>
      <c r="Z52" s="60"/>
      <c r="AA52" s="40"/>
      <c r="AB52" s="40"/>
      <c r="AC52" s="40"/>
      <c r="AD52" s="41"/>
      <c r="AE52" s="41"/>
      <c r="AF52" s="41"/>
      <c r="AG52" s="41"/>
      <c r="AH52" s="40"/>
      <c r="AI52" s="40"/>
      <c r="AJ52" s="40"/>
      <c r="AK52" s="40"/>
      <c r="AL52" s="40"/>
      <c r="AM52" s="40"/>
      <c r="AN52" s="40"/>
      <c r="AO52" s="40"/>
      <c r="AP52" s="40"/>
      <c r="AQ52" s="40"/>
      <c r="AR52" s="40"/>
      <c r="AS52" s="41"/>
      <c r="AT52" s="41"/>
      <c r="AU52" s="60"/>
      <c r="AV52" s="60"/>
      <c r="AW52" s="60"/>
      <c r="AX52" s="60"/>
    </row>
    <row r="53" spans="2:57">
      <c r="B53" s="23"/>
      <c r="C53" s="24"/>
      <c r="D53" s="24"/>
      <c r="E53" s="158" t="s">
        <v>247</v>
      </c>
      <c r="F53" s="158"/>
      <c r="G53" s="158"/>
      <c r="H53" s="24"/>
      <c r="I53" s="24"/>
      <c r="J53" s="24"/>
      <c r="K53" s="30"/>
      <c r="N53" s="219"/>
      <c r="O53" s="74" t="s">
        <v>331</v>
      </c>
      <c r="P53" s="41">
        <f ca="1">($D$13*($D$17*$D$16*($D$15+$D$13)+$D$17*$D$16*$D$15)/2)*$D$11</f>
        <v>9.0263118577499988</v>
      </c>
      <c r="Q53" s="237" t="s">
        <v>66</v>
      </c>
      <c r="Y53" s="60"/>
      <c r="Z53" s="60"/>
      <c r="AA53" s="40"/>
      <c r="AB53" s="40"/>
      <c r="AC53" s="40"/>
      <c r="AD53" s="41"/>
      <c r="AE53" s="41"/>
      <c r="AF53" s="41"/>
      <c r="AG53" s="41"/>
      <c r="AH53" s="40"/>
      <c r="AI53" s="40"/>
      <c r="AJ53" s="40"/>
      <c r="AK53" s="40"/>
      <c r="AL53" s="40"/>
      <c r="AM53" s="40"/>
      <c r="AN53" s="40"/>
      <c r="AO53" s="40"/>
      <c r="AP53" s="40"/>
      <c r="AQ53" s="40"/>
      <c r="AR53" s="40"/>
      <c r="AS53" s="41"/>
      <c r="AT53" s="41"/>
      <c r="AU53" s="60"/>
      <c r="AV53" s="60"/>
      <c r="AW53" s="60"/>
      <c r="AX53" s="60"/>
    </row>
    <row r="54" spans="2:57">
      <c r="B54" s="23"/>
      <c r="C54" s="24"/>
      <c r="D54" s="24"/>
      <c r="E54" s="24"/>
      <c r="F54" s="24"/>
      <c r="G54" s="24"/>
      <c r="H54" s="24"/>
      <c r="I54" s="24"/>
      <c r="J54" s="24"/>
      <c r="K54" s="30"/>
      <c r="N54" s="219"/>
      <c r="O54" s="74" t="s">
        <v>332</v>
      </c>
      <c r="P54" s="41">
        <f ca="1">IF($P$38&lt;=0,0,$D$18*($P$38-$P$10))</f>
        <v>30.958459000000001</v>
      </c>
      <c r="Q54" s="237" t="s">
        <v>66</v>
      </c>
      <c r="Y54" s="60"/>
      <c r="Z54" s="60"/>
      <c r="AA54" s="40"/>
      <c r="AB54" s="40"/>
      <c r="AC54" s="40"/>
      <c r="AD54" s="41"/>
      <c r="AE54" s="41"/>
      <c r="AF54" s="41"/>
      <c r="AG54" s="41"/>
      <c r="AH54" s="40"/>
      <c r="AI54" s="40"/>
      <c r="AJ54" s="40"/>
      <c r="AK54" s="40"/>
      <c r="AL54" s="40"/>
      <c r="AM54" s="40"/>
      <c r="AN54" s="40"/>
      <c r="AO54" s="40"/>
      <c r="AP54" s="40"/>
      <c r="AQ54" s="40"/>
      <c r="AR54" s="40"/>
      <c r="AS54" s="41"/>
      <c r="AT54" s="41"/>
      <c r="AU54" s="60"/>
      <c r="AV54" s="60"/>
      <c r="AW54" s="60"/>
      <c r="AX54" s="60"/>
    </row>
    <row r="55" spans="2:57">
      <c r="B55" s="129"/>
      <c r="C55" s="130"/>
      <c r="D55" s="130"/>
      <c r="E55" s="31"/>
      <c r="F55" s="31"/>
      <c r="G55" s="31"/>
      <c r="H55" s="31"/>
      <c r="I55" s="31"/>
      <c r="J55" s="31"/>
      <c r="K55" s="266" t="s">
        <v>366</v>
      </c>
      <c r="N55" s="219"/>
      <c r="O55" s="74" t="s">
        <v>327</v>
      </c>
      <c r="P55" s="241" t="str">
        <f>IF(SUM($C$32:$J$32)&lt;&gt;0,SUM($P$53:$P$54)/ABS(SUM($C$32:$J$32)),"N.A.")</f>
        <v>N.A.</v>
      </c>
      <c r="Q55" s="219"/>
      <c r="Y55" s="60"/>
      <c r="Z55" s="60"/>
      <c r="AA55" s="40"/>
      <c r="AB55" s="40"/>
      <c r="AC55" s="40"/>
      <c r="AD55" s="41"/>
      <c r="AE55" s="41"/>
      <c r="AF55" s="41"/>
      <c r="AG55" s="41"/>
      <c r="AH55" s="40"/>
      <c r="AI55" s="40"/>
      <c r="AJ55" s="40"/>
      <c r="AK55" s="40"/>
      <c r="AL55" s="40"/>
      <c r="AM55" s="40"/>
      <c r="AN55" s="40"/>
      <c r="AO55" s="40"/>
      <c r="AP55" s="40"/>
      <c r="AQ55" s="40"/>
      <c r="AR55" s="40"/>
      <c r="AS55" s="41"/>
      <c r="AT55" s="41"/>
      <c r="AU55" s="60"/>
      <c r="AV55" s="60"/>
      <c r="AW55" s="60"/>
      <c r="AX55" s="60"/>
    </row>
    <row r="56" spans="2:57">
      <c r="B56" s="145"/>
      <c r="C56" s="146"/>
      <c r="D56" s="146"/>
      <c r="E56" s="146"/>
      <c r="F56" s="146"/>
      <c r="G56" s="146"/>
      <c r="H56" s="146"/>
      <c r="I56" s="146"/>
      <c r="J56" s="146"/>
      <c r="K56" s="26"/>
      <c r="N56" s="58"/>
      <c r="O56" s="63" t="s">
        <v>113</v>
      </c>
      <c r="R56" s="40"/>
      <c r="S56" s="40"/>
      <c r="T56" s="40"/>
      <c r="U56" s="40"/>
      <c r="Y56" s="60"/>
      <c r="Z56" s="60"/>
      <c r="AA56" s="40"/>
      <c r="AB56" s="40"/>
      <c r="AC56" s="40"/>
      <c r="AD56" s="41"/>
      <c r="AE56" s="41"/>
      <c r="AF56" s="41"/>
      <c r="AG56" s="41"/>
      <c r="AH56" s="40"/>
      <c r="AI56" s="40"/>
      <c r="AJ56" s="40"/>
      <c r="AK56" s="40"/>
      <c r="AL56" s="40"/>
      <c r="AM56" s="40"/>
      <c r="AN56" s="40"/>
      <c r="AO56" s="40"/>
      <c r="AP56" s="40"/>
      <c r="AQ56" s="40"/>
      <c r="AR56" s="40"/>
      <c r="AS56" s="41"/>
      <c r="AT56" s="41"/>
      <c r="AU56" s="60"/>
      <c r="AV56" s="60"/>
      <c r="AW56" s="60"/>
      <c r="AX56" s="60"/>
    </row>
    <row r="57" spans="2:57">
      <c r="B57" s="32" t="s">
        <v>28</v>
      </c>
      <c r="C57" s="24"/>
      <c r="D57" s="125"/>
      <c r="E57" s="24"/>
      <c r="F57" s="154" t="s">
        <v>215</v>
      </c>
      <c r="G57" s="24"/>
      <c r="H57" s="24"/>
      <c r="I57" s="24"/>
      <c r="J57" s="24"/>
      <c r="K57" s="30"/>
      <c r="N57" s="58"/>
      <c r="O57" s="81" t="s">
        <v>209</v>
      </c>
      <c r="P57" s="79">
        <f ca="1">$P$38+$P$22-$P$10</f>
        <v>110.56592499999999</v>
      </c>
      <c r="Q57" s="62" t="s">
        <v>66</v>
      </c>
      <c r="R57" s="86" t="s">
        <v>240</v>
      </c>
      <c r="S57" s="40"/>
      <c r="T57" s="40"/>
      <c r="U57" s="40"/>
      <c r="V57" s="73"/>
      <c r="Y57" s="60"/>
      <c r="Z57" s="60"/>
      <c r="AA57" s="40"/>
      <c r="AB57" s="40"/>
      <c r="AC57" s="40"/>
      <c r="AD57" s="41"/>
      <c r="AE57" s="41"/>
      <c r="AF57" s="41"/>
      <c r="AG57" s="41"/>
      <c r="AH57" s="40"/>
      <c r="AI57" s="40"/>
      <c r="AJ57" s="40"/>
      <c r="AK57" s="40"/>
      <c r="AL57" s="40"/>
      <c r="AM57" s="40"/>
      <c r="AN57" s="40"/>
      <c r="AO57" s="40"/>
      <c r="AP57" s="40"/>
      <c r="AQ57" s="40"/>
      <c r="AR57" s="40"/>
      <c r="AS57" s="41"/>
      <c r="AT57" s="41"/>
      <c r="AU57" s="60"/>
      <c r="AV57" s="60"/>
      <c r="AW57" s="60"/>
      <c r="AX57" s="60"/>
      <c r="BE57" s="126"/>
    </row>
    <row r="58" spans="2:57">
      <c r="B58" s="23"/>
      <c r="C58" s="24"/>
      <c r="D58" s="24"/>
      <c r="E58" s="24"/>
      <c r="F58" s="24"/>
      <c r="G58" s="24"/>
      <c r="H58" s="24"/>
      <c r="I58" s="24"/>
      <c r="J58" s="24"/>
      <c r="K58" s="30"/>
      <c r="M58" s="60"/>
      <c r="N58" s="58"/>
      <c r="O58" s="81" t="s">
        <v>210</v>
      </c>
      <c r="P58" s="79">
        <f ca="1">$P$22</f>
        <v>0</v>
      </c>
      <c r="Q58" s="62" t="s">
        <v>66</v>
      </c>
      <c r="R58" s="40"/>
      <c r="S58" s="40"/>
      <c r="T58" s="40"/>
      <c r="V58" s="73"/>
      <c r="W58" s="73"/>
      <c r="Y58" s="60"/>
      <c r="Z58" s="60"/>
      <c r="AA58" s="40"/>
      <c r="AB58" s="40"/>
      <c r="AC58" s="40"/>
      <c r="AD58" s="41"/>
      <c r="AE58" s="41"/>
      <c r="AF58" s="41"/>
      <c r="AG58" s="41"/>
      <c r="AH58" s="40"/>
      <c r="AI58" s="40"/>
      <c r="AJ58" s="40"/>
      <c r="AK58" s="40"/>
      <c r="AL58" s="40"/>
      <c r="AM58" s="40"/>
      <c r="AN58" s="40"/>
      <c r="AO58" s="40"/>
      <c r="AP58" s="40"/>
      <c r="AQ58" s="40"/>
      <c r="AR58" s="40"/>
      <c r="AS58" s="41"/>
      <c r="AT58" s="41"/>
      <c r="AU58" s="60"/>
      <c r="AV58" s="60"/>
      <c r="AW58" s="60"/>
      <c r="AX58" s="60"/>
      <c r="BE58" s="126"/>
    </row>
    <row r="59" spans="2:57">
      <c r="B59" s="45" t="s">
        <v>137</v>
      </c>
      <c r="C59" s="40"/>
      <c r="D59" s="34"/>
      <c r="E59" s="24"/>
      <c r="F59" s="155" t="s">
        <v>218</v>
      </c>
      <c r="G59" s="144" t="s">
        <v>217</v>
      </c>
      <c r="H59" s="24"/>
      <c r="I59" s="24"/>
      <c r="J59" s="24"/>
      <c r="K59" s="30"/>
      <c r="N59" s="58"/>
      <c r="O59" s="87" t="s">
        <v>114</v>
      </c>
      <c r="P59" s="60" t="str">
        <f ca="1">IF($P$58&gt;0,$P$57/$P$58,"N.A.")</f>
        <v>N.A.</v>
      </c>
      <c r="Q59" s="62"/>
      <c r="R59" s="40"/>
      <c r="S59" s="40"/>
      <c r="T59" s="40"/>
      <c r="V59" s="73"/>
      <c r="W59" s="73"/>
      <c r="Y59" s="60"/>
      <c r="Z59" s="60"/>
      <c r="AA59" s="40"/>
      <c r="AB59" s="40"/>
      <c r="AC59" s="40"/>
      <c r="AD59" s="41"/>
      <c r="AE59" s="41"/>
      <c r="AF59" s="41"/>
      <c r="AG59" s="41"/>
      <c r="AH59" s="40"/>
      <c r="AI59" s="40"/>
      <c r="AJ59" s="40"/>
      <c r="AK59" s="40"/>
      <c r="AL59" s="40"/>
      <c r="AM59" s="40"/>
      <c r="AN59" s="40"/>
      <c r="AO59" s="40"/>
      <c r="AP59" s="40"/>
      <c r="AQ59" s="40"/>
      <c r="AR59" s="40"/>
      <c r="AS59" s="41"/>
      <c r="AT59" s="41"/>
      <c r="AU59" s="60"/>
      <c r="AV59" s="60"/>
      <c r="AW59" s="60"/>
      <c r="AX59" s="60"/>
    </row>
    <row r="60" spans="2:57">
      <c r="B60" s="38" t="s">
        <v>138</v>
      </c>
      <c r="C60" s="110">
        <f ca="1">-$P$38</f>
        <v>-115.06592499999999</v>
      </c>
      <c r="D60" s="34" t="s">
        <v>66</v>
      </c>
      <c r="E60" s="24"/>
      <c r="F60" s="144"/>
      <c r="G60" s="156" t="s">
        <v>216</v>
      </c>
      <c r="H60" s="24"/>
      <c r="I60" s="24"/>
      <c r="J60" s="24"/>
      <c r="K60" s="30"/>
      <c r="N60" s="58"/>
      <c r="O60" s="72" t="s">
        <v>123</v>
      </c>
      <c r="S60" s="40"/>
      <c r="T60" s="40"/>
      <c r="U60" s="40"/>
      <c r="V60" s="73"/>
      <c r="W60" s="73"/>
      <c r="Y60" s="60"/>
      <c r="Z60" s="60"/>
      <c r="AA60" s="40"/>
      <c r="AB60" s="40"/>
      <c r="AC60" s="40"/>
      <c r="AD60" s="41"/>
      <c r="AE60" s="41"/>
      <c r="AF60" s="41"/>
      <c r="AG60" s="41"/>
      <c r="AH60" s="40"/>
      <c r="AI60" s="40"/>
      <c r="AJ60" s="40"/>
      <c r="AK60" s="40"/>
      <c r="AL60" s="40"/>
      <c r="AM60" s="40"/>
      <c r="AN60" s="40"/>
      <c r="AO60" s="40"/>
      <c r="AP60" s="40"/>
      <c r="AQ60" s="40"/>
      <c r="AR60" s="40"/>
      <c r="AS60" s="41"/>
      <c r="AT60" s="41"/>
      <c r="AU60" s="60"/>
      <c r="AV60" s="60"/>
      <c r="AW60" s="60"/>
      <c r="AX60" s="60"/>
    </row>
    <row r="61" spans="2:57">
      <c r="B61" s="36" t="s">
        <v>64</v>
      </c>
      <c r="C61" s="239">
        <f ca="1">$P$40</f>
        <v>-0.75</v>
      </c>
      <c r="D61" s="37" t="str">
        <f ca="1">IF($P$40=0,"","ft. "&amp;IF(ABS($P$40)&lt;=$D$11/6,"(&lt;= L/6)",IF(ABS($P$40)&gt;$D$11/2,"(&gt; L/2)","(&gt; L/6)")))</f>
        <v>ft. (&lt;= L/6)</v>
      </c>
      <c r="E61" s="242" t="str">
        <f ca="1">IF(ABS($P$40)&gt;$D$11/2,"ERROR!","")</f>
        <v/>
      </c>
      <c r="F61" s="24"/>
      <c r="G61" s="143"/>
      <c r="H61" s="24"/>
      <c r="I61" s="24"/>
      <c r="J61" s="24"/>
      <c r="K61" s="30"/>
      <c r="N61" s="58"/>
      <c r="O61" s="84" t="s">
        <v>128</v>
      </c>
      <c r="U61" s="40"/>
      <c r="V61" s="73"/>
      <c r="W61" s="73"/>
      <c r="Y61" s="60"/>
      <c r="Z61" s="60"/>
      <c r="AA61" s="40"/>
      <c r="AB61" s="40"/>
      <c r="AC61" s="40"/>
      <c r="AD61" s="41"/>
      <c r="AE61" s="41"/>
      <c r="AF61" s="41"/>
      <c r="AG61" s="41"/>
      <c r="AH61" s="40"/>
      <c r="AI61" s="40"/>
      <c r="AJ61" s="40"/>
      <c r="AK61" s="40"/>
      <c r="AL61" s="40"/>
      <c r="AM61" s="40"/>
      <c r="AN61" s="40"/>
      <c r="AO61" s="40"/>
      <c r="AP61" s="40"/>
      <c r="AQ61" s="40"/>
      <c r="AR61" s="40"/>
      <c r="AS61" s="41"/>
      <c r="AT61" s="41"/>
      <c r="AU61" s="60"/>
      <c r="AV61" s="60"/>
      <c r="AW61" s="60"/>
      <c r="AX61" s="60"/>
    </row>
    <row r="62" spans="2:57">
      <c r="B62" s="36" t="s">
        <v>65</v>
      </c>
      <c r="C62" s="252">
        <f ca="1">$P$41</f>
        <v>0</v>
      </c>
      <c r="D62" s="37" t="str">
        <f ca="1">IF($P$41=0,"","ft. "&amp;IF(ABS($P$41)&lt;=$D$12/6,"(&lt;= B/6)",IF(ABS($P$41)&gt;$D$12/2,"(&gt; B/2)","(&gt; B/6)")))</f>
        <v/>
      </c>
      <c r="E62" s="242" t="str">
        <f ca="1">IF(ABS($P$41)&gt;$D$12/2,"ERROR!","")</f>
        <v/>
      </c>
      <c r="F62" s="24"/>
      <c r="G62" s="24"/>
      <c r="H62" s="24"/>
      <c r="I62" s="24"/>
      <c r="J62" s="157"/>
      <c r="K62" s="30"/>
      <c r="N62" s="58"/>
      <c r="O62" s="68" t="s">
        <v>124</v>
      </c>
      <c r="P62" s="61" t="str">
        <f ca="1">IF(AND($P$40=0,$P$41=0),$P$38/($D$11*$D$12),"N.A.")</f>
        <v>N.A.</v>
      </c>
      <c r="Q62" s="62" t="s">
        <v>42</v>
      </c>
      <c r="R62" s="68" t="s">
        <v>126</v>
      </c>
      <c r="S62" s="40" t="str">
        <f ca="1">IF(AND($P$40=0,$P$41=0),$P$38/($D$11*$D$12),"N.A.")</f>
        <v>N.A.</v>
      </c>
      <c r="T62" s="62" t="s">
        <v>42</v>
      </c>
      <c r="U62" s="40"/>
      <c r="V62" s="73"/>
      <c r="W62" s="73"/>
      <c r="Y62" s="60"/>
      <c r="Z62" s="60"/>
      <c r="AA62" s="40"/>
      <c r="AB62" s="40"/>
      <c r="AC62" s="40"/>
      <c r="AD62" s="41"/>
      <c r="AE62" s="41"/>
      <c r="AF62" s="41"/>
      <c r="AG62" s="41"/>
      <c r="AH62" s="40"/>
      <c r="AI62" s="40"/>
      <c r="AJ62" s="40"/>
      <c r="AK62" s="40"/>
      <c r="AL62" s="40"/>
      <c r="AM62" s="40"/>
      <c r="AN62" s="40"/>
      <c r="AO62" s="40"/>
      <c r="AP62" s="40"/>
      <c r="AQ62" s="40"/>
      <c r="AR62" s="40"/>
      <c r="AS62" s="41"/>
      <c r="AT62" s="41"/>
      <c r="AU62" s="60"/>
      <c r="AV62" s="60"/>
      <c r="AW62" s="60"/>
      <c r="AX62" s="60"/>
    </row>
    <row r="63" spans="2:57">
      <c r="B63" s="23"/>
      <c r="C63" s="24"/>
      <c r="D63" s="24"/>
      <c r="E63" s="242"/>
      <c r="F63" s="24"/>
      <c r="G63" s="24"/>
      <c r="H63" s="24"/>
      <c r="I63" s="24"/>
      <c r="J63" s="24"/>
      <c r="K63" s="30"/>
      <c r="N63" s="58"/>
      <c r="O63" s="68" t="s">
        <v>125</v>
      </c>
      <c r="P63" s="61" t="str">
        <f ca="1">IF(AND($P$40=0,$P$41=0),$P$38/($D$11*$D$12),"N.A.")</f>
        <v>N.A.</v>
      </c>
      <c r="Q63" s="62" t="s">
        <v>42</v>
      </c>
      <c r="R63" s="68" t="s">
        <v>127</v>
      </c>
      <c r="S63" s="40" t="str">
        <f ca="1">IF(AND($P$40=0,$P$41=0),$P$38/($D$11*$D$12),"N.A.")</f>
        <v>N.A.</v>
      </c>
      <c r="T63" s="62" t="s">
        <v>42</v>
      </c>
      <c r="U63" s="40"/>
      <c r="V63" s="73"/>
      <c r="W63" s="73"/>
      <c r="Y63" s="60"/>
      <c r="Z63" s="60"/>
      <c r="AA63" s="40"/>
      <c r="AB63" s="40"/>
      <c r="AC63" s="40"/>
      <c r="AD63" s="41"/>
      <c r="AE63" s="41"/>
      <c r="AF63" s="41"/>
      <c r="AG63" s="41"/>
      <c r="AH63" s="40"/>
      <c r="AI63" s="40"/>
      <c r="AJ63" s="40"/>
      <c r="AK63" s="40"/>
      <c r="AL63" s="40"/>
      <c r="AM63" s="40"/>
      <c r="AN63" s="40"/>
      <c r="AO63" s="40"/>
      <c r="AP63" s="40"/>
      <c r="AQ63" s="40"/>
      <c r="AR63" s="40"/>
      <c r="AS63" s="41"/>
      <c r="AT63" s="41"/>
      <c r="AU63" s="60"/>
      <c r="AV63" s="60"/>
      <c r="AW63" s="60"/>
      <c r="AX63" s="60"/>
    </row>
    <row r="64" spans="2:57">
      <c r="B64" s="45" t="s">
        <v>115</v>
      </c>
      <c r="C64" s="33"/>
      <c r="D64" s="37"/>
      <c r="E64" s="24"/>
      <c r="F64" s="24"/>
      <c r="G64" s="24"/>
      <c r="H64" s="24"/>
      <c r="I64" s="24"/>
      <c r="J64" s="24"/>
      <c r="K64" s="30"/>
      <c r="N64" s="58"/>
      <c r="O64" s="68" t="s">
        <v>132</v>
      </c>
      <c r="P64" s="61" t="str">
        <f ca="1">IF(AND($P$40=0,$P$41=0),$D$11,"N.A.")</f>
        <v>N.A.</v>
      </c>
      <c r="Q64" s="62" t="s">
        <v>41</v>
      </c>
      <c r="U64" s="40"/>
      <c r="V64" s="73"/>
      <c r="W64" s="73"/>
      <c r="Y64" s="60"/>
      <c r="Z64" s="60"/>
      <c r="AA64" s="40"/>
      <c r="AB64" s="40"/>
      <c r="AC64" s="40"/>
      <c r="AD64" s="41"/>
      <c r="AE64" s="41"/>
      <c r="AF64" s="41"/>
      <c r="AG64" s="41"/>
      <c r="AH64" s="40"/>
      <c r="AI64" s="40"/>
      <c r="AJ64" s="40"/>
      <c r="AK64" s="40"/>
      <c r="AL64" s="40"/>
      <c r="AM64" s="40"/>
      <c r="AN64" s="40"/>
      <c r="AO64" s="40"/>
      <c r="AP64" s="40"/>
      <c r="AQ64" s="40"/>
      <c r="AR64" s="40"/>
      <c r="AS64" s="41"/>
      <c r="AT64" s="41"/>
      <c r="AU64" s="60"/>
      <c r="AV64" s="60"/>
      <c r="AW64" s="60"/>
      <c r="AX64" s="60"/>
    </row>
    <row r="65" spans="2:51">
      <c r="B65" s="38" t="s">
        <v>139</v>
      </c>
      <c r="C65" s="110" t="str">
        <f ca="1">IF($P$41=0,"N.A.",$P$43)</f>
        <v>N.A.</v>
      </c>
      <c r="D65" s="37" t="s">
        <v>143</v>
      </c>
      <c r="E65" s="24"/>
      <c r="F65" s="24"/>
      <c r="G65" s="24"/>
      <c r="H65" s="24"/>
      <c r="I65" s="24"/>
      <c r="J65" s="24"/>
      <c r="K65" s="30"/>
      <c r="N65" s="58"/>
      <c r="O65" s="68" t="s">
        <v>135</v>
      </c>
      <c r="P65" s="61" t="str">
        <f ca="1">IF(AND($P$40=0,$P$41=0),$D$12,"N.A.")</f>
        <v>N.A.</v>
      </c>
      <c r="Q65" s="62" t="s">
        <v>41</v>
      </c>
      <c r="U65" s="40"/>
      <c r="V65" s="73"/>
      <c r="W65" s="73"/>
      <c r="Y65" s="60"/>
      <c r="Z65" s="60"/>
      <c r="AA65" s="40"/>
      <c r="AB65" s="40"/>
      <c r="AC65" s="40"/>
      <c r="AD65" s="41"/>
      <c r="AE65" s="41"/>
      <c r="AF65" s="41"/>
      <c r="AG65" s="41"/>
      <c r="AH65" s="40"/>
      <c r="AI65" s="40"/>
      <c r="AJ65" s="40"/>
      <c r="AK65" s="40"/>
      <c r="AL65" s="40"/>
      <c r="AM65" s="40"/>
      <c r="AN65" s="40"/>
      <c r="AO65" s="40"/>
      <c r="AP65" s="40"/>
      <c r="AQ65" s="40"/>
      <c r="AR65" s="40"/>
      <c r="AS65" s="41"/>
      <c r="AT65" s="41"/>
      <c r="AU65" s="60"/>
      <c r="AV65" s="60"/>
      <c r="AW65" s="60"/>
      <c r="AX65" s="60"/>
    </row>
    <row r="66" spans="2:51">
      <c r="B66" s="38" t="s">
        <v>140</v>
      </c>
      <c r="C66" s="114" t="str">
        <f ca="1">IF($P$41=0,"N.A.",$P$44)</f>
        <v>N.A.</v>
      </c>
      <c r="D66" s="37" t="s">
        <v>143</v>
      </c>
      <c r="E66" s="24"/>
      <c r="F66" s="24"/>
      <c r="G66" s="24"/>
      <c r="H66" s="24"/>
      <c r="I66" s="24"/>
      <c r="J66" s="143"/>
      <c r="K66" s="30"/>
      <c r="N66" s="58"/>
      <c r="O66" s="68" t="s">
        <v>179</v>
      </c>
      <c r="P66" s="79" t="str">
        <f ca="1">IF(AND($P$40=0,$P$41=0),100,"N.A.")</f>
        <v>N.A.</v>
      </c>
      <c r="Q66" s="76" t="s">
        <v>152</v>
      </c>
      <c r="R66" s="62" t="s">
        <v>180</v>
      </c>
      <c r="V66" s="73"/>
      <c r="W66" s="73"/>
      <c r="Y66" s="60"/>
      <c r="Z66" s="60"/>
      <c r="AA66" s="40"/>
      <c r="AB66" s="40"/>
      <c r="AC66" s="40"/>
      <c r="AD66" s="41"/>
      <c r="AE66" s="41"/>
      <c r="AF66" s="41"/>
      <c r="AG66" s="41"/>
      <c r="AH66" s="40"/>
      <c r="AI66" s="40"/>
      <c r="AJ66" s="40"/>
      <c r="AK66" s="40"/>
      <c r="AL66" s="40"/>
      <c r="AM66" s="40"/>
      <c r="AN66" s="40"/>
      <c r="AO66" s="40"/>
      <c r="AP66" s="40"/>
      <c r="AQ66" s="40"/>
      <c r="AR66" s="40"/>
      <c r="AS66" s="41"/>
      <c r="AT66" s="41"/>
      <c r="AU66" s="60"/>
      <c r="AV66" s="60"/>
      <c r="AW66" s="60"/>
      <c r="AX66" s="60"/>
    </row>
    <row r="67" spans="2:51">
      <c r="B67" s="47" t="s">
        <v>117</v>
      </c>
      <c r="C67" s="116" t="str">
        <f ca="1">$P$45</f>
        <v>N.A.</v>
      </c>
      <c r="D67" s="48" t="str">
        <f ca="1">IF($P$45="N.A.","",IF(ABS($P$45)&gt;=1.5,"(&gt;= 1.5)",IF($P$45&lt;1,"(&lt;1.0)","(&lt; 1.5)")))</f>
        <v/>
      </c>
      <c r="E67" s="242" t="str">
        <f ca="1">IF($P$45&lt;1,"ERROR!","")</f>
        <v/>
      </c>
      <c r="F67" s="24"/>
      <c r="G67" s="24"/>
      <c r="H67" s="24"/>
      <c r="I67" s="24"/>
      <c r="J67" s="143"/>
      <c r="K67" s="30"/>
      <c r="N67" s="58"/>
      <c r="O67" s="84" t="s">
        <v>129</v>
      </c>
      <c r="Q67" s="40"/>
      <c r="R67" s="40"/>
      <c r="S67" s="40"/>
      <c r="T67" s="40"/>
      <c r="U67" s="40"/>
      <c r="V67" s="73"/>
      <c r="W67" s="73"/>
      <c r="Y67" s="60"/>
      <c r="Z67" s="60"/>
      <c r="AA67" s="40"/>
      <c r="AB67" s="40"/>
      <c r="AC67" s="40"/>
      <c r="AD67" s="41"/>
      <c r="AE67" s="41"/>
      <c r="AF67" s="41"/>
      <c r="AG67" s="41"/>
      <c r="AH67" s="40"/>
      <c r="AI67" s="40"/>
      <c r="AJ67" s="40"/>
      <c r="AK67" s="40"/>
      <c r="AL67" s="40"/>
      <c r="AM67" s="40"/>
      <c r="AN67" s="40"/>
      <c r="AO67" s="40"/>
      <c r="AP67" s="40"/>
      <c r="AQ67" s="40"/>
      <c r="AR67" s="40"/>
      <c r="AS67" s="41"/>
      <c r="AT67" s="41"/>
      <c r="AU67" s="60"/>
      <c r="AV67" s="60"/>
      <c r="AW67" s="60"/>
      <c r="AX67" s="60"/>
    </row>
    <row r="68" spans="2:51">
      <c r="B68" s="38" t="s">
        <v>141</v>
      </c>
      <c r="C68" s="114">
        <f ca="1">IF($P$40=0,"N.A.",$P$46)</f>
        <v>497.54666300000002</v>
      </c>
      <c r="D68" s="37" t="s">
        <v>143</v>
      </c>
      <c r="E68" s="24"/>
      <c r="F68" s="24"/>
      <c r="G68" s="24"/>
      <c r="H68" s="24"/>
      <c r="I68" s="24"/>
      <c r="J68" s="24"/>
      <c r="K68" s="30"/>
      <c r="N68" s="58"/>
      <c r="O68" s="68" t="s">
        <v>130</v>
      </c>
      <c r="P68" s="61">
        <f ca="1">IF(AND($P$41=0,$P$40&lt;&gt;0),IF(ABS($P$40)&lt;=$D$11/6,$P$38/($D$11*$D$12)*(1+6*ABS($P$40)/$D$11),2*$P$38/(3*$D$12*($D$11/2-ABS($P$40)))),"N.A.")</f>
        <v>3.8355308333333333</v>
      </c>
      <c r="Q68" s="62" t="s">
        <v>42</v>
      </c>
      <c r="U68" s="40"/>
      <c r="V68" s="73"/>
      <c r="W68" s="73"/>
      <c r="Y68" s="60"/>
      <c r="Z68" s="60"/>
      <c r="AA68" s="40"/>
      <c r="AB68" s="40"/>
      <c r="AC68" s="40"/>
      <c r="AD68" s="41"/>
      <c r="AE68" s="41"/>
      <c r="AF68" s="41"/>
      <c r="AG68" s="41"/>
      <c r="AH68" s="40"/>
      <c r="AI68" s="40"/>
      <c r="AJ68" s="40"/>
      <c r="AK68" s="40"/>
      <c r="AL68" s="40"/>
      <c r="AM68" s="40"/>
      <c r="AN68" s="40"/>
      <c r="AO68" s="40"/>
      <c r="AP68" s="40"/>
      <c r="AQ68" s="40"/>
      <c r="AR68" s="40"/>
      <c r="AS68" s="41"/>
      <c r="AT68" s="41"/>
      <c r="AU68" s="60"/>
      <c r="AV68" s="60"/>
      <c r="AW68" s="60"/>
      <c r="AX68" s="60"/>
    </row>
    <row r="69" spans="2:51">
      <c r="B69" s="38" t="s">
        <v>142</v>
      </c>
      <c r="C69" s="114">
        <f ca="1">IF($P$40=0,"N.A.",$P$47)</f>
        <v>-86.66</v>
      </c>
      <c r="D69" s="37" t="s">
        <v>143</v>
      </c>
      <c r="E69" s="24"/>
      <c r="F69" s="24"/>
      <c r="G69" s="24"/>
      <c r="H69" s="24"/>
      <c r="I69" s="24"/>
      <c r="J69" s="24"/>
      <c r="K69" s="30"/>
      <c r="N69" s="58"/>
      <c r="O69" s="68" t="s">
        <v>131</v>
      </c>
      <c r="P69" s="61">
        <f ca="1">IF(AND($P$41=0,$P$40&lt;&gt;0),IF(ABS($P$40)&lt;=$D$11/6,$P$38/($D$11*$D$12)*(1-6*ABS($P$40)/$D$11),0),"N.A.")</f>
        <v>1.2785102777777777</v>
      </c>
      <c r="Q69" s="62" t="s">
        <v>42</v>
      </c>
      <c r="U69" s="40"/>
      <c r="V69" s="73"/>
      <c r="W69" s="73"/>
      <c r="Y69" s="60"/>
      <c r="Z69" s="60"/>
      <c r="AA69" s="40"/>
      <c r="AB69" s="40"/>
      <c r="AC69" s="40"/>
      <c r="AD69" s="41"/>
      <c r="AE69" s="41"/>
      <c r="AF69" s="41"/>
      <c r="AG69" s="41"/>
      <c r="AH69" s="40"/>
      <c r="AI69" s="40"/>
      <c r="AJ69" s="40"/>
      <c r="AK69" s="40"/>
      <c r="AL69" s="40"/>
      <c r="AM69" s="40"/>
      <c r="AN69" s="40"/>
      <c r="AO69" s="40"/>
      <c r="AP69" s="40"/>
      <c r="AQ69" s="40"/>
      <c r="AR69" s="40"/>
      <c r="AS69" s="41"/>
      <c r="AT69" s="41"/>
      <c r="AU69" s="60"/>
      <c r="AV69" s="60"/>
      <c r="AW69" s="60"/>
      <c r="AX69" s="60"/>
    </row>
    <row r="70" spans="2:51">
      <c r="B70" s="47" t="s">
        <v>119</v>
      </c>
      <c r="C70" s="115">
        <f ca="1">$P$48</f>
        <v>5.7413646780521583</v>
      </c>
      <c r="D70" s="48" t="str">
        <f ca="1">IF($P$48="N.A.","",IF(ABS($P$48)&gt;=1.5,"(&gt;= 1.5)",IF($P$48&lt;1,"(&lt;1.0)","(&lt; 1.5)")))</f>
        <v>(&gt;= 1.5)</v>
      </c>
      <c r="E70" s="242" t="str">
        <f ca="1">IF($P$48&lt;1,"ERROR!","")</f>
        <v/>
      </c>
      <c r="F70" s="24"/>
      <c r="G70" s="24"/>
      <c r="H70" s="24"/>
      <c r="I70" s="24"/>
      <c r="J70" s="24"/>
      <c r="K70" s="30"/>
      <c r="N70" s="58"/>
      <c r="O70" s="68" t="s">
        <v>124</v>
      </c>
      <c r="P70" s="61">
        <f ca="1">IF(AND($P$40&gt;0,$P$41=0),$P$69,IF(AND($P$40&lt;0,$P$41=0),$P$68,"N.A."))</f>
        <v>3.8355308333333333</v>
      </c>
      <c r="Q70" s="62" t="s">
        <v>42</v>
      </c>
      <c r="R70" s="68" t="s">
        <v>126</v>
      </c>
      <c r="S70" s="61">
        <f ca="1">IF(AND($P$40&gt;0,$P$41=0),$P$68,IF(AND($P$40&lt;0,$P$41=0),$P$69,"N.A."))</f>
        <v>1.2785102777777777</v>
      </c>
      <c r="T70" s="62" t="s">
        <v>42</v>
      </c>
      <c r="U70" s="40"/>
      <c r="Y70" s="60"/>
      <c r="Z70" s="60"/>
      <c r="AA70" s="40"/>
      <c r="AB70" s="40"/>
      <c r="AC70" s="40"/>
      <c r="AD70" s="41"/>
      <c r="AE70" s="41"/>
      <c r="AF70" s="41"/>
      <c r="AG70" s="41"/>
      <c r="AH70" s="40"/>
      <c r="AI70" s="40"/>
      <c r="AJ70" s="40"/>
      <c r="AK70" s="40"/>
      <c r="AL70" s="40"/>
      <c r="AM70" s="40"/>
      <c r="AN70" s="40"/>
      <c r="AO70" s="40"/>
      <c r="AP70" s="40"/>
      <c r="AQ70" s="40"/>
      <c r="AR70" s="40"/>
      <c r="AS70" s="41"/>
      <c r="AT70" s="41"/>
      <c r="AU70" s="60"/>
      <c r="AV70" s="60"/>
      <c r="AW70" s="60"/>
      <c r="AX70" s="60"/>
    </row>
    <row r="71" spans="2:51">
      <c r="B71" s="23"/>
      <c r="C71" s="24"/>
      <c r="D71" s="24"/>
      <c r="E71" s="24"/>
      <c r="F71" s="24"/>
      <c r="G71" s="24"/>
      <c r="H71" s="24"/>
      <c r="I71" s="24"/>
      <c r="J71" s="24"/>
      <c r="K71" s="30"/>
      <c r="N71" s="58"/>
      <c r="O71" s="68" t="s">
        <v>125</v>
      </c>
      <c r="P71" s="61">
        <f ca="1">IF(AND($P$40&gt;0,$P$41=0),$P$69,IF(AND($P$40&lt;0,$P$41=0),$P$68,"N.A."))</f>
        <v>3.8355308333333333</v>
      </c>
      <c r="Q71" s="62" t="s">
        <v>42</v>
      </c>
      <c r="R71" s="68" t="s">
        <v>127</v>
      </c>
      <c r="S71" s="61">
        <f ca="1">IF(AND($P$40&gt;0,$P$41=0),$P$68,IF(AND($P$40&lt;0,$P$41=0),$P$69,"N.A."))</f>
        <v>1.2785102777777777</v>
      </c>
      <c r="T71" s="62" t="s">
        <v>42</v>
      </c>
      <c r="U71" s="40"/>
      <c r="Y71" s="60"/>
      <c r="Z71" s="60"/>
      <c r="AA71" s="40"/>
      <c r="AB71" s="40"/>
      <c r="AC71" s="40"/>
      <c r="AD71" s="41"/>
      <c r="AE71" s="41"/>
      <c r="AF71" s="41"/>
      <c r="AG71" s="41"/>
      <c r="AH71" s="40"/>
      <c r="AI71" s="40"/>
      <c r="AJ71" s="40"/>
      <c r="AK71" s="40"/>
      <c r="AL71" s="40"/>
      <c r="AM71" s="40"/>
      <c r="AN71" s="40"/>
      <c r="AO71" s="40"/>
      <c r="AP71" s="40"/>
      <c r="AQ71" s="40"/>
      <c r="AR71" s="40"/>
      <c r="AS71" s="41"/>
      <c r="AT71" s="41"/>
      <c r="AU71" s="60"/>
      <c r="AV71" s="60"/>
      <c r="AW71" s="60"/>
      <c r="AX71" s="60"/>
    </row>
    <row r="72" spans="2:51">
      <c r="B72" s="45" t="s">
        <v>325</v>
      </c>
      <c r="C72" s="24"/>
      <c r="D72" s="24"/>
      <c r="E72" s="24"/>
      <c r="F72" s="155" t="s">
        <v>219</v>
      </c>
      <c r="G72" s="144" t="s">
        <v>220</v>
      </c>
      <c r="H72" s="24"/>
      <c r="I72" s="24"/>
      <c r="J72" s="24"/>
      <c r="K72" s="30"/>
      <c r="N72" s="58"/>
      <c r="O72" s="68" t="s">
        <v>132</v>
      </c>
      <c r="P72" s="61" t="str">
        <f ca="1">IF(AND($P$41=0,$P$40&lt;&gt;0),IF(ABS($P$40)&lt;=$D$11/6,$D$11,3*($D$11/2-ABS($P$40))),"N.A.")</f>
        <v>9,0000</v>
      </c>
      <c r="Q72" s="62" t="s">
        <v>41</v>
      </c>
      <c r="U72" s="40"/>
      <c r="V72" s="73"/>
      <c r="W72" s="73"/>
      <c r="Y72" s="60"/>
      <c r="Z72" s="60"/>
      <c r="AA72" s="40"/>
      <c r="AB72" s="40"/>
      <c r="AC72" s="40"/>
      <c r="AD72" s="41"/>
      <c r="AE72" s="41"/>
      <c r="AF72" s="41"/>
      <c r="AG72" s="41"/>
      <c r="AH72" s="40"/>
      <c r="AI72" s="40"/>
      <c r="AJ72" s="40"/>
      <c r="AK72" s="40"/>
      <c r="AL72" s="40"/>
      <c r="AM72" s="40"/>
      <c r="AN72" s="40"/>
      <c r="AO72" s="40"/>
      <c r="AP72" s="40"/>
      <c r="AQ72" s="40"/>
      <c r="AR72" s="40"/>
      <c r="AS72" s="41"/>
      <c r="AT72" s="41"/>
      <c r="AU72" s="60"/>
      <c r="AV72" s="60"/>
      <c r="AW72" s="60"/>
      <c r="AX72" s="60"/>
    </row>
    <row r="73" spans="2:51">
      <c r="B73" s="220" t="s">
        <v>329</v>
      </c>
      <c r="C73" s="113">
        <f ca="1">$P$50</f>
        <v>5.0146176987499995</v>
      </c>
      <c r="D73" s="34" t="s">
        <v>66</v>
      </c>
      <c r="E73" s="24"/>
      <c r="F73" s="24"/>
      <c r="G73" s="156" t="s">
        <v>221</v>
      </c>
      <c r="H73" s="24"/>
      <c r="I73" s="24"/>
      <c r="J73" s="24"/>
      <c r="K73" s="30"/>
      <c r="N73" s="58"/>
      <c r="O73" s="68" t="s">
        <v>135</v>
      </c>
      <c r="P73" s="61" t="str">
        <f ca="1">IF(AND($P$41=0,$P$40&lt;&gt;0),$D$12,"N.A.")</f>
        <v>5,0000</v>
      </c>
      <c r="Q73" s="62" t="s">
        <v>41</v>
      </c>
      <c r="U73" s="40"/>
      <c r="V73" s="73"/>
      <c r="W73" s="73"/>
      <c r="Y73" s="60"/>
      <c r="Z73" s="60"/>
      <c r="AA73" s="40"/>
      <c r="AB73" s="40"/>
      <c r="AC73" s="40"/>
      <c r="AD73" s="41"/>
      <c r="AE73" s="41"/>
      <c r="AF73" s="41"/>
      <c r="AG73" s="41"/>
      <c r="AH73" s="40"/>
      <c r="AI73" s="40"/>
      <c r="AJ73" s="40"/>
      <c r="AK73" s="40"/>
      <c r="AL73" s="40"/>
      <c r="AM73" s="40"/>
      <c r="AN73" s="40"/>
      <c r="AO73" s="40"/>
      <c r="AP73" s="40"/>
      <c r="AQ73" s="40"/>
      <c r="AR73" s="40"/>
      <c r="AS73" s="41"/>
      <c r="AT73" s="41"/>
      <c r="AU73" s="60"/>
      <c r="AV73" s="60"/>
      <c r="AW73" s="60"/>
      <c r="AX73" s="60"/>
    </row>
    <row r="74" spans="2:51">
      <c r="B74" s="220" t="s">
        <v>330</v>
      </c>
      <c r="C74" s="239">
        <f ca="1">$P$51</f>
        <v>30.958459000000001</v>
      </c>
      <c r="D74" s="34" t="s">
        <v>66</v>
      </c>
      <c r="E74" s="24"/>
      <c r="F74" s="24"/>
      <c r="G74" s="143"/>
      <c r="H74" s="24"/>
      <c r="I74" s="24"/>
      <c r="J74" s="24"/>
      <c r="K74" s="30"/>
      <c r="N74" s="58"/>
      <c r="O74" s="68" t="s">
        <v>179</v>
      </c>
      <c r="P74" s="79">
        <f ca="1">IF(AND($P$41=0,$P$40&lt;&gt;0),$P$72*$P$73/($D$11*$D$12)*100,"N.A.")</f>
        <v>100</v>
      </c>
      <c r="Q74" s="76" t="s">
        <v>152</v>
      </c>
      <c r="R74" s="62" t="s">
        <v>195</v>
      </c>
      <c r="W74" s="73"/>
      <c r="Y74" s="60"/>
      <c r="Z74" s="60"/>
      <c r="AA74" s="40"/>
      <c r="AB74" s="40"/>
      <c r="AC74" s="40"/>
      <c r="AD74" s="41"/>
      <c r="AE74" s="41"/>
      <c r="AF74" s="41"/>
      <c r="AG74" s="41"/>
      <c r="AH74" s="40"/>
      <c r="AI74" s="40"/>
      <c r="AJ74" s="40"/>
      <c r="AK74" s="40"/>
      <c r="AL74" s="40"/>
      <c r="AM74" s="40"/>
      <c r="AN74" s="40"/>
      <c r="AO74" s="40"/>
      <c r="AP74" s="40"/>
      <c r="AQ74" s="40"/>
      <c r="AR74" s="40"/>
      <c r="AS74" s="41"/>
      <c r="AT74" s="41"/>
      <c r="AU74" s="60"/>
      <c r="AV74" s="60"/>
      <c r="AW74" s="60"/>
      <c r="AX74" s="60"/>
    </row>
    <row r="75" spans="2:51">
      <c r="B75" s="47" t="s">
        <v>326</v>
      </c>
      <c r="C75" s="111" t="str">
        <f ca="1">$P$52</f>
        <v>N.A.</v>
      </c>
      <c r="D75" s="48" t="str">
        <f ca="1">IF($P$52="N.A.","",IF(ABS($P$52)&gt;=1.5,"(&gt;= 1.5)",IF($P$52&lt;1,"(&lt;1.0)","(&lt; 1.5)")))</f>
        <v/>
      </c>
      <c r="E75" s="243" t="str">
        <f ca="1">IF($P$52&lt;1,"ERROR!","")</f>
        <v/>
      </c>
      <c r="F75" s="24"/>
      <c r="G75" s="143"/>
      <c r="H75" s="24"/>
      <c r="I75" s="24"/>
      <c r="J75" s="143"/>
      <c r="K75" s="30"/>
      <c r="N75" s="58"/>
      <c r="O75" s="84" t="s">
        <v>133</v>
      </c>
      <c r="P75" s="85"/>
      <c r="Q75" s="40"/>
      <c r="R75" s="40"/>
      <c r="S75" s="40"/>
      <c r="T75" s="40"/>
      <c r="U75" s="40"/>
      <c r="V75" s="73"/>
      <c r="W75" s="73"/>
      <c r="Y75" s="60"/>
      <c r="Z75" s="60"/>
      <c r="AA75" s="40"/>
      <c r="AB75" s="40"/>
      <c r="AC75" s="40"/>
      <c r="AD75" s="41"/>
      <c r="AE75" s="41"/>
      <c r="AF75" s="41"/>
      <c r="AG75" s="41"/>
      <c r="AH75" s="40"/>
      <c r="AI75" s="40"/>
      <c r="AJ75" s="40"/>
      <c r="AK75" s="40"/>
      <c r="AL75" s="40"/>
      <c r="AM75" s="40"/>
      <c r="AN75" s="40"/>
      <c r="AO75" s="40"/>
      <c r="AP75" s="40"/>
      <c r="AQ75" s="40"/>
      <c r="AR75" s="40"/>
      <c r="AS75" s="41"/>
      <c r="AT75" s="41"/>
      <c r="AU75" s="60"/>
      <c r="AV75" s="60"/>
      <c r="AW75" s="60"/>
      <c r="AX75" s="60"/>
    </row>
    <row r="76" spans="2:51">
      <c r="B76" s="220" t="s">
        <v>328</v>
      </c>
      <c r="C76" s="239">
        <f ca="1">$P$53</f>
        <v>9.0263118577499988</v>
      </c>
      <c r="D76" s="34" t="s">
        <v>66</v>
      </c>
      <c r="E76" s="242"/>
      <c r="F76" s="24"/>
      <c r="G76" s="24"/>
      <c r="H76" s="24"/>
      <c r="I76" s="24"/>
      <c r="J76" s="24"/>
      <c r="K76" s="30"/>
      <c r="N76" s="58"/>
      <c r="O76" s="68" t="s">
        <v>130</v>
      </c>
      <c r="P76" s="61" t="str">
        <f ca="1">IF(AND($P$40=0,$P$41&lt;&gt;0),IF(ABS($P$41)&lt;=$D$12/6,$P$38/($D$11*$D$12)*(1+6*ABS($P$41)/$D$12),2*$P$38/(3*$D$11*($D$12/2-ABS($P$41)))),"N.A.")</f>
        <v>N.A.</v>
      </c>
      <c r="Q76" s="62" t="s">
        <v>42</v>
      </c>
      <c r="U76" s="40"/>
      <c r="V76" s="73"/>
      <c r="W76" s="73"/>
      <c r="Y76" s="60"/>
      <c r="Z76" s="60"/>
      <c r="AA76" s="40"/>
      <c r="AB76" s="40"/>
      <c r="AC76" s="40"/>
      <c r="AD76" s="41"/>
      <c r="AE76" s="41"/>
      <c r="AF76" s="41"/>
      <c r="AG76" s="41"/>
      <c r="AH76" s="40"/>
      <c r="AI76" s="40"/>
      <c r="AJ76" s="40"/>
      <c r="AK76" s="40"/>
      <c r="AL76" s="40"/>
      <c r="AM76" s="40"/>
      <c r="AN76" s="40"/>
      <c r="AO76" s="40"/>
      <c r="AP76" s="40"/>
      <c r="AQ76" s="40"/>
      <c r="AR76" s="40"/>
      <c r="AS76" s="41"/>
      <c r="AT76" s="41"/>
      <c r="AU76" s="60"/>
      <c r="AV76" s="60"/>
      <c r="AW76" s="60"/>
      <c r="AX76" s="60"/>
    </row>
    <row r="77" spans="2:51">
      <c r="B77" s="220" t="s">
        <v>332</v>
      </c>
      <c r="C77" s="239">
        <f ca="1">$P$54</f>
        <v>30.958459000000001</v>
      </c>
      <c r="D77" s="34" t="s">
        <v>66</v>
      </c>
      <c r="E77" s="24"/>
      <c r="F77" s="24"/>
      <c r="G77" s="24"/>
      <c r="H77" s="24"/>
      <c r="I77" s="24"/>
      <c r="J77" s="24"/>
      <c r="K77" s="30"/>
      <c r="N77" s="58"/>
      <c r="O77" s="68" t="s">
        <v>131</v>
      </c>
      <c r="P77" s="61" t="str">
        <f ca="1">IF(AND($P$40=0,$P$41&lt;&gt;0),IF(ABS($P$41)&lt;=$D$12/6,$P$38/($D$11*$D$12)*(1-6*ABS($P$41)/$D$12),0),"N.A.")</f>
        <v>N.A.</v>
      </c>
      <c r="Q77" s="62" t="s">
        <v>42</v>
      </c>
      <c r="U77" s="40"/>
      <c r="V77" s="73"/>
      <c r="W77" s="73"/>
      <c r="Y77" s="60"/>
      <c r="Z77" s="60"/>
      <c r="AA77" s="40"/>
      <c r="AB77" s="40"/>
      <c r="AC77" s="40"/>
      <c r="AD77" s="41"/>
      <c r="AE77" s="41"/>
      <c r="AF77" s="41"/>
      <c r="AG77" s="41"/>
      <c r="AH77" s="40"/>
      <c r="AI77" s="40"/>
      <c r="AJ77" s="40"/>
      <c r="AK77" s="40"/>
      <c r="AL77" s="40"/>
      <c r="AM77" s="40"/>
      <c r="AN77" s="40"/>
      <c r="AO77" s="40"/>
      <c r="AP77" s="40"/>
      <c r="AQ77" s="40"/>
      <c r="AR77" s="40"/>
      <c r="AS77" s="41"/>
      <c r="AT77" s="41"/>
      <c r="AU77" s="60"/>
      <c r="AV77" s="60"/>
      <c r="AW77" s="60"/>
      <c r="AX77" s="60"/>
    </row>
    <row r="78" spans="2:51">
      <c r="B78" s="47" t="s">
        <v>327</v>
      </c>
      <c r="C78" s="112" t="str">
        <f>$P$55</f>
        <v>N.A.</v>
      </c>
      <c r="D78" s="48" t="str">
        <f>IF($P$55="N.A.","",IF(ABS($P$55)&gt;=1.5,"(&gt;= 1.5)",IF($P$55&lt;1,"(&lt;1.0)","(&lt; 1.5)")))</f>
        <v/>
      </c>
      <c r="E78" s="243" t="str">
        <f>IF($P$55&lt;1,"ERROR!","")</f>
        <v/>
      </c>
      <c r="F78" s="24"/>
      <c r="G78" s="24"/>
      <c r="H78" s="24"/>
      <c r="I78" s="24"/>
      <c r="J78" s="143"/>
      <c r="K78" s="30"/>
      <c r="N78" s="58"/>
      <c r="O78" s="68" t="s">
        <v>124</v>
      </c>
      <c r="P78" s="61" t="str">
        <f ca="1">IF(AND($P$41&gt;0,$P$40=0),$P$76,IF(AND($P$41&lt;0,$P$40=0),$P$77,"N.A."))</f>
        <v>N.A.</v>
      </c>
      <c r="Q78" s="62" t="s">
        <v>42</v>
      </c>
      <c r="R78" s="68" t="s">
        <v>126</v>
      </c>
      <c r="S78" s="61" t="str">
        <f ca="1">IF(AND($P$41&gt;0,$P$40=0),$P$76,IF(AND($P$41&lt;0,$P$40=0),$P$77,"N.A."))</f>
        <v>N.A.</v>
      </c>
      <c r="T78" s="62" t="s">
        <v>42</v>
      </c>
      <c r="U78" s="40"/>
      <c r="Y78" s="60"/>
      <c r="Z78" s="60"/>
      <c r="AA78" s="40"/>
      <c r="AB78" s="40"/>
      <c r="AC78" s="40"/>
      <c r="AD78" s="41"/>
      <c r="AE78" s="41"/>
      <c r="AF78" s="41"/>
      <c r="AG78" s="41"/>
      <c r="AH78" s="40"/>
      <c r="AI78" s="40"/>
      <c r="AJ78" s="40"/>
      <c r="AK78" s="40"/>
      <c r="AL78" s="40"/>
      <c r="AM78" s="40"/>
      <c r="AN78" s="40"/>
      <c r="AO78" s="40"/>
      <c r="AP78" s="40"/>
      <c r="AQ78" s="40"/>
      <c r="AR78" s="40"/>
      <c r="AS78" s="41"/>
      <c r="AT78" s="41"/>
      <c r="AU78" s="60"/>
      <c r="AV78" s="60"/>
      <c r="AW78" s="60"/>
      <c r="AX78" s="60"/>
    </row>
    <row r="79" spans="2:51">
      <c r="B79" s="23"/>
      <c r="C79" s="24"/>
      <c r="D79" s="24"/>
      <c r="E79" s="24"/>
      <c r="F79" s="24"/>
      <c r="G79" s="24"/>
      <c r="H79" s="24"/>
      <c r="I79" s="24"/>
      <c r="J79" s="143"/>
      <c r="K79" s="30"/>
      <c r="N79" s="58"/>
      <c r="O79" s="68" t="s">
        <v>125</v>
      </c>
      <c r="P79" s="61" t="str">
        <f ca="1">IF(AND($P$41&gt;0,$P$40=0),$P$77,IF(AND($P$41&lt;0,$P$40=0),$P$76,"N.A."))</f>
        <v>N.A.</v>
      </c>
      <c r="Q79" s="62" t="s">
        <v>42</v>
      </c>
      <c r="R79" s="68" t="s">
        <v>127</v>
      </c>
      <c r="S79" s="61" t="str">
        <f ca="1">IF(AND($P$41&gt;0,$P$40=0),$P$77,IF(AND($P$41&lt;0,$P$40=0),$P$76,"N.A."))</f>
        <v>N.A.</v>
      </c>
      <c r="T79" s="62" t="s">
        <v>42</v>
      </c>
      <c r="U79" s="40"/>
      <c r="Y79" s="60"/>
      <c r="Z79" s="60"/>
      <c r="AA79" s="40"/>
      <c r="AB79" s="40"/>
      <c r="AC79" s="40"/>
      <c r="AD79" s="41"/>
      <c r="AE79" s="41"/>
      <c r="AF79" s="41"/>
      <c r="AG79" s="41"/>
      <c r="AH79" s="40"/>
      <c r="AI79" s="40"/>
      <c r="AJ79" s="40"/>
      <c r="AK79" s="40"/>
      <c r="AL79" s="40"/>
      <c r="AM79" s="40"/>
      <c r="AN79" s="40"/>
      <c r="AO79" s="40"/>
      <c r="AP79" s="40"/>
      <c r="AQ79" s="40"/>
      <c r="AR79" s="40"/>
      <c r="AS79" s="41"/>
      <c r="AT79" s="41"/>
      <c r="AU79" s="60"/>
      <c r="AV79" s="60"/>
      <c r="AW79" s="60"/>
      <c r="AX79" s="60"/>
      <c r="AY79" s="24"/>
    </row>
    <row r="80" spans="2:51">
      <c r="B80" s="46" t="s">
        <v>113</v>
      </c>
      <c r="C80" s="41"/>
      <c r="D80" s="37"/>
      <c r="E80" s="24"/>
      <c r="F80" s="24"/>
      <c r="G80" s="24"/>
      <c r="H80" s="24"/>
      <c r="I80" s="24"/>
      <c r="J80" s="24"/>
      <c r="K80" s="30"/>
      <c r="N80" s="58"/>
      <c r="O80" s="68" t="s">
        <v>132</v>
      </c>
      <c r="P80" s="60" t="str">
        <f ca="1">IF(AND($P$40=0,$P$41&lt;&gt;0),$D$11,"N.A.")</f>
        <v>N.A.</v>
      </c>
      <c r="Q80" s="62" t="s">
        <v>41</v>
      </c>
      <c r="V80" s="73"/>
      <c r="W80" s="73"/>
      <c r="Y80" s="60"/>
      <c r="Z80" s="60"/>
      <c r="AA80" s="40"/>
      <c r="AB80" s="40"/>
      <c r="AC80" s="40"/>
      <c r="AD80" s="41"/>
      <c r="AE80" s="41"/>
      <c r="AF80" s="41"/>
      <c r="AG80" s="41"/>
      <c r="AH80" s="40"/>
      <c r="AI80" s="40"/>
      <c r="AJ80" s="40"/>
      <c r="AK80" s="40"/>
      <c r="AL80" s="40"/>
      <c r="AM80" s="40"/>
      <c r="AN80" s="40"/>
      <c r="AO80" s="40"/>
      <c r="AP80" s="40"/>
      <c r="AQ80" s="40"/>
      <c r="AR80" s="40"/>
      <c r="AS80" s="41"/>
      <c r="AT80" s="41"/>
      <c r="AU80" s="60"/>
      <c r="AV80" s="60"/>
      <c r="AW80" s="60"/>
      <c r="AX80" s="60"/>
      <c r="AY80" s="24"/>
    </row>
    <row r="81" spans="2:51">
      <c r="B81" s="38" t="s">
        <v>241</v>
      </c>
      <c r="C81" s="113">
        <f ca="1">-$P$57</f>
        <v>-110.56592499999999</v>
      </c>
      <c r="D81" s="37" t="s">
        <v>66</v>
      </c>
      <c r="E81" s="24"/>
      <c r="F81" s="24"/>
      <c r="G81" s="24"/>
      <c r="H81" s="24"/>
      <c r="I81" s="24"/>
      <c r="J81" s="24"/>
      <c r="K81" s="30"/>
      <c r="N81" s="58"/>
      <c r="O81" s="68" t="s">
        <v>135</v>
      </c>
      <c r="P81" s="61" t="str">
        <f ca="1">IF(AND($P$40=0,$P$41&lt;&gt;0),IF(ABS($P$41)&lt;=$D$12/6,$D$12,3*($D$12/2-ABS($P$41))),"N.A.")</f>
        <v>N.A.</v>
      </c>
      <c r="Q81" s="62" t="s">
        <v>41</v>
      </c>
      <c r="U81" s="40"/>
      <c r="V81" s="73"/>
      <c r="W81" s="73"/>
      <c r="Y81" s="60"/>
      <c r="Z81" s="60"/>
      <c r="AA81" s="40"/>
      <c r="AB81" s="40"/>
      <c r="AC81" s="40"/>
      <c r="AD81" s="41"/>
      <c r="AE81" s="41"/>
      <c r="AF81" s="41"/>
      <c r="AG81" s="41"/>
      <c r="AH81" s="40"/>
      <c r="AI81" s="40"/>
      <c r="AJ81" s="40"/>
      <c r="AK81" s="40"/>
      <c r="AL81" s="40"/>
      <c r="AM81" s="40"/>
      <c r="AN81" s="40"/>
      <c r="AO81" s="40"/>
      <c r="AP81" s="40"/>
      <c r="AQ81" s="40"/>
      <c r="AR81" s="40"/>
      <c r="AS81" s="41"/>
      <c r="AT81" s="41"/>
      <c r="AU81" s="60"/>
      <c r="AV81" s="60"/>
      <c r="AW81" s="60"/>
      <c r="AX81" s="60"/>
      <c r="AY81" s="24"/>
    </row>
    <row r="82" spans="2:51">
      <c r="B82" s="38" t="s">
        <v>242</v>
      </c>
      <c r="C82" s="114">
        <f ca="1">$P$58</f>
        <v>0</v>
      </c>
      <c r="D82" s="48" t="s">
        <v>66</v>
      </c>
      <c r="E82" s="24"/>
      <c r="F82" s="24"/>
      <c r="G82" s="24"/>
      <c r="H82" s="24"/>
      <c r="I82" s="24"/>
      <c r="J82" s="24"/>
      <c r="K82" s="30"/>
      <c r="N82" s="58"/>
      <c r="O82" s="68" t="s">
        <v>179</v>
      </c>
      <c r="P82" s="58" t="str">
        <f ca="1">IF(AND($P$40=0,$P$41&lt;&gt;0),$P$80*$P$81/($D$11*$D$12)*100,"N.A.")</f>
        <v>N.A.</v>
      </c>
      <c r="Q82" s="76" t="s">
        <v>152</v>
      </c>
      <c r="R82" s="62" t="s">
        <v>195</v>
      </c>
      <c r="W82" s="73"/>
      <c r="Y82" s="60"/>
      <c r="Z82" s="60"/>
      <c r="AA82" s="40"/>
      <c r="AB82" s="40"/>
      <c r="AC82" s="40"/>
      <c r="AD82" s="41"/>
      <c r="AE82" s="41"/>
      <c r="AF82" s="41"/>
      <c r="AG82" s="41"/>
      <c r="AH82" s="40"/>
      <c r="AI82" s="40"/>
      <c r="AJ82" s="40"/>
      <c r="AK82" s="40"/>
      <c r="AL82" s="40"/>
      <c r="AM82" s="40"/>
      <c r="AN82" s="40"/>
      <c r="AO82" s="40"/>
      <c r="AP82" s="40"/>
      <c r="AQ82" s="40"/>
      <c r="AR82" s="40"/>
      <c r="AS82" s="41"/>
      <c r="AT82" s="41"/>
      <c r="AU82" s="60"/>
      <c r="AV82" s="60"/>
      <c r="AW82" s="60"/>
      <c r="AX82" s="60"/>
      <c r="AY82" s="24"/>
    </row>
    <row r="83" spans="2:51">
      <c r="B83" s="47" t="s">
        <v>114</v>
      </c>
      <c r="C83" s="115" t="str">
        <f ca="1">$P$59</f>
        <v>N.A.</v>
      </c>
      <c r="D83" s="48" t="str">
        <f ca="1">IF($P$59="N.A.","",IF(ABS($P$59)&gt;=1.5,"(&gt;= 1.5)",IF($P$59&lt;1,"(&lt;1.0)","(&lt; 1.5)")))</f>
        <v/>
      </c>
      <c r="E83" s="243" t="str">
        <f ca="1">IF($P$59&lt;1,"ERROR!","")</f>
        <v/>
      </c>
      <c r="F83" s="24"/>
      <c r="G83" s="24"/>
      <c r="H83" s="24"/>
      <c r="I83" s="24"/>
      <c r="J83" s="24"/>
      <c r="K83" s="30"/>
      <c r="N83" s="58"/>
      <c r="O83" s="84" t="s">
        <v>134</v>
      </c>
      <c r="P83" s="85"/>
      <c r="Q83" s="40"/>
      <c r="R83" s="40"/>
      <c r="S83" s="40"/>
      <c r="T83" s="40"/>
      <c r="U83" s="40"/>
      <c r="V83" s="73"/>
      <c r="W83" s="73"/>
      <c r="Y83" s="60"/>
      <c r="Z83" s="60"/>
      <c r="AA83" s="40"/>
      <c r="AB83" s="40"/>
      <c r="AC83" s="40"/>
      <c r="AD83" s="41"/>
      <c r="AE83" s="41"/>
      <c r="AF83" s="41"/>
      <c r="AG83" s="41"/>
      <c r="AH83" s="40"/>
      <c r="AI83" s="40"/>
      <c r="AJ83" s="40"/>
      <c r="AK83" s="40"/>
      <c r="AL83" s="40"/>
      <c r="AM83" s="40"/>
      <c r="AN83" s="40"/>
      <c r="AO83" s="40"/>
      <c r="AP83" s="40"/>
      <c r="AQ83" s="40"/>
      <c r="AR83" s="40"/>
      <c r="AS83" s="41"/>
      <c r="AT83" s="41"/>
      <c r="AU83" s="60"/>
      <c r="AV83" s="60"/>
      <c r="AW83" s="60"/>
      <c r="AX83" s="60"/>
      <c r="AY83" s="24"/>
    </row>
    <row r="84" spans="2:51">
      <c r="B84" s="23"/>
      <c r="C84" s="24"/>
      <c r="D84" s="24"/>
      <c r="E84" s="24"/>
      <c r="F84" s="24"/>
      <c r="G84" s="24"/>
      <c r="H84" s="24"/>
      <c r="I84" s="24"/>
      <c r="J84" s="24"/>
      <c r="K84" s="30"/>
      <c r="N84" s="58"/>
      <c r="O84" s="68" t="s">
        <v>67</v>
      </c>
      <c r="P84" s="60" t="str">
        <f ca="1">IF(AND($P$40&lt;&gt;0,$P$41&lt;&gt;0),(ABS(6*$P$40/$D$11)+ABS(6*$P$41/$D$12)),"N.A.")</f>
        <v>N.A.</v>
      </c>
      <c r="Q84" s="88" t="str">
        <f ca="1">IF(AND($P$40&lt;&gt;0,$P$41&lt;&gt;0),"ABS(6*ex/L)+ABS(6*ey/B)"&amp;IF($P$84&lt;=1," &lt;= 1.0"," &gt; 1.0"),"")</f>
        <v/>
      </c>
      <c r="R84" s="76"/>
      <c r="T84" s="40"/>
      <c r="U84" s="40"/>
      <c r="V84" s="73"/>
      <c r="W84" s="73"/>
      <c r="Y84" s="60"/>
      <c r="Z84" s="60"/>
      <c r="AA84" s="40"/>
      <c r="AB84" s="40"/>
      <c r="AC84" s="40"/>
      <c r="AD84" s="41"/>
      <c r="AE84" s="41"/>
      <c r="AF84" s="41"/>
      <c r="AG84" s="41"/>
      <c r="AH84" s="40"/>
      <c r="AI84" s="40"/>
      <c r="AJ84" s="40"/>
      <c r="AK84" s="40"/>
      <c r="AL84" s="40"/>
      <c r="AM84" s="40"/>
      <c r="AN84" s="40"/>
      <c r="AO84" s="40"/>
      <c r="AP84" s="40"/>
      <c r="AQ84" s="40"/>
      <c r="AR84" s="40"/>
      <c r="AS84" s="41"/>
      <c r="AT84" s="41"/>
      <c r="AU84" s="60"/>
      <c r="AV84" s="60"/>
      <c r="AW84" s="60"/>
      <c r="AX84" s="60"/>
      <c r="AY84" s="24"/>
    </row>
    <row r="85" spans="2:51">
      <c r="B85" s="32" t="s">
        <v>181</v>
      </c>
      <c r="C85" s="33"/>
      <c r="D85" s="33"/>
      <c r="E85" s="24"/>
      <c r="F85" s="155" t="s">
        <v>222</v>
      </c>
      <c r="G85" s="144" t="s">
        <v>220</v>
      </c>
      <c r="H85" s="24"/>
      <c r="I85" s="24"/>
      <c r="J85" s="24"/>
      <c r="K85" s="30"/>
      <c r="O85" s="68" t="s">
        <v>124</v>
      </c>
      <c r="P85" s="61" t="str">
        <f ca="1">IF(AND($P$40&lt;&gt;0,$P$41&lt;&gt;0),IF($P$84&lt;=1,$P$38/($D$11*$D$12)*(1-6*$P$40/$D$11+6*$P$41/$D$12),"N.A."),"N.A.")</f>
        <v>N.A.</v>
      </c>
      <c r="Q85" s="62" t="s">
        <v>42</v>
      </c>
      <c r="R85" s="68" t="s">
        <v>126</v>
      </c>
      <c r="S85" s="61" t="str">
        <f ca="1">IF(AND($P$40&lt;&gt;0,$P$41&lt;&gt;0),IF($P$84&lt;=1,$P$38/($D$11*$D$12)*(1+6*$P$40/$D$11+6*$P$41/$D$12),"N.A."),"N.A.")</f>
        <v>N.A.</v>
      </c>
      <c r="T85" s="62" t="s">
        <v>42</v>
      </c>
      <c r="U85" s="40"/>
      <c r="V85" s="73"/>
      <c r="W85" s="73"/>
      <c r="Y85" s="60"/>
      <c r="Z85" s="60"/>
      <c r="AA85" s="40"/>
      <c r="AB85" s="40"/>
      <c r="AC85" s="40"/>
      <c r="AD85" s="41"/>
      <c r="AE85" s="41"/>
      <c r="AF85" s="41"/>
      <c r="AG85" s="41"/>
      <c r="AH85" s="40"/>
      <c r="AI85" s="40"/>
      <c r="AJ85" s="40"/>
      <c r="AK85" s="40"/>
      <c r="AL85" s="40"/>
      <c r="AM85" s="40"/>
      <c r="AN85" s="40"/>
      <c r="AO85" s="40"/>
      <c r="AP85" s="40"/>
      <c r="AQ85" s="40"/>
      <c r="AR85" s="40"/>
      <c r="AS85" s="41"/>
      <c r="AT85" s="41"/>
      <c r="AU85" s="60"/>
      <c r="AV85" s="60"/>
      <c r="AW85" s="60"/>
      <c r="AX85" s="60"/>
      <c r="AY85" s="24"/>
    </row>
    <row r="86" spans="2:51">
      <c r="B86" s="147" t="s">
        <v>182</v>
      </c>
      <c r="C86" s="117" t="str">
        <f ca="1">IF(AND($P$40&lt;&gt;0,$P$41&lt;&gt;0,ABS(6*$P$40/$D$11)+ABS(6*$P$41/$D$12)&gt;1),$P$94,"N.A.")</f>
        <v>N.A.</v>
      </c>
      <c r="D86" s="49" t="s">
        <v>41</v>
      </c>
      <c r="E86" s="24"/>
      <c r="F86" s="24"/>
      <c r="G86" s="156" t="s">
        <v>223</v>
      </c>
      <c r="H86" s="24"/>
      <c r="I86" s="24"/>
      <c r="J86" s="24"/>
      <c r="K86" s="30"/>
      <c r="O86" s="68" t="s">
        <v>125</v>
      </c>
      <c r="P86" s="61" t="str">
        <f ca="1">IF(AND($P$40&lt;&gt;0,$P$41&lt;&gt;0),IF($P$84&lt;=1,$P$38/($D$11*$D$12)*(1-6*$P$40/$D$11+6*-$P$41/$D$12),"N.A."),"N.A.")</f>
        <v>N.A.</v>
      </c>
      <c r="Q86" s="62" t="s">
        <v>42</v>
      </c>
      <c r="R86" s="68" t="s">
        <v>127</v>
      </c>
      <c r="S86" s="61" t="str">
        <f ca="1">IF(AND($P$40&lt;&gt;0,$P$41&lt;&gt;0),IF($P$84&lt;=1,$P$38/($D$11*$D$12)*(1+6*$P$40/$D$11+6*-$P$41/$D$12),"N.A."),"N.A.")</f>
        <v>N.A.</v>
      </c>
      <c r="T86" s="62" t="s">
        <v>42</v>
      </c>
      <c r="U86" s="40"/>
      <c r="V86" s="73"/>
      <c r="Y86" s="60"/>
      <c r="Z86" s="60"/>
      <c r="AA86" s="40"/>
      <c r="AB86" s="40"/>
      <c r="AC86" s="40"/>
      <c r="AD86" s="41"/>
      <c r="AE86" s="41"/>
      <c r="AF86" s="41"/>
      <c r="AG86" s="41"/>
      <c r="AH86" s="40"/>
      <c r="AI86" s="40"/>
      <c r="AJ86" s="40"/>
      <c r="AK86" s="40"/>
      <c r="AL86" s="40"/>
      <c r="AM86" s="40"/>
      <c r="AN86" s="40"/>
      <c r="AO86" s="40"/>
      <c r="AP86" s="40"/>
      <c r="AQ86" s="40"/>
      <c r="AR86" s="40"/>
      <c r="AS86" s="41"/>
      <c r="AT86" s="41"/>
      <c r="AU86" s="60"/>
      <c r="AV86" s="60"/>
      <c r="AW86" s="60"/>
      <c r="AX86" s="60"/>
      <c r="AY86" s="24"/>
    </row>
    <row r="87" spans="2:51">
      <c r="B87" s="147" t="s">
        <v>183</v>
      </c>
      <c r="C87" s="116" t="str">
        <f ca="1">IF(AND($P$40&lt;&gt;0,$P$41&lt;&gt;0,ABS(6*$P$40/$D$11)+ABS(6*$P$41/$D$12)&gt;1),$P$95,"N.A.")</f>
        <v>N.A.</v>
      </c>
      <c r="D87" s="49" t="s">
        <v>41</v>
      </c>
      <c r="E87" s="24"/>
      <c r="F87" s="24"/>
      <c r="G87" s="143"/>
      <c r="H87" s="24"/>
      <c r="I87" s="24"/>
      <c r="J87" s="24"/>
      <c r="K87" s="30"/>
      <c r="O87" s="68" t="s">
        <v>132</v>
      </c>
      <c r="P87" s="61" t="str">
        <f ca="1">IF(AND($P$40&lt;&gt;0,$P$41&lt;&gt;0),IF($P$84&lt;=1,$D$11,"N.A."),"N.A.")</f>
        <v>N.A.</v>
      </c>
      <c r="Q87" s="62" t="s">
        <v>41</v>
      </c>
      <c r="R87" s="40"/>
      <c r="S87" s="40"/>
      <c r="T87" s="40"/>
      <c r="U87" s="40"/>
      <c r="V87" s="73"/>
      <c r="Y87" s="60"/>
      <c r="Z87" s="60"/>
      <c r="AA87" s="40"/>
      <c r="AB87" s="40"/>
      <c r="AC87" s="40"/>
      <c r="AD87" s="41"/>
      <c r="AE87" s="41"/>
      <c r="AF87" s="41"/>
      <c r="AG87" s="41"/>
      <c r="AH87" s="40"/>
      <c r="AI87" s="40"/>
      <c r="AJ87" s="40"/>
      <c r="AK87" s="40"/>
      <c r="AL87" s="40"/>
      <c r="AM87" s="40"/>
      <c r="AN87" s="40"/>
      <c r="AO87" s="40"/>
      <c r="AP87" s="40"/>
      <c r="AQ87" s="40"/>
      <c r="AR87" s="40"/>
      <c r="AS87" s="41"/>
      <c r="AT87" s="41"/>
      <c r="AU87" s="60"/>
      <c r="AV87" s="60"/>
      <c r="AW87" s="60"/>
      <c r="AX87" s="60"/>
      <c r="AY87" s="24"/>
    </row>
    <row r="88" spans="2:51">
      <c r="B88" s="147" t="str">
        <f ca="1">IF(AND($P$40=0,$P$41=0),"Brg. Lx =",IF(AND($P$40&lt;&gt;0,$P$41=0),"Brg. Lx =",IF(AND($P$40=0,$P$41&lt;&gt;0),"Brg. Lx =",IF(AND($P$40&lt;&gt;0,$P$41&lt;&gt;0,ABS(6*$P$40/$D$11)+ABS(6*$P$41/$D$12)&lt;=1),"Brg. Lx =",IF(AND($P$40&lt;&gt;0,$P$41&lt;&gt;0,ABS(6*$P$40/$D$11)+ABS(6*$P$41/$D$12)&gt;1),$O$96)))))</f>
        <v>Brg. Lx =</v>
      </c>
      <c r="C88" s="116" t="str">
        <f ca="1">IF(AND($P$40=0,$P$41=0),$P$64,IF(AND($P$40&lt;&gt;0,$P$41=0),$P$72,IF(AND($P$40=0,$P$41&lt;&gt;0),$P$80,IF(AND($P$40&lt;&gt;0,$P$41&lt;&gt;0,ABS(6*$P$40/$D$11)+ABS(6*$P$41/$D$12)&lt;=1),$P$87,IF(AND($P$40&lt;&gt;0,$P$41&lt;&gt;0,ABS(6*$P$40/$D$11)+ABS(6*$P$41/$D$12)&gt;1),$P$96)))))</f>
        <v>9,0000</v>
      </c>
      <c r="D88" s="49" t="s">
        <v>41</v>
      </c>
      <c r="E88" s="24"/>
      <c r="F88" s="24"/>
      <c r="G88" s="143"/>
      <c r="H88" s="24"/>
      <c r="I88" s="24"/>
      <c r="J88" s="143"/>
      <c r="K88" s="30"/>
      <c r="M88" s="119"/>
      <c r="O88" s="68" t="s">
        <v>135</v>
      </c>
      <c r="P88" s="61" t="str">
        <f ca="1">IF(AND($P$40&lt;&gt;0,$P$41&lt;&gt;0),IF($P$84&lt;=1,$D$12,"N.A."),"N.A.")</f>
        <v>N.A.</v>
      </c>
      <c r="Q88" s="62" t="s">
        <v>41</v>
      </c>
      <c r="S88" s="40"/>
      <c r="T88" s="40"/>
      <c r="U88" s="40"/>
      <c r="Y88" s="60"/>
      <c r="Z88" s="60"/>
      <c r="AA88" s="40"/>
      <c r="AB88" s="40"/>
      <c r="AC88" s="40"/>
      <c r="AD88" s="41"/>
      <c r="AE88" s="41"/>
      <c r="AF88" s="41"/>
      <c r="AG88" s="41"/>
      <c r="AH88" s="40"/>
      <c r="AI88" s="40"/>
      <c r="AJ88" s="40"/>
      <c r="AK88" s="40"/>
      <c r="AL88" s="40"/>
      <c r="AM88" s="40"/>
      <c r="AN88" s="40"/>
      <c r="AO88" s="40"/>
      <c r="AP88" s="40"/>
      <c r="AQ88" s="40"/>
      <c r="AR88" s="40"/>
      <c r="AS88" s="41"/>
      <c r="AT88" s="41"/>
      <c r="AU88" s="60"/>
      <c r="AV88" s="60"/>
      <c r="AW88" s="60"/>
      <c r="AX88" s="60"/>
      <c r="AY88" s="24"/>
    </row>
    <row r="89" spans="2:51">
      <c r="B89" s="147" t="str">
        <f ca="1">IF(AND($P$40=0,$P$41=0),"Brg. Ly =",IF(AND($P$40&lt;&gt;0,$P$41=0),"Brg. Ly =",IF(AND($P$40=0,$P$41&lt;&gt;0),"Brg. Ly =",IF(AND($P$40&lt;&gt;0,$P$41&lt;&gt;0,ABS(6*$P$40/$D$11)+ABS(6*$P$41/$D$12)&lt;=1),"Brg. Ly =",IF(AND($P$40&lt;&gt;0,$P$41&lt;&gt;0,ABS(6*$P$40/$D$11)+ABS(6*$P$41/$D$12)&gt;1),$O$97)))))</f>
        <v>Brg. Ly =</v>
      </c>
      <c r="C89" s="116" t="str">
        <f ca="1">IF(AND($P$40=0,$P$41=0),$P$65,IF(AND($P$40&lt;&gt;0,$P$41=0),$P$73,IF(AND($P$40=0,$P$41&lt;&gt;0),$P$81,IF(AND($P$40&lt;&gt;0,$P$41&lt;&gt;0,ABS(6*$P$40/$D$11)+ABS(6*$P$41/$D$12)&lt;=1),$P$88,IF(AND($P$40&lt;&gt;0,$P$41&lt;&gt;0,ABS(6*$P$40/$D$11)+ABS(6*$P$41/$D$12)&gt;1),$P$97)))))</f>
        <v>5,0000</v>
      </c>
      <c r="D89" s="49" t="s">
        <v>41</v>
      </c>
      <c r="E89" s="24"/>
      <c r="F89" s="24"/>
      <c r="G89" s="24"/>
      <c r="H89" s="24"/>
      <c r="I89" s="24"/>
      <c r="J89" s="24"/>
      <c r="K89" s="30"/>
      <c r="M89" s="119"/>
      <c r="O89" s="68" t="s">
        <v>179</v>
      </c>
      <c r="P89" s="61" t="str">
        <f ca="1">IF(AND($P$40&lt;&gt;0,$P$41&lt;&gt;0),IF($P$84&lt;=1,100,"N.A."),"N.A.")</f>
        <v>N.A.</v>
      </c>
      <c r="Q89" s="76" t="s">
        <v>152</v>
      </c>
      <c r="R89" s="62" t="s">
        <v>180</v>
      </c>
      <c r="Y89" s="60"/>
      <c r="Z89" s="60"/>
      <c r="AA89" s="40"/>
      <c r="AB89" s="40"/>
      <c r="AC89" s="40"/>
      <c r="AD89" s="41"/>
      <c r="AE89" s="41"/>
      <c r="AF89" s="41"/>
      <c r="AG89" s="41"/>
      <c r="AH89" s="40"/>
      <c r="AI89" s="40"/>
      <c r="AJ89" s="40"/>
      <c r="AK89" s="40"/>
      <c r="AL89" s="40"/>
      <c r="AM89" s="40"/>
      <c r="AN89" s="40"/>
      <c r="AO89" s="40"/>
      <c r="AP89" s="40"/>
      <c r="AQ89" s="40"/>
      <c r="AR89" s="40"/>
      <c r="AS89" s="41"/>
      <c r="AT89" s="41"/>
      <c r="AU89" s="60"/>
      <c r="AV89" s="60"/>
      <c r="AW89" s="60"/>
      <c r="AX89" s="60"/>
      <c r="AY89" s="24"/>
    </row>
    <row r="90" spans="2:51">
      <c r="B90" s="19" t="s">
        <v>178</v>
      </c>
      <c r="C90" s="114">
        <f ca="1">MAX($P$66,$P$74,$P$82,$P$89,$P$98)</f>
        <v>100</v>
      </c>
      <c r="D90" s="48" t="s">
        <v>152</v>
      </c>
      <c r="E90" s="24"/>
      <c r="F90" s="24"/>
      <c r="G90" s="24"/>
      <c r="H90" s="24"/>
      <c r="I90" s="24"/>
      <c r="J90" s="24"/>
      <c r="K90" s="30"/>
      <c r="M90" s="120"/>
      <c r="O90" s="84" t="s">
        <v>136</v>
      </c>
      <c r="P90" s="68"/>
      <c r="Q90" s="58"/>
      <c r="R90" s="71"/>
      <c r="S90" s="40"/>
      <c r="T90" s="40"/>
      <c r="Y90" s="60"/>
      <c r="Z90" s="60"/>
      <c r="AA90" s="40"/>
      <c r="AB90" s="40"/>
      <c r="AC90" s="40"/>
      <c r="AD90" s="41"/>
      <c r="AE90" s="41"/>
      <c r="AF90" s="41"/>
      <c r="AG90" s="41"/>
      <c r="AH90" s="40"/>
      <c r="AI90" s="40"/>
      <c r="AJ90" s="40"/>
      <c r="AK90" s="40"/>
      <c r="AL90" s="40"/>
      <c r="AM90" s="40"/>
      <c r="AN90" s="40"/>
      <c r="AO90" s="40"/>
      <c r="AP90" s="40"/>
      <c r="AQ90" s="40"/>
      <c r="AR90" s="40"/>
      <c r="AS90" s="41"/>
      <c r="AT90" s="41"/>
      <c r="AU90" s="60"/>
      <c r="AV90" s="60"/>
      <c r="AW90" s="60"/>
      <c r="AX90" s="60"/>
      <c r="AY90" s="24"/>
    </row>
    <row r="91" spans="2:51">
      <c r="B91" s="19" t="s">
        <v>337</v>
      </c>
      <c r="C91" s="246" t="str">
        <f ca="1">$P$99</f>
        <v>N.A.</v>
      </c>
      <c r="D91" s="48" t="str">
        <f ca="1">IF(AND($P$40&lt;&gt;0,$P$41&lt;&gt;0),"6*ex/L + 6*ey/B = "&amp;ROUND($P$91,3),"")</f>
        <v/>
      </c>
      <c r="E91" s="24"/>
      <c r="F91" s="24"/>
      <c r="G91" s="24"/>
      <c r="H91" s="24"/>
      <c r="I91" s="24"/>
      <c r="J91" s="24"/>
      <c r="K91" s="30"/>
      <c r="M91" s="120"/>
      <c r="N91" s="64"/>
      <c r="O91" s="68" t="s">
        <v>67</v>
      </c>
      <c r="P91" s="60" t="str">
        <f ca="1">IF(AND($P$40&lt;&gt;0,$P$41&lt;&gt;0),(ABS(6*$P$40/$D$11)+ABS(6*$P$41/$D$12)),"N.A.")</f>
        <v>N.A.</v>
      </c>
      <c r="Q91" s="88" t="str">
        <f ca="1">IF(AND($P$40&lt;&gt;0,$P$41&lt;&gt;0),"ABS(6*ex/L)+ABS(6*ey/B)"&amp;IF($P$91&lt;=1," &lt;= 1.0"," &gt; 1.0"),"")</f>
        <v/>
      </c>
      <c r="R91" s="76"/>
      <c r="S91" s="64"/>
      <c r="T91" s="61"/>
      <c r="U91" s="64"/>
      <c r="V91" s="64"/>
      <c r="Y91" s="60"/>
      <c r="Z91" s="60"/>
      <c r="AA91" s="40"/>
      <c r="AB91" s="40"/>
      <c r="AC91" s="40"/>
      <c r="AD91" s="41"/>
      <c r="AE91" s="41"/>
      <c r="AF91" s="41"/>
      <c r="AG91" s="41"/>
      <c r="AH91" s="40"/>
      <c r="AI91" s="40"/>
      <c r="AJ91" s="40"/>
      <c r="AK91" s="40"/>
      <c r="AL91" s="40"/>
      <c r="AM91" s="40"/>
      <c r="AN91" s="40"/>
      <c r="AO91" s="40"/>
      <c r="AP91" s="40"/>
      <c r="AQ91" s="40"/>
      <c r="AR91" s="40"/>
      <c r="AS91" s="41"/>
      <c r="AT91" s="41"/>
      <c r="AU91" s="60"/>
      <c r="AV91" s="60"/>
      <c r="AW91" s="60"/>
      <c r="AX91" s="60"/>
      <c r="AY91" s="24"/>
    </row>
    <row r="92" spans="2:51">
      <c r="B92" s="23"/>
      <c r="C92" s="24"/>
      <c r="D92" s="24"/>
      <c r="E92" s="24"/>
      <c r="F92" s="24"/>
      <c r="G92" s="24"/>
      <c r="H92" s="24"/>
      <c r="I92" s="24"/>
      <c r="J92" s="143"/>
      <c r="K92" s="30"/>
      <c r="M92" s="119"/>
      <c r="N92" s="64"/>
      <c r="O92" s="68" t="s">
        <v>124</v>
      </c>
      <c r="P92" s="61" t="str">
        <f ca="1">IF(AND($P$40&lt;&gt;0,$P$41&lt;&gt;0),IF($P$91&gt;1,$AW$36,"N.A."),"N.A.")</f>
        <v>N.A.</v>
      </c>
      <c r="Q92" s="62" t="s">
        <v>42</v>
      </c>
      <c r="R92" s="68" t="s">
        <v>126</v>
      </c>
      <c r="S92" s="61" t="str">
        <f ca="1">IF(AND($P$40&lt;&gt;0,$P$41&lt;&gt;0),IF($P$91&gt;1,$AV$36,"N.A."),"N.A.")</f>
        <v>N.A.</v>
      </c>
      <c r="T92" s="62" t="s">
        <v>42</v>
      </c>
      <c r="U92" s="64"/>
      <c r="V92" s="64"/>
      <c r="Y92" s="60"/>
      <c r="Z92" s="60"/>
      <c r="AA92" s="40"/>
      <c r="AB92" s="40"/>
      <c r="AC92" s="40"/>
      <c r="AD92" s="41"/>
      <c r="AE92" s="41"/>
      <c r="AF92" s="41"/>
      <c r="AG92" s="41"/>
      <c r="AH92" s="40"/>
      <c r="AI92" s="40"/>
      <c r="AJ92" s="40"/>
      <c r="AK92" s="40"/>
      <c r="AL92" s="40"/>
      <c r="AM92" s="40"/>
      <c r="AN92" s="40"/>
      <c r="AO92" s="40"/>
      <c r="AP92" s="40"/>
      <c r="AQ92" s="40"/>
      <c r="AR92" s="40"/>
      <c r="AS92" s="41"/>
      <c r="AT92" s="41"/>
      <c r="AU92" s="60"/>
      <c r="AV92" s="60"/>
      <c r="AW92" s="60"/>
      <c r="AX92" s="60"/>
      <c r="AY92" s="24"/>
    </row>
    <row r="93" spans="2:51">
      <c r="B93" s="32" t="s">
        <v>169</v>
      </c>
      <c r="C93" s="33"/>
      <c r="D93" s="33"/>
      <c r="E93" s="24"/>
      <c r="F93" s="24"/>
      <c r="G93" s="24"/>
      <c r="H93" s="24"/>
      <c r="I93" s="24"/>
      <c r="J93" s="143"/>
      <c r="K93" s="30"/>
      <c r="M93" s="119"/>
      <c r="N93" s="64"/>
      <c r="O93" s="68" t="s">
        <v>125</v>
      </c>
      <c r="P93" s="61" t="str">
        <f ca="1">IF(AND($P$40&lt;&gt;0,$P$41&lt;&gt;0),IF($P$91&gt;1,$AX$36,"N.A."),"N.A.")</f>
        <v>N.A.</v>
      </c>
      <c r="Q93" s="62" t="s">
        <v>42</v>
      </c>
      <c r="R93" s="68" t="s">
        <v>127</v>
      </c>
      <c r="S93" s="61" t="str">
        <f ca="1">IF(AND($P$40&lt;&gt;0,$P$41&lt;&gt;0),IF($P$91&gt;1,$AU$36,"N.A."),"N.A.")</f>
        <v>N.A.</v>
      </c>
      <c r="T93" s="62" t="s">
        <v>42</v>
      </c>
      <c r="U93" s="64"/>
      <c r="V93" s="64"/>
      <c r="Y93" s="60"/>
      <c r="Z93" s="60"/>
      <c r="AA93" s="40"/>
      <c r="AB93" s="40"/>
      <c r="AC93" s="40"/>
      <c r="AD93" s="41"/>
      <c r="AE93" s="41"/>
      <c r="AF93" s="41"/>
      <c r="AG93" s="41"/>
      <c r="AH93" s="40"/>
      <c r="AI93" s="40"/>
      <c r="AJ93" s="40"/>
      <c r="AK93" s="40"/>
      <c r="AL93" s="40"/>
      <c r="AM93" s="40"/>
      <c r="AN93" s="40"/>
      <c r="AO93" s="40"/>
      <c r="AP93" s="40"/>
      <c r="AQ93" s="40"/>
      <c r="AR93" s="40"/>
      <c r="AS93" s="41"/>
      <c r="AT93" s="41"/>
      <c r="AU93" s="60"/>
      <c r="AV93" s="60"/>
      <c r="AW93" s="60"/>
      <c r="AX93" s="60"/>
      <c r="AY93" s="24"/>
    </row>
    <row r="94" spans="2:51">
      <c r="B94" s="19" t="s">
        <v>367</v>
      </c>
      <c r="C94" s="117">
        <f ca="1">IF(AND($P$40=0,$P$41=0),$S$63,IF(AND($P$40&lt;&gt;0,$P$41=0),$S$71,IF(AND($P$40=0,$P$41&lt;&gt;0),$S$79,IF(AND($P$40&lt;&gt;0,$P$41&lt;&gt;0,ABS(6*$P$40/$D$11)+ABS(6*$P$41/$D$12)&lt;=1),$S$86,IF(AND($P$40&lt;&gt;0,$P$41&lt;&gt;0,ABS(6*$P$40/$D$11)+ABS(6*$P$41/$D$12)&gt;1),$S$93)))))</f>
        <v>1.2785102777777777</v>
      </c>
      <c r="D94" s="49" t="s">
        <v>42</v>
      </c>
      <c r="E94" s="97"/>
      <c r="F94" s="24"/>
      <c r="G94" s="24"/>
      <c r="H94" s="24"/>
      <c r="I94" s="24"/>
      <c r="J94" s="24"/>
      <c r="K94" s="30"/>
      <c r="M94" s="120"/>
      <c r="O94" s="68" t="s">
        <v>153</v>
      </c>
      <c r="P94" s="61" t="str">
        <f ca="1">IF(AND($P$40&lt;&gt;0,$P$41&lt;&gt;0),IF($P$91&gt;1,$AQ$36,"N.A."),"N.A.")</f>
        <v>N.A.</v>
      </c>
      <c r="Q94" s="62" t="s">
        <v>41</v>
      </c>
      <c r="R94" s="61"/>
      <c r="S94" s="61"/>
      <c r="T94" s="61"/>
      <c r="U94" s="64"/>
      <c r="V94" s="64"/>
      <c r="Y94" s="60"/>
      <c r="Z94" s="60"/>
      <c r="AA94" s="40"/>
      <c r="AB94" s="40"/>
      <c r="AC94" s="40"/>
      <c r="AD94" s="41"/>
      <c r="AE94" s="41"/>
      <c r="AF94" s="41"/>
      <c r="AG94" s="41"/>
      <c r="AH94" s="40"/>
      <c r="AI94" s="40"/>
      <c r="AJ94" s="40"/>
      <c r="AK94" s="40"/>
      <c r="AL94" s="40"/>
      <c r="AM94" s="40"/>
      <c r="AN94" s="40"/>
      <c r="AO94" s="40"/>
      <c r="AP94" s="40"/>
      <c r="AQ94" s="40"/>
      <c r="AR94" s="40"/>
      <c r="AS94" s="41"/>
      <c r="AT94" s="41"/>
      <c r="AU94" s="60"/>
      <c r="AV94" s="60"/>
      <c r="AW94" s="60"/>
      <c r="AX94" s="60"/>
      <c r="AY94" s="24"/>
    </row>
    <row r="95" spans="2:51">
      <c r="B95" s="19" t="s">
        <v>368</v>
      </c>
      <c r="C95" s="116">
        <f ca="1">IF(AND($P$40=0,$P$41=0),$S$62,IF(AND($P$40&lt;&gt;0,$P$41=0),$S$70,IF(AND($P$40=0,$P$41&lt;&gt;0),$S$78,IF(AND($P$40&lt;&gt;0,$P$41&lt;&gt;0,ABS(6*$P$40/$D$11)+ABS(6*$P$41/$D$12)&lt;=1),$S$85,IF(AND($P$40&lt;&gt;0,$P$41&lt;&gt;0,ABS(6*$P$40/$D$11)+ABS(6*$P$41/$D$12)&gt;1),$S$92)))))</f>
        <v>1.2785102777777777</v>
      </c>
      <c r="D95" s="49" t="s">
        <v>42</v>
      </c>
      <c r="E95" s="97"/>
      <c r="F95" s="24"/>
      <c r="G95" s="24"/>
      <c r="H95" s="24"/>
      <c r="I95" s="24"/>
      <c r="J95" s="24"/>
      <c r="K95" s="30"/>
      <c r="M95" s="120"/>
      <c r="O95" s="68" t="s">
        <v>154</v>
      </c>
      <c r="P95" s="61" t="str">
        <f ca="1">IF(AND($P$40&lt;&gt;0,$P$41&lt;&gt;0),IF($P$91&gt;1,$AR$36,"N.A."),"N.A.")</f>
        <v>N.A.</v>
      </c>
      <c r="Q95" s="62" t="s">
        <v>41</v>
      </c>
      <c r="R95" s="64"/>
      <c r="S95" s="61"/>
      <c r="T95" s="61"/>
      <c r="U95" s="64"/>
      <c r="V95" s="64"/>
      <c r="Y95" s="60"/>
      <c r="Z95" s="60"/>
      <c r="AA95" s="40"/>
      <c r="AB95" s="40"/>
      <c r="AC95" s="40"/>
      <c r="AD95" s="41"/>
      <c r="AE95" s="41"/>
      <c r="AF95" s="41"/>
      <c r="AG95" s="41"/>
      <c r="AH95" s="40"/>
      <c r="AI95" s="40"/>
      <c r="AJ95" s="40"/>
      <c r="AK95" s="40"/>
      <c r="AL95" s="40"/>
      <c r="AM95" s="40"/>
      <c r="AN95" s="40"/>
      <c r="AO95" s="40"/>
      <c r="AP95" s="40"/>
      <c r="AQ95" s="40"/>
      <c r="AR95" s="40"/>
      <c r="AS95" s="41"/>
      <c r="AT95" s="41"/>
      <c r="AU95" s="60"/>
      <c r="AV95" s="60"/>
      <c r="AW95" s="60"/>
      <c r="AX95" s="60"/>
      <c r="AY95" s="24"/>
    </row>
    <row r="96" spans="2:51">
      <c r="B96" s="19" t="s">
        <v>369</v>
      </c>
      <c r="C96" s="116">
        <f ca="1">IF(AND($P$40=0,$P$41=0),$P$62,IF(AND($P$40&lt;&gt;0,$P$41=0),$P$70,IF(AND($P$40=0,$P$41&lt;&gt;0),$P$78,IF(AND($P$40&lt;&gt;0,$P$41&lt;&gt;0,ABS(6*$P$40/$D$11)+ABS(6*$P$41/$D$12)&lt;=1),$P$85,IF(AND($P$40&lt;&gt;0,$P$41&lt;&gt;0,ABS(6*$P$40/$D$11)+ABS(6*$P$41/$D$12)&gt;1),$P$92)))))</f>
        <v>3.8355308333333333</v>
      </c>
      <c r="D96" s="49" t="s">
        <v>42</v>
      </c>
      <c r="E96" s="97"/>
      <c r="F96" s="24"/>
      <c r="G96" s="24"/>
      <c r="H96" s="24"/>
      <c r="I96" s="24"/>
      <c r="J96" s="24"/>
      <c r="K96" s="30"/>
      <c r="M96" s="119"/>
      <c r="O96" s="131" t="str">
        <f ca="1">IF(AND($P$94&gt;$D$11,$P$95&gt;$D$12),$O$101,IF(AND($P$94&gt;$D$11,$P$95&lt;=$D$12),$O$105,IF(AND($P$94&lt;=$D$11,$P$95&gt;$D$12),$O$109,IF(AND($P$94&lt;=$D$11,$P$95&lt;=$D$12),$O$113))))</f>
        <v>Brg. Lx =</v>
      </c>
      <c r="P96" s="60" t="str">
        <f ca="1">IF(AND($P$94&gt;$D$11,$P$95&gt;$D$12),$P$101,IF(AND($P$94&gt;$D$11,$P$95&lt;=$D$12),$P$105,IF(AND($P$94&lt;=$D$11,$P$95&gt;$D$12),$P$109,IF(AND($P$94&lt;=$D$11,$P$95&lt;=$D$12),$P$113))))</f>
        <v>N.A.</v>
      </c>
      <c r="Q96" s="62" t="s">
        <v>41</v>
      </c>
      <c r="R96" s="88" t="str">
        <f ca="1">IF(AND($P$94&gt;$D$11,$P$95&gt;$D$12),$R$101,IF(AND($P$94&gt;$D$11,$P$95&lt;=$D$12),$R$105,IF(AND($P$94&lt;=$D$11,$P$95&gt;$D$12),$R$109,IF(AND($P$94&lt;=$D$11,$P$95&lt;=$D$12),$R$113))))</f>
        <v>Brg. Lx = (dy-B)*(dx/dy)</v>
      </c>
      <c r="Y96" s="60"/>
      <c r="Z96" s="60"/>
      <c r="AA96" s="40"/>
      <c r="AB96" s="40"/>
      <c r="AC96" s="40"/>
      <c r="AD96" s="41"/>
      <c r="AE96" s="41"/>
      <c r="AF96" s="41"/>
      <c r="AG96" s="41"/>
      <c r="AH96" s="40"/>
      <c r="AI96" s="40"/>
      <c r="AJ96" s="40"/>
      <c r="AK96" s="40"/>
      <c r="AL96" s="40"/>
      <c r="AM96" s="40"/>
      <c r="AN96" s="40"/>
      <c r="AO96" s="40"/>
      <c r="AP96" s="40"/>
      <c r="AQ96" s="40"/>
      <c r="AR96" s="40"/>
      <c r="AS96" s="41"/>
      <c r="AT96" s="41"/>
      <c r="AU96" s="60"/>
      <c r="AV96" s="60"/>
      <c r="AW96" s="60"/>
      <c r="AX96" s="60"/>
      <c r="AY96" s="24"/>
    </row>
    <row r="97" spans="2:51">
      <c r="B97" s="148" t="s">
        <v>370</v>
      </c>
      <c r="C97" s="115">
        <f ca="1">IF(AND($P$40=0,$P$41=0),$P$63,IF(AND($P$40&lt;&gt;0,$P$41=0),$P$71,IF(AND($P$40=0,$P$41&lt;&gt;0),$P$79,IF(AND($P$40&lt;&gt;0,$P$41&lt;&gt;0,ABS(6*$P$40/$D$11)+ABS(6*$P$41/$D$12)&lt;=1),$P$86,IF(AND($P$40&lt;&gt;0,$P$41&lt;&gt;0,ABS(6*$P$40/$D$11)+ABS(6*$P$41/$D$12)&gt;1),$P$93)))))</f>
        <v>3.8355308333333333</v>
      </c>
      <c r="D97" s="49" t="s">
        <v>42</v>
      </c>
      <c r="E97" s="97"/>
      <c r="F97" s="24"/>
      <c r="G97" s="24"/>
      <c r="H97" s="24"/>
      <c r="I97" s="24"/>
      <c r="J97" s="24"/>
      <c r="K97" s="30"/>
      <c r="M97" s="119"/>
      <c r="O97" s="131" t="str">
        <f ca="1">IF(AND($P$94&gt;$D$11,$P$95&gt;$D$12),$O$102,IF(AND($P$94&gt;$D$11,$P$95&lt;=$D$12),$O$106,IF(AND($P$94&lt;=$D$11,$P$95&gt;$D$12),$O$110,IF(AND($P$94&lt;=$D$11,$P$95&lt;=$D$12),$O$114))))</f>
        <v>Brg. Ly =</v>
      </c>
      <c r="P97" s="60" t="str">
        <f ca="1">IF(AND($P$94&gt;$D$11,$P$95&gt;$D$12),$P$102,IF(AND($P$94&gt;$D$11,$P$95&lt;=$D$12),$P$106,IF(AND($P$94&lt;=$D$11,$P$95&gt;$D$12),$P$110,IF(AND($P$94&lt;=$D$11,$P$95&lt;=$D$12),$P$114))))</f>
        <v>N.A.</v>
      </c>
      <c r="Q97" s="62" t="s">
        <v>41</v>
      </c>
      <c r="R97" s="88" t="str">
        <f ca="1">IF(AND($P$94&gt;$D$11,$P$95&gt;$D$12),$R$102,IF(AND($P$94&gt;$D$11,$P$95&lt;=$D$12),$R$106,IF(AND($P$94&lt;=$D$11,$P$95&gt;$D$12),$R$110,IF(AND($P$94&lt;=$D$11,$P$95&lt;=$D$12),$R$114))))</f>
        <v>Brg. Ly = (dx-L)*(dy/dx)</v>
      </c>
      <c r="Y97" s="60"/>
      <c r="Z97" s="60"/>
      <c r="AA97" s="40"/>
      <c r="AB97" s="40"/>
      <c r="AC97" s="40"/>
      <c r="AD97" s="41"/>
      <c r="AE97" s="41"/>
      <c r="AF97" s="41"/>
      <c r="AG97" s="41"/>
      <c r="AH97" s="40"/>
      <c r="AI97" s="40"/>
      <c r="AJ97" s="40"/>
      <c r="AK97" s="40"/>
      <c r="AL97" s="40"/>
      <c r="AM97" s="40"/>
      <c r="AN97" s="40"/>
      <c r="AO97" s="40"/>
      <c r="AP97" s="40"/>
      <c r="AQ97" s="40"/>
      <c r="AR97" s="40"/>
      <c r="AS97" s="41"/>
      <c r="AT97" s="41"/>
      <c r="AU97" s="60"/>
      <c r="AV97" s="60"/>
      <c r="AW97" s="60"/>
      <c r="AX97" s="60"/>
      <c r="AY97" s="24"/>
    </row>
    <row r="98" spans="2:51">
      <c r="B98" s="23"/>
      <c r="C98" s="24"/>
      <c r="D98" s="24"/>
      <c r="E98" s="24"/>
      <c r="F98" s="155" t="s">
        <v>224</v>
      </c>
      <c r="G98" s="144" t="s">
        <v>225</v>
      </c>
      <c r="H98" s="24"/>
      <c r="I98" s="24"/>
      <c r="J98" s="24"/>
      <c r="K98" s="30"/>
      <c r="M98" s="120"/>
      <c r="O98" s="68" t="s">
        <v>179</v>
      </c>
      <c r="P98" s="79" t="str">
        <f ca="1">IF(AND($P$94&gt;$D$11,$P$95&gt;$D$12),$P$103,IF(AND($P$94&gt;$D$11,$P$95&lt;=$D$12),$P$107,IF(AND($P$94&lt;=$D$11,$P$95&gt;$D$12),$P$111,IF(AND($P$94&lt;=$D$11,$P$95&lt;=$D$12),$P$115))))</f>
        <v>N.A.</v>
      </c>
      <c r="Q98" s="76" t="s">
        <v>152</v>
      </c>
      <c r="R98" s="88" t="str">
        <f ca="1">IF(AND($P$94&gt;$D$11,$P$95&gt;$D$12),$R$103,IF(AND($P$94&gt;$D$11,$P$95&lt;=$D$12),$R$107,IF(AND($P$94&lt;=$D$11,$P$95&gt;$D$12),$R$111,IF(AND($P$94&lt;=$D$11,$P$95&lt;=$D$12),$R$115))))</f>
        <v>% Brg. Area = (L*B-(L-Lx)*(B-Ly)/2)/(L*B)*100</v>
      </c>
      <c r="Y98" s="60"/>
      <c r="Z98" s="60"/>
      <c r="AA98" s="40"/>
      <c r="AB98" s="40"/>
      <c r="AC98" s="40"/>
      <c r="AD98" s="41"/>
      <c r="AE98" s="41"/>
      <c r="AF98" s="41"/>
      <c r="AG98" s="41"/>
      <c r="AH98" s="40"/>
      <c r="AI98" s="40"/>
      <c r="AJ98" s="40"/>
      <c r="AK98" s="40"/>
      <c r="AL98" s="40"/>
      <c r="AM98" s="40"/>
      <c r="AN98" s="40"/>
      <c r="AO98" s="40"/>
      <c r="AP98" s="40"/>
      <c r="AQ98" s="40"/>
      <c r="AR98" s="40"/>
      <c r="AS98" s="41"/>
      <c r="AT98" s="41"/>
      <c r="AU98" s="60"/>
      <c r="AV98" s="60"/>
      <c r="AW98" s="60"/>
      <c r="AX98" s="60"/>
      <c r="AY98" s="24"/>
    </row>
    <row r="99" spans="2:51">
      <c r="B99" s="23"/>
      <c r="C99" s="24"/>
      <c r="D99" s="24"/>
      <c r="E99" s="24"/>
      <c r="F99" s="24"/>
      <c r="G99" s="156" t="s">
        <v>226</v>
      </c>
      <c r="H99" s="24"/>
      <c r="I99" s="24"/>
      <c r="J99" s="24"/>
      <c r="K99" s="30"/>
      <c r="M99" s="120"/>
      <c r="O99" s="87" t="s">
        <v>337</v>
      </c>
      <c r="P99" s="58" t="str">
        <f ca="1">IF(AND($P$40&lt;&gt;0,$P$41&lt;&gt;0,$P$91&gt;1),IF(AND($P$94&gt;$D$11,$P$95&gt;$D$12),"Case 1",IF(AND($P$94&gt;$D$11,$P$95&lt;=$D$12),"Case 2",IF(AND($P$94&lt;=$D$11,$P$95&gt;$D$12),"Case 3",IF(AND($P$94&lt;=$D$11,$P$95&lt;=$D$12),"Case 4")))),"N.A.")</f>
        <v>N.A.</v>
      </c>
      <c r="Q99" s="244"/>
      <c r="R99" s="62" t="str">
        <f ca="1">IF(AND($P$40&lt;&gt;0,$P$41&lt;&gt;0),"ABS(6*ex/L)+(ABS(6*ey/B) = "&amp;ROUND($P$91,3),"")</f>
        <v/>
      </c>
      <c r="Y99" s="60"/>
      <c r="Z99" s="60"/>
      <c r="AA99" s="40"/>
      <c r="AB99" s="40"/>
      <c r="AC99" s="40"/>
      <c r="AD99" s="41"/>
      <c r="AE99" s="41"/>
      <c r="AF99" s="41"/>
      <c r="AG99" s="41"/>
      <c r="AH99" s="40"/>
      <c r="AI99" s="40"/>
      <c r="AJ99" s="40"/>
      <c r="AK99" s="40"/>
      <c r="AL99" s="40"/>
      <c r="AM99" s="40"/>
      <c r="AN99" s="40"/>
      <c r="AO99" s="40"/>
      <c r="AP99" s="40"/>
      <c r="AQ99" s="40"/>
      <c r="AR99" s="40"/>
      <c r="AS99" s="41"/>
      <c r="AT99" s="41"/>
      <c r="AU99" s="60"/>
      <c r="AV99" s="60"/>
      <c r="AW99" s="60"/>
      <c r="AX99" s="60"/>
      <c r="AY99" s="24"/>
    </row>
    <row r="100" spans="2:51">
      <c r="B100" s="149"/>
      <c r="C100" s="122" t="str">
        <f ca="1">"P3="&amp;ROUND($C$96,3)&amp;" ksf               "</f>
        <v xml:space="preserve">P3=3,836 ksf               </v>
      </c>
      <c r="D100" s="24"/>
      <c r="E100" s="50" t="str">
        <f ca="1">"P2="&amp;ROUND($C$95,3)&amp;" ksf"</f>
        <v>P2=1,279 ksf</v>
      </c>
      <c r="F100" s="24"/>
      <c r="G100" s="143"/>
      <c r="H100" s="24"/>
      <c r="I100" s="24"/>
      <c r="J100" s="24"/>
      <c r="K100" s="30"/>
      <c r="M100" s="119"/>
      <c r="O100" s="132" t="s">
        <v>199</v>
      </c>
      <c r="P100" s="68"/>
      <c r="Q100" s="58"/>
      <c r="R100" s="76"/>
      <c r="Y100" s="60"/>
      <c r="Z100" s="60"/>
      <c r="AA100" s="40"/>
      <c r="AB100" s="40"/>
      <c r="AC100" s="40"/>
      <c r="AD100" s="41"/>
      <c r="AE100" s="41"/>
      <c r="AF100" s="41"/>
      <c r="AG100" s="41"/>
      <c r="AH100" s="40"/>
      <c r="AI100" s="40"/>
      <c r="AJ100" s="40"/>
      <c r="AK100" s="40"/>
      <c r="AL100" s="40"/>
      <c r="AM100" s="40"/>
      <c r="AN100" s="40"/>
      <c r="AO100" s="40"/>
      <c r="AP100" s="40"/>
      <c r="AQ100" s="40"/>
      <c r="AR100" s="40"/>
      <c r="AS100" s="41"/>
      <c r="AT100" s="41"/>
      <c r="AU100" s="60"/>
      <c r="AV100" s="60"/>
      <c r="AW100" s="60"/>
      <c r="AX100" s="60"/>
      <c r="AY100" s="24"/>
    </row>
    <row r="101" spans="2:51">
      <c r="B101" s="150"/>
      <c r="C101" s="123"/>
      <c r="D101" s="24"/>
      <c r="E101" s="24"/>
      <c r="F101" s="24"/>
      <c r="G101" s="157"/>
      <c r="H101" s="24"/>
      <c r="I101" s="24"/>
      <c r="J101" s="143"/>
      <c r="K101" s="30"/>
      <c r="M101" s="119"/>
      <c r="O101" s="68" t="s">
        <v>132</v>
      </c>
      <c r="P101" s="61" t="str">
        <f ca="1">IF(AND($P$40&lt;&gt;0,$P$41&lt;&gt;0),IF(AND($P$94&gt;$D$11,$P$95&gt;$D$12),IF($P$91&gt;1,($P$95-$D$12)*($P$94/$P$95),"N.A."),"N.A."),"N.A.")</f>
        <v>N.A.</v>
      </c>
      <c r="Q101" s="62" t="s">
        <v>41</v>
      </c>
      <c r="R101" s="62" t="s">
        <v>196</v>
      </c>
      <c r="S101" s="64"/>
      <c r="T101" s="64"/>
      <c r="U101" s="64"/>
      <c r="V101" s="64"/>
      <c r="W101" s="84"/>
      <c r="Y101" s="60"/>
      <c r="Z101" s="60"/>
      <c r="AA101" s="40"/>
      <c r="AB101" s="40"/>
      <c r="AC101" s="40"/>
      <c r="AD101" s="41"/>
      <c r="AE101" s="41"/>
      <c r="AF101" s="41"/>
      <c r="AG101" s="41"/>
      <c r="AH101" s="40"/>
      <c r="AI101" s="40"/>
      <c r="AJ101" s="40"/>
      <c r="AK101" s="40"/>
      <c r="AL101" s="40"/>
      <c r="AM101" s="40"/>
      <c r="AN101" s="40"/>
      <c r="AO101" s="40"/>
      <c r="AP101" s="40"/>
      <c r="AQ101" s="40"/>
      <c r="AR101" s="40"/>
      <c r="AS101" s="41"/>
      <c r="AT101" s="41"/>
      <c r="AU101" s="60"/>
      <c r="AV101" s="60"/>
      <c r="AW101" s="60"/>
      <c r="AX101" s="60"/>
      <c r="AY101" s="24"/>
    </row>
    <row r="102" spans="2:51">
      <c r="B102" s="151"/>
      <c r="C102" s="24"/>
      <c r="D102" s="124"/>
      <c r="E102" s="24"/>
      <c r="F102" s="24"/>
      <c r="G102" s="24"/>
      <c r="H102" s="24"/>
      <c r="I102" s="24"/>
      <c r="J102" s="24"/>
      <c r="K102" s="30"/>
      <c r="O102" s="68" t="s">
        <v>135</v>
      </c>
      <c r="P102" s="61" t="str">
        <f ca="1">IF(AND($P$40&lt;&gt;0,$P$41&lt;&gt;0),IF(AND($P$94&gt;$D$11,$P$95&gt;$D$12),IF($P$91&gt;1,($P$94-$D$11)*($P$95/$P$94),"N.A."),"N.A."),"N.A.")</f>
        <v>N.A.</v>
      </c>
      <c r="Q102" s="62" t="s">
        <v>41</v>
      </c>
      <c r="R102" s="62" t="s">
        <v>197</v>
      </c>
      <c r="S102" s="64"/>
      <c r="T102" s="64"/>
      <c r="U102" s="64"/>
      <c r="V102" s="64"/>
      <c r="W102" s="84"/>
      <c r="AY102" s="24"/>
    </row>
    <row r="103" spans="2:51">
      <c r="B103" s="152" t="str">
        <f ca="1">"P4="&amp;ROUND($C$97,3)&amp;" ksf"</f>
        <v>P4=3,836 ksf</v>
      </c>
      <c r="C103" s="48"/>
      <c r="D103" s="118" t="str">
        <f ca="1">"         P1="&amp;ROUND($C$94,3)&amp;" ksf"</f>
        <v xml:space="preserve">         P1=1,279 ksf</v>
      </c>
      <c r="E103" s="50"/>
      <c r="F103" s="24"/>
      <c r="G103" s="24"/>
      <c r="H103" s="24"/>
      <c r="I103" s="24"/>
      <c r="J103" s="24"/>
      <c r="K103" s="30"/>
      <c r="O103" s="68" t="s">
        <v>179</v>
      </c>
      <c r="P103" s="79" t="str">
        <f ca="1">IF(AND($P$40&lt;&gt;0,$P$41&lt;&gt;0),IF(AND($P$94&gt;$D$11,$P$95&gt;$D$12),IF($P$91&gt;1,($D$11*$D$12-($D$11-$P$101)*($D$12-$P$102)/2)/($D$11*$D$12)*100,"N.A."),"N.A."),"N.A.")</f>
        <v>N.A.</v>
      </c>
      <c r="Q103" s="76" t="s">
        <v>152</v>
      </c>
      <c r="R103" s="62" t="s">
        <v>348</v>
      </c>
      <c r="S103" s="64"/>
      <c r="T103" s="64"/>
      <c r="U103" s="64"/>
      <c r="V103" s="64"/>
      <c r="W103" s="84"/>
      <c r="AY103" s="24"/>
    </row>
    <row r="104" spans="2:51">
      <c r="B104" s="23"/>
      <c r="C104" s="51" t="s">
        <v>184</v>
      </c>
      <c r="D104" s="52"/>
      <c r="E104" s="24"/>
      <c r="F104" s="24"/>
      <c r="G104" s="24"/>
      <c r="H104" s="24"/>
      <c r="I104" s="24"/>
      <c r="J104" s="143"/>
      <c r="K104" s="30"/>
      <c r="O104" s="132" t="s">
        <v>200</v>
      </c>
      <c r="P104" s="61"/>
      <c r="Q104" s="76"/>
      <c r="R104" s="76"/>
      <c r="W104" s="84"/>
      <c r="AY104" s="24"/>
    </row>
    <row r="105" spans="2:51">
      <c r="B105" s="159"/>
      <c r="C105" s="160"/>
      <c r="D105" s="160"/>
      <c r="E105" s="161"/>
      <c r="F105" s="24"/>
      <c r="G105" s="24"/>
      <c r="H105" s="24"/>
      <c r="I105" s="24"/>
      <c r="J105" s="143"/>
      <c r="K105" s="30"/>
      <c r="O105" s="68" t="s">
        <v>170</v>
      </c>
      <c r="P105" s="61" t="str">
        <f ca="1">IF(AND($P$40&lt;&gt;0,$P$41&lt;&gt;0),IF(AND($P$94&gt;$D$11,$P$95&lt;=$D$12),IF($P$91&gt;1,($P$94-$D$11)*($P$95/$P$94),"N.A."),"N.A."),"N.A.")</f>
        <v>N.A.</v>
      </c>
      <c r="Q105" s="62" t="s">
        <v>41</v>
      </c>
      <c r="R105" s="76" t="s">
        <v>198</v>
      </c>
      <c r="S105" s="64"/>
      <c r="T105" s="64"/>
      <c r="U105" s="64"/>
      <c r="V105" s="64"/>
      <c r="W105" s="84"/>
      <c r="AY105" s="24"/>
    </row>
    <row r="106" spans="2:51">
      <c r="B106" s="44" t="s">
        <v>236</v>
      </c>
      <c r="C106" s="197"/>
      <c r="D106" s="197"/>
      <c r="E106" s="161"/>
      <c r="F106" s="24"/>
      <c r="G106" s="24"/>
      <c r="H106" s="24"/>
      <c r="I106" s="24"/>
      <c r="J106" s="24"/>
      <c r="K106" s="30"/>
      <c r="O106" s="68" t="s">
        <v>171</v>
      </c>
      <c r="P106" s="61" t="str">
        <f ca="1">IF(AND($P$40&lt;&gt;0,$P$41&lt;&gt;0),IF(AND($P$94&gt;$D$11,$P$95&lt;=$D$12),IF($P$91&gt;1,$P$95,"N.A."),"N.A."),"N.A.")</f>
        <v>N.A.</v>
      </c>
      <c r="Q106" s="62" t="s">
        <v>41</v>
      </c>
      <c r="R106" s="76" t="s">
        <v>172</v>
      </c>
      <c r="S106" s="64"/>
      <c r="T106" s="64"/>
      <c r="U106" s="64"/>
      <c r="V106" s="64"/>
      <c r="W106" s="84"/>
      <c r="AY106" s="24"/>
    </row>
    <row r="107" spans="2:51">
      <c r="B107" s="196" t="s">
        <v>237</v>
      </c>
      <c r="C107" s="24" t="s">
        <v>238</v>
      </c>
      <c r="D107" s="24"/>
      <c r="E107" s="197"/>
      <c r="F107" s="24"/>
      <c r="G107" s="24"/>
      <c r="H107" s="24"/>
      <c r="I107" s="24"/>
      <c r="J107" s="24"/>
      <c r="K107" s="30"/>
      <c r="O107" s="68" t="s">
        <v>179</v>
      </c>
      <c r="P107" s="33" t="str">
        <f ca="1">IF(AND($P$40&lt;&gt;0,$P$41&lt;&gt;0),IF(AND($P$94&gt;$D$11,$P$95&lt;=$D$12),IF($P$91&gt;1,($D$11*($P$106+$P$105)/2)/($D$11*$D$12)*100,"N.A."),"N.A."),"N.A.")</f>
        <v>N.A.</v>
      </c>
      <c r="Q107" s="76" t="s">
        <v>152</v>
      </c>
      <c r="R107" s="62" t="s">
        <v>351</v>
      </c>
      <c r="S107" s="64"/>
      <c r="T107" s="64"/>
      <c r="U107" s="64"/>
      <c r="V107" s="64"/>
      <c r="W107" s="84"/>
      <c r="AY107" s="24"/>
    </row>
    <row r="108" spans="2:51">
      <c r="B108" s="196" t="s">
        <v>237</v>
      </c>
      <c r="C108" s="198">
        <f ca="1">IF(MAX($C$94:$C$97)-($D$15+$D$13)*$D$16&lt;0,0,MAX($C$94:$C$97)-($D$15+$D$13)*$D$16)</f>
        <v>3.3952008333333334</v>
      </c>
      <c r="D108" s="49" t="s">
        <v>42</v>
      </c>
      <c r="E108" s="162"/>
      <c r="F108" s="24"/>
      <c r="G108" s="24"/>
      <c r="H108" s="24"/>
      <c r="I108" s="24"/>
      <c r="J108" s="24"/>
      <c r="K108" s="30"/>
      <c r="O108" s="132" t="s">
        <v>201</v>
      </c>
      <c r="P108" s="61"/>
      <c r="Q108" s="76"/>
      <c r="R108" s="76"/>
      <c r="W108" s="84"/>
      <c r="AY108" s="24"/>
    </row>
    <row r="109" spans="2:51">
      <c r="B109" s="23"/>
      <c r="C109" s="24"/>
      <c r="D109" s="24"/>
      <c r="E109" s="24"/>
      <c r="F109" s="24"/>
      <c r="G109" s="24"/>
      <c r="H109" s="24"/>
      <c r="I109" s="24"/>
      <c r="J109" s="24"/>
      <c r="K109" s="30"/>
      <c r="O109" s="68" t="s">
        <v>173</v>
      </c>
      <c r="P109" s="61" t="str">
        <f ca="1">IF(AND($P$40&lt;&gt;0,$P$41&lt;&gt;0),IF(AND($P$94&lt;=$D$11,$P$95&gt;$D$12),IF($P$91&gt;1,($P$95-$D$12)*($P$94/$P$95),"N.A."),"N.A."),"N.A.")</f>
        <v>N.A.</v>
      </c>
      <c r="Q109" s="62" t="s">
        <v>41</v>
      </c>
      <c r="R109" s="76" t="s">
        <v>203</v>
      </c>
      <c r="T109" s="90"/>
      <c r="AY109" s="24"/>
    </row>
    <row r="110" spans="2:51">
      <c r="B110" s="163"/>
      <c r="C110" s="164"/>
      <c r="D110" s="164"/>
      <c r="E110" s="164"/>
      <c r="F110" s="31"/>
      <c r="G110" s="31"/>
      <c r="H110" s="31"/>
      <c r="I110" s="31"/>
      <c r="J110" s="31"/>
      <c r="K110" s="121"/>
      <c r="O110" s="68" t="s">
        <v>174</v>
      </c>
      <c r="P110" s="61" t="str">
        <f ca="1">IF(AND($P$40&lt;&gt;0,$P$41&lt;&gt;0),IF(AND($P$94&lt;=$D$11,$P$95&gt;$D$12),IF($P$91&gt;1,$P$94,"N.A."),"N.A."),"N.A.")</f>
        <v>N.A.</v>
      </c>
      <c r="Q110" s="62" t="s">
        <v>41</v>
      </c>
      <c r="R110" s="76" t="s">
        <v>175</v>
      </c>
      <c r="T110" s="70"/>
      <c r="U110" s="33"/>
      <c r="AY110" s="24"/>
    </row>
    <row r="111" spans="2:51">
      <c r="O111" s="68" t="s">
        <v>179</v>
      </c>
      <c r="P111" s="33" t="str">
        <f ca="1">IF(AND($P$40&lt;&gt;0,$P$41&lt;&gt;0),IF(AND($P$94&lt;=$D$11,$P$95&gt;$D$12),IF($P$91&gt;1,($D$12*($P$110+$P$109)/2)/($D$11*$D$12)*100,"N.A."),"N.A."),"N.A.")</f>
        <v>N.A.</v>
      </c>
      <c r="Q111" s="76" t="s">
        <v>152</v>
      </c>
      <c r="R111" s="62" t="s">
        <v>350</v>
      </c>
      <c r="T111" s="70"/>
      <c r="U111" s="33"/>
    </row>
    <row r="112" spans="2:51">
      <c r="J112" s="97"/>
      <c r="O112" s="132" t="s">
        <v>202</v>
      </c>
      <c r="P112" s="61"/>
      <c r="Q112" s="76"/>
      <c r="R112" s="76"/>
      <c r="T112" s="70"/>
      <c r="U112" s="33"/>
    </row>
    <row r="113" spans="2:21">
      <c r="J113" s="138"/>
      <c r="O113" s="68" t="s">
        <v>132</v>
      </c>
      <c r="P113" s="61" t="str">
        <f ca="1">IF(AND($P$40&lt;&gt;0,$P$41&lt;&gt;0),IF(AND($P$94&lt;=$D$11,$P$95&lt;=$D$12),IF($P$91&gt;1,$P$94,"N.A."),"N.A."),"N.A.")</f>
        <v>N.A.</v>
      </c>
      <c r="Q113" s="62" t="s">
        <v>41</v>
      </c>
      <c r="R113" s="76" t="s">
        <v>176</v>
      </c>
      <c r="T113" s="70"/>
      <c r="U113" s="77"/>
    </row>
    <row r="114" spans="2:21">
      <c r="J114" s="138"/>
      <c r="O114" s="68" t="s">
        <v>135</v>
      </c>
      <c r="P114" s="61" t="str">
        <f ca="1">IF(AND($P$40&lt;&gt;0,$P$41&lt;&gt;0),IF(AND($P$94&lt;=$D$11,$P$95&lt;=$D$12),IF($P$91&gt;1,$P$95,"N.A."),"N.A."),"N.A.")</f>
        <v>N.A.</v>
      </c>
      <c r="Q114" s="62" t="s">
        <v>41</v>
      </c>
      <c r="R114" s="76" t="s">
        <v>177</v>
      </c>
      <c r="T114" s="70"/>
      <c r="U114" s="77"/>
    </row>
    <row r="115" spans="2:21">
      <c r="J115" s="138"/>
      <c r="O115" s="68" t="s">
        <v>179</v>
      </c>
      <c r="P115" s="33" t="str">
        <f ca="1">IF(AND($P$40&lt;&gt;0,$P$41&lt;&gt;0),IF(AND($P$94&lt;=$D$11,$P$95&lt;=$D$12),IF($P$91&gt;1,($P$94*$P$95/2)/($D$11*$D$12)*100,"N.A."),"N.A."),"N.A.")</f>
        <v>N.A.</v>
      </c>
      <c r="Q115" s="76" t="s">
        <v>152</v>
      </c>
      <c r="R115" s="62" t="s">
        <v>349</v>
      </c>
      <c r="T115" s="70"/>
      <c r="U115" s="41"/>
    </row>
    <row r="116" spans="2:21">
      <c r="J116" s="138"/>
      <c r="P116" s="85"/>
      <c r="Q116" s="40"/>
      <c r="R116" s="40"/>
    </row>
    <row r="117" spans="2:21">
      <c r="J117" s="99"/>
    </row>
    <row r="118" spans="2:21">
      <c r="J118" s="89"/>
    </row>
    <row r="119" spans="2:21">
      <c r="J119" s="97"/>
    </row>
    <row r="120" spans="2:21">
      <c r="B120" s="138"/>
      <c r="I120" s="89"/>
      <c r="J120" s="100"/>
      <c r="P120" s="68"/>
      <c r="Q120" s="61"/>
      <c r="R120" s="40"/>
    </row>
    <row r="121" spans="2:21">
      <c r="B121" s="138"/>
      <c r="I121" s="89"/>
      <c r="J121" s="100"/>
      <c r="P121" s="85"/>
      <c r="Q121" s="40"/>
      <c r="R121" s="40"/>
    </row>
    <row r="122" spans="2:21">
      <c r="B122" s="138"/>
      <c r="I122" s="139"/>
      <c r="J122" s="97"/>
      <c r="P122" s="85"/>
      <c r="Q122" s="40"/>
      <c r="R122" s="40"/>
    </row>
    <row r="123" spans="2:21">
      <c r="B123" s="138"/>
      <c r="I123" s="22"/>
      <c r="J123" s="97"/>
      <c r="P123" s="85"/>
      <c r="Q123" s="40"/>
      <c r="R123" s="40"/>
    </row>
    <row r="124" spans="2:21">
      <c r="B124" s="138"/>
      <c r="I124" s="140"/>
      <c r="J124" s="97"/>
      <c r="P124" s="85"/>
      <c r="Q124" s="40"/>
      <c r="R124" s="40"/>
    </row>
    <row r="125" spans="2:21">
      <c r="B125" s="138"/>
      <c r="I125" s="140"/>
      <c r="J125" s="97"/>
      <c r="P125" s="85"/>
      <c r="Q125" s="40"/>
      <c r="R125" s="40"/>
    </row>
    <row r="126" spans="2:21">
      <c r="B126" s="138"/>
      <c r="I126" s="22"/>
      <c r="J126" s="97"/>
      <c r="P126" s="85"/>
      <c r="Q126" s="40"/>
      <c r="R126" s="40"/>
    </row>
    <row r="127" spans="2:21">
      <c r="B127" s="97"/>
      <c r="I127" s="22"/>
      <c r="J127" s="97"/>
      <c r="P127" s="85"/>
      <c r="Q127" s="40"/>
      <c r="R127" s="40"/>
    </row>
    <row r="128" spans="2:21">
      <c r="B128" s="97"/>
      <c r="I128" s="22"/>
      <c r="J128" s="101"/>
      <c r="P128" s="85"/>
      <c r="Q128" s="40"/>
      <c r="R128" s="40"/>
    </row>
    <row r="129" spans="2:18">
      <c r="B129" s="97"/>
      <c r="I129" s="22"/>
      <c r="J129" s="98"/>
      <c r="P129" s="85"/>
      <c r="Q129" s="40"/>
      <c r="R129" s="40"/>
    </row>
    <row r="130" spans="2:18">
      <c r="B130" s="97"/>
      <c r="I130" s="22"/>
      <c r="J130" s="91"/>
      <c r="P130" s="85"/>
      <c r="Q130" s="40"/>
      <c r="R130" s="40"/>
    </row>
    <row r="131" spans="2:18">
      <c r="B131" s="97"/>
      <c r="I131" s="137"/>
      <c r="J131" s="97"/>
      <c r="P131" s="85"/>
      <c r="Q131" s="40"/>
      <c r="R131" s="40"/>
    </row>
    <row r="132" spans="2:18">
      <c r="B132" s="97"/>
      <c r="I132" s="89"/>
      <c r="J132" s="97"/>
      <c r="P132" s="85"/>
      <c r="Q132" s="40"/>
      <c r="R132" s="40"/>
    </row>
    <row r="133" spans="2:18">
      <c r="B133" s="54"/>
      <c r="I133" s="91"/>
      <c r="J133" s="97"/>
      <c r="P133" s="85"/>
      <c r="Q133" s="40"/>
      <c r="R133" s="40"/>
    </row>
    <row r="134" spans="2:18">
      <c r="B134" s="97"/>
      <c r="I134" s="22"/>
      <c r="J134" s="97"/>
      <c r="P134" s="85"/>
      <c r="Q134" s="40"/>
      <c r="R134" s="40"/>
    </row>
    <row r="135" spans="2:18">
      <c r="B135" s="97"/>
      <c r="I135" s="22"/>
      <c r="J135" s="101"/>
      <c r="P135" s="85"/>
      <c r="Q135" s="40"/>
      <c r="R135" s="40"/>
    </row>
    <row r="136" spans="2:18">
      <c r="B136" s="97"/>
      <c r="I136" s="22"/>
      <c r="J136" s="98"/>
      <c r="P136" s="85"/>
      <c r="Q136" s="40"/>
    </row>
    <row r="137" spans="2:18">
      <c r="B137" s="97"/>
      <c r="I137" s="22"/>
      <c r="J137" s="91"/>
      <c r="P137" s="85"/>
      <c r="Q137" s="40"/>
    </row>
    <row r="138" spans="2:18">
      <c r="B138" s="55"/>
      <c r="I138" s="137"/>
      <c r="P138" s="85"/>
      <c r="Q138" s="40"/>
    </row>
    <row r="139" spans="2:18">
      <c r="B139" s="97"/>
      <c r="I139" s="89"/>
      <c r="P139" s="85"/>
      <c r="Q139" s="40"/>
      <c r="R139" s="40"/>
    </row>
    <row r="140" spans="2:18">
      <c r="B140" s="97"/>
      <c r="I140" s="91"/>
    </row>
    <row r="141" spans="2:18">
      <c r="B141" s="97"/>
      <c r="I141" s="91"/>
      <c r="P141" s="68"/>
      <c r="Q141" s="58"/>
      <c r="R141" s="71"/>
    </row>
    <row r="142" spans="2:18">
      <c r="B142" s="97"/>
      <c r="I142" s="91"/>
      <c r="P142" s="68"/>
      <c r="Q142" s="58"/>
      <c r="R142" s="76"/>
    </row>
    <row r="143" spans="2:18">
      <c r="B143" s="97"/>
      <c r="I143" s="91"/>
      <c r="P143" s="68"/>
      <c r="Q143" s="58"/>
      <c r="R143" s="76"/>
    </row>
    <row r="144" spans="2:18">
      <c r="B144" s="97"/>
      <c r="I144" s="91"/>
      <c r="P144" s="85"/>
      <c r="Q144" s="58"/>
      <c r="R144" s="71"/>
    </row>
    <row r="145" spans="2:18">
      <c r="B145" s="97"/>
      <c r="I145" s="91"/>
      <c r="P145" s="85"/>
      <c r="Q145" s="40"/>
      <c r="R145" s="40"/>
    </row>
    <row r="146" spans="2:18">
      <c r="B146" s="97"/>
      <c r="I146" s="91"/>
    </row>
    <row r="147" spans="2:18">
      <c r="P147" s="68"/>
      <c r="Q147" s="58"/>
      <c r="R147" s="71"/>
    </row>
    <row r="148" spans="2:18">
      <c r="P148" s="68"/>
      <c r="Q148" s="58"/>
      <c r="R148" s="76"/>
    </row>
    <row r="149" spans="2:18">
      <c r="P149" s="68"/>
      <c r="Q149" s="58"/>
      <c r="R149" s="76"/>
    </row>
    <row r="150" spans="2:18">
      <c r="P150" s="85"/>
      <c r="Q150" s="58"/>
      <c r="R150" s="71"/>
    </row>
    <row r="152" spans="2:18">
      <c r="P152" s="68"/>
      <c r="Q152" s="61"/>
      <c r="R152" s="40"/>
    </row>
    <row r="153" spans="2:18">
      <c r="P153" s="85"/>
      <c r="Q153" s="40"/>
      <c r="R153" s="40"/>
    </row>
    <row r="154" spans="2:18">
      <c r="P154" s="85"/>
      <c r="Q154" s="40"/>
      <c r="R154" s="40"/>
    </row>
    <row r="155" spans="2:18">
      <c r="P155" s="85"/>
      <c r="Q155" s="40"/>
      <c r="R155" s="40"/>
    </row>
    <row r="156" spans="2:18">
      <c r="P156" s="85"/>
      <c r="Q156" s="40"/>
      <c r="R156" s="40"/>
    </row>
    <row r="157" spans="2:18">
      <c r="P157" s="85"/>
      <c r="Q157" s="40"/>
      <c r="R157" s="40"/>
    </row>
    <row r="158" spans="2:18">
      <c r="P158" s="85"/>
      <c r="Q158" s="40"/>
      <c r="R158" s="40"/>
    </row>
    <row r="159" spans="2:18">
      <c r="P159" s="85"/>
      <c r="Q159" s="40"/>
      <c r="R159" s="40"/>
    </row>
    <row r="160" spans="2:18">
      <c r="P160" s="85"/>
      <c r="Q160" s="40"/>
      <c r="R160" s="40"/>
    </row>
    <row r="161" spans="16:18">
      <c r="P161" s="85"/>
      <c r="Q161" s="40"/>
      <c r="R161" s="40"/>
    </row>
    <row r="162" spans="16:18">
      <c r="P162" s="85"/>
      <c r="Q162" s="40"/>
      <c r="R162" s="40"/>
    </row>
    <row r="163" spans="16:18">
      <c r="P163" s="85"/>
      <c r="Q163" s="40"/>
      <c r="R163" s="40"/>
    </row>
    <row r="164" spans="16:18">
      <c r="P164" s="85"/>
      <c r="Q164" s="40"/>
      <c r="R164" s="40"/>
    </row>
    <row r="165" spans="16:18">
      <c r="P165" s="85"/>
      <c r="Q165" s="40"/>
      <c r="R165" s="40"/>
    </row>
    <row r="166" spans="16:18">
      <c r="P166" s="85"/>
      <c r="Q166" s="40"/>
      <c r="R166" s="40"/>
    </row>
    <row r="167" spans="16:18">
      <c r="P167" s="85"/>
      <c r="Q167" s="40"/>
      <c r="R167" s="40"/>
    </row>
    <row r="168" spans="16:18">
      <c r="P168" s="85"/>
      <c r="Q168" s="40"/>
      <c r="R168" s="40"/>
    </row>
    <row r="169" spans="16:18">
      <c r="P169" s="85"/>
      <c r="Q169" s="40"/>
    </row>
    <row r="170" spans="16:18">
      <c r="P170" s="85"/>
      <c r="Q170" s="40"/>
    </row>
    <row r="171" spans="16:18">
      <c r="P171" s="85"/>
      <c r="Q171" s="40"/>
    </row>
    <row r="172" spans="16:18">
      <c r="P172" s="85"/>
      <c r="Q172" s="40"/>
      <c r="R172" s="40"/>
    </row>
    <row r="174" spans="16:18">
      <c r="P174" s="68"/>
      <c r="Q174" s="58"/>
      <c r="R174" s="71"/>
    </row>
    <row r="175" spans="16:18">
      <c r="P175" s="68"/>
      <c r="Q175" s="58"/>
      <c r="R175" s="76"/>
    </row>
    <row r="176" spans="16:18">
      <c r="P176" s="68"/>
      <c r="Q176" s="58"/>
      <c r="R176" s="76"/>
    </row>
    <row r="177" spans="16:18">
      <c r="P177" s="85"/>
      <c r="Q177" s="58"/>
      <c r="R177" s="71"/>
    </row>
    <row r="178" spans="16:18">
      <c r="P178" s="85"/>
      <c r="Q178" s="40"/>
      <c r="R178" s="40"/>
    </row>
    <row r="180" spans="16:18">
      <c r="P180" s="68"/>
      <c r="Q180" s="58"/>
      <c r="R180" s="71"/>
    </row>
    <row r="181" spans="16:18">
      <c r="P181" s="68"/>
      <c r="Q181" s="58"/>
      <c r="R181" s="76"/>
    </row>
    <row r="182" spans="16:18">
      <c r="P182" s="68"/>
      <c r="Q182" s="58"/>
      <c r="R182" s="76"/>
    </row>
    <row r="183" spans="16:18">
      <c r="P183" s="85"/>
      <c r="Q183" s="58"/>
      <c r="R183" s="71"/>
    </row>
    <row r="185" spans="16:18">
      <c r="P185" s="68"/>
      <c r="Q185" s="61"/>
      <c r="R185" s="40"/>
    </row>
    <row r="186" spans="16:18">
      <c r="P186" s="85"/>
      <c r="Q186" s="40"/>
      <c r="R186" s="40"/>
    </row>
    <row r="187" spans="16:18">
      <c r="P187" s="85"/>
      <c r="Q187" s="40"/>
      <c r="R187" s="40"/>
    </row>
    <row r="188" spans="16:18">
      <c r="P188" s="85"/>
      <c r="Q188" s="40"/>
      <c r="R188" s="40"/>
    </row>
    <row r="189" spans="16:18">
      <c r="P189" s="85"/>
      <c r="Q189" s="40"/>
      <c r="R189" s="40"/>
    </row>
    <row r="190" spans="16:18">
      <c r="P190" s="85"/>
      <c r="Q190" s="40"/>
      <c r="R190" s="40"/>
    </row>
    <row r="191" spans="16:18">
      <c r="P191" s="85"/>
      <c r="Q191" s="40"/>
      <c r="R191" s="40"/>
    </row>
    <row r="192" spans="16:18">
      <c r="P192" s="85"/>
      <c r="Q192" s="40"/>
      <c r="R192" s="40"/>
    </row>
    <row r="193" spans="16:18">
      <c r="P193" s="85"/>
      <c r="Q193" s="40"/>
      <c r="R193" s="40"/>
    </row>
    <row r="194" spans="16:18">
      <c r="P194" s="85"/>
      <c r="Q194" s="40"/>
      <c r="R194" s="40"/>
    </row>
    <row r="195" spans="16:18">
      <c r="P195" s="85"/>
      <c r="Q195" s="40"/>
      <c r="R195" s="40"/>
    </row>
    <row r="196" spans="16:18">
      <c r="P196" s="85"/>
      <c r="Q196" s="40"/>
      <c r="R196" s="40"/>
    </row>
    <row r="197" spans="16:18">
      <c r="P197" s="85"/>
      <c r="Q197" s="40"/>
      <c r="R197" s="40"/>
    </row>
    <row r="198" spans="16:18">
      <c r="P198" s="85"/>
      <c r="Q198" s="40"/>
      <c r="R198" s="40"/>
    </row>
    <row r="199" spans="16:18">
      <c r="P199" s="85"/>
      <c r="Q199" s="40"/>
      <c r="R199" s="40"/>
    </row>
    <row r="200" spans="16:18">
      <c r="P200" s="85"/>
      <c r="Q200" s="40"/>
      <c r="R200" s="40"/>
    </row>
    <row r="201" spans="16:18">
      <c r="P201" s="85"/>
      <c r="Q201" s="40"/>
      <c r="R201" s="40"/>
    </row>
    <row r="202" spans="16:18">
      <c r="P202" s="85"/>
      <c r="Q202" s="40"/>
    </row>
    <row r="203" spans="16:18">
      <c r="P203" s="85"/>
      <c r="Q203" s="40"/>
    </row>
    <row r="204" spans="16:18">
      <c r="P204" s="85"/>
      <c r="Q204" s="40"/>
    </row>
    <row r="205" spans="16:18">
      <c r="P205" s="85"/>
      <c r="Q205" s="40"/>
      <c r="R205" s="40"/>
    </row>
    <row r="207" spans="16:18">
      <c r="P207" s="68"/>
      <c r="Q207" s="58"/>
      <c r="R207" s="71"/>
    </row>
    <row r="208" spans="16:18">
      <c r="P208" s="68"/>
      <c r="Q208" s="58"/>
      <c r="R208" s="76"/>
    </row>
    <row r="209" spans="16:18">
      <c r="P209" s="68"/>
      <c r="Q209" s="58"/>
      <c r="R209" s="76"/>
    </row>
    <row r="210" spans="16:18">
      <c r="P210" s="85"/>
      <c r="Q210" s="58"/>
      <c r="R210" s="71"/>
    </row>
    <row r="211" spans="16:18">
      <c r="P211" s="85"/>
      <c r="Q211" s="40"/>
      <c r="R211" s="40"/>
    </row>
    <row r="213" spans="16:18">
      <c r="P213" s="68"/>
      <c r="Q213" s="58"/>
      <c r="R213" s="71"/>
    </row>
    <row r="214" spans="16:18">
      <c r="P214" s="68"/>
      <c r="Q214" s="58"/>
      <c r="R214" s="76"/>
    </row>
    <row r="215" spans="16:18">
      <c r="P215" s="68"/>
      <c r="Q215" s="58"/>
      <c r="R215" s="76"/>
    </row>
    <row r="216" spans="16:18">
      <c r="P216" s="85"/>
      <c r="Q216" s="58"/>
      <c r="R216" s="71"/>
    </row>
    <row r="218" spans="16:18">
      <c r="P218" s="68"/>
      <c r="Q218" s="61"/>
      <c r="R218" s="40"/>
    </row>
    <row r="219" spans="16:18">
      <c r="P219" s="85"/>
      <c r="Q219" s="40"/>
      <c r="R219" s="40"/>
    </row>
    <row r="220" spans="16:18">
      <c r="P220" s="85"/>
      <c r="Q220" s="40"/>
      <c r="R220" s="40"/>
    </row>
    <row r="221" spans="16:18">
      <c r="P221" s="85"/>
      <c r="Q221" s="40"/>
      <c r="R221" s="40"/>
    </row>
    <row r="222" spans="16:18">
      <c r="P222" s="85"/>
      <c r="Q222" s="40"/>
      <c r="R222" s="40"/>
    </row>
    <row r="223" spans="16:18">
      <c r="P223" s="85"/>
      <c r="Q223" s="40"/>
      <c r="R223" s="40"/>
    </row>
    <row r="224" spans="16:18">
      <c r="P224" s="85"/>
      <c r="Q224" s="40"/>
      <c r="R224" s="40"/>
    </row>
    <row r="225" spans="16:18">
      <c r="P225" s="85"/>
      <c r="Q225" s="40"/>
      <c r="R225" s="40"/>
    </row>
    <row r="226" spans="16:18">
      <c r="P226" s="85"/>
      <c r="Q226" s="40"/>
      <c r="R226" s="40"/>
    </row>
    <row r="227" spans="16:18">
      <c r="P227" s="85"/>
      <c r="Q227" s="40"/>
      <c r="R227" s="40"/>
    </row>
    <row r="228" spans="16:18">
      <c r="P228" s="85"/>
      <c r="Q228" s="40"/>
      <c r="R228" s="40"/>
    </row>
    <row r="229" spans="16:18">
      <c r="P229" s="85"/>
      <c r="Q229" s="40"/>
      <c r="R229" s="40"/>
    </row>
    <row r="230" spans="16:18">
      <c r="P230" s="85"/>
      <c r="Q230" s="40"/>
      <c r="R230" s="40"/>
    </row>
    <row r="231" spans="16:18">
      <c r="P231" s="85"/>
      <c r="Q231" s="40"/>
      <c r="R231" s="40"/>
    </row>
    <row r="232" spans="16:18">
      <c r="P232" s="85"/>
      <c r="Q232" s="40"/>
      <c r="R232" s="40"/>
    </row>
    <row r="233" spans="16:18">
      <c r="P233" s="85"/>
      <c r="Q233" s="40"/>
      <c r="R233" s="40"/>
    </row>
    <row r="234" spans="16:18">
      <c r="P234" s="85"/>
      <c r="Q234" s="40"/>
      <c r="R234" s="40"/>
    </row>
    <row r="235" spans="16:18">
      <c r="P235" s="85"/>
      <c r="Q235" s="40"/>
    </row>
    <row r="236" spans="16:18">
      <c r="P236" s="85"/>
      <c r="Q236" s="40"/>
    </row>
    <row r="237" spans="16:18">
      <c r="P237" s="85"/>
      <c r="Q237" s="40"/>
    </row>
    <row r="238" spans="16:18">
      <c r="P238" s="85"/>
      <c r="Q238" s="40"/>
      <c r="R238" s="40"/>
    </row>
    <row r="240" spans="16:18">
      <c r="P240" s="68"/>
      <c r="Q240" s="58"/>
      <c r="R240" s="71"/>
    </row>
    <row r="241" spans="16:18">
      <c r="P241" s="68"/>
      <c r="Q241" s="58"/>
      <c r="R241" s="76"/>
    </row>
    <row r="242" spans="16:18">
      <c r="P242" s="68"/>
      <c r="Q242" s="58"/>
      <c r="R242" s="76"/>
    </row>
    <row r="243" spans="16:18">
      <c r="P243" s="85"/>
      <c r="Q243" s="58"/>
      <c r="R243" s="71"/>
    </row>
    <row r="244" spans="16:18">
      <c r="P244" s="85"/>
      <c r="Q244" s="40"/>
      <c r="R244" s="40"/>
    </row>
    <row r="246" spans="16:18">
      <c r="P246" s="68"/>
      <c r="Q246" s="58"/>
      <c r="R246" s="71"/>
    </row>
    <row r="247" spans="16:18">
      <c r="P247" s="68"/>
      <c r="Q247" s="58"/>
      <c r="R247" s="76"/>
    </row>
    <row r="248" spans="16:18">
      <c r="P248" s="68"/>
      <c r="Q248" s="58"/>
      <c r="R248" s="76"/>
    </row>
    <row r="249" spans="16:18">
      <c r="P249" s="85"/>
      <c r="Q249" s="58"/>
      <c r="R249" s="71"/>
    </row>
    <row r="251" spans="16:18">
      <c r="P251" s="68"/>
      <c r="Q251" s="61"/>
      <c r="R251" s="40"/>
    </row>
    <row r="252" spans="16:18">
      <c r="P252" s="85"/>
      <c r="Q252" s="40"/>
      <c r="R252" s="40"/>
    </row>
    <row r="253" spans="16:18">
      <c r="P253" s="85"/>
      <c r="Q253" s="40"/>
      <c r="R253" s="40"/>
    </row>
    <row r="254" spans="16:18">
      <c r="P254" s="85"/>
      <c r="Q254" s="40"/>
      <c r="R254" s="40"/>
    </row>
    <row r="255" spans="16:18">
      <c r="P255" s="85"/>
      <c r="Q255" s="40"/>
      <c r="R255" s="40"/>
    </row>
    <row r="256" spans="16:18">
      <c r="P256" s="85"/>
      <c r="Q256" s="40"/>
      <c r="R256" s="40"/>
    </row>
    <row r="257" spans="16:18">
      <c r="P257" s="85"/>
      <c r="Q257" s="40"/>
      <c r="R257" s="40"/>
    </row>
    <row r="258" spans="16:18">
      <c r="P258" s="85"/>
      <c r="Q258" s="40"/>
      <c r="R258" s="40"/>
    </row>
    <row r="259" spans="16:18">
      <c r="P259" s="85"/>
      <c r="Q259" s="40"/>
      <c r="R259" s="40"/>
    </row>
    <row r="260" spans="16:18">
      <c r="P260" s="85"/>
      <c r="Q260" s="40"/>
      <c r="R260" s="40"/>
    </row>
    <row r="261" spans="16:18">
      <c r="P261" s="85"/>
      <c r="Q261" s="40"/>
      <c r="R261" s="40"/>
    </row>
    <row r="262" spans="16:18">
      <c r="P262" s="85"/>
      <c r="Q262" s="40"/>
      <c r="R262" s="40"/>
    </row>
    <row r="263" spans="16:18">
      <c r="P263" s="85"/>
      <c r="Q263" s="40"/>
      <c r="R263" s="40"/>
    </row>
    <row r="264" spans="16:18">
      <c r="P264" s="85"/>
      <c r="Q264" s="40"/>
      <c r="R264" s="40"/>
    </row>
    <row r="265" spans="16:18">
      <c r="P265" s="85"/>
      <c r="Q265" s="40"/>
      <c r="R265" s="40"/>
    </row>
    <row r="266" spans="16:18">
      <c r="P266" s="85"/>
      <c r="Q266" s="40"/>
      <c r="R266" s="40"/>
    </row>
    <row r="267" spans="16:18">
      <c r="P267" s="85"/>
      <c r="Q267" s="40"/>
      <c r="R267" s="40"/>
    </row>
    <row r="268" spans="16:18">
      <c r="P268" s="85"/>
      <c r="Q268" s="40"/>
    </row>
    <row r="269" spans="16:18">
      <c r="P269" s="85"/>
      <c r="Q269" s="40"/>
    </row>
    <row r="270" spans="16:18">
      <c r="P270" s="85"/>
      <c r="Q270" s="40"/>
    </row>
    <row r="271" spans="16:18">
      <c r="P271" s="85"/>
      <c r="Q271" s="40"/>
      <c r="R271" s="40"/>
    </row>
    <row r="273" spans="16:18">
      <c r="P273" s="68"/>
      <c r="Q273" s="58"/>
      <c r="R273" s="71"/>
    </row>
    <row r="274" spans="16:18">
      <c r="P274" s="68"/>
      <c r="Q274" s="58"/>
      <c r="R274" s="76"/>
    </row>
    <row r="275" spans="16:18">
      <c r="P275" s="68"/>
      <c r="Q275" s="58"/>
      <c r="R275" s="76"/>
    </row>
    <row r="276" spans="16:18">
      <c r="P276" s="85"/>
      <c r="Q276" s="58"/>
      <c r="R276" s="71"/>
    </row>
    <row r="277" spans="16:18">
      <c r="P277" s="85"/>
      <c r="Q277" s="40"/>
      <c r="R277" s="40"/>
    </row>
    <row r="279" spans="16:18">
      <c r="P279" s="68"/>
      <c r="Q279" s="58"/>
      <c r="R279" s="71"/>
    </row>
    <row r="280" spans="16:18">
      <c r="P280" s="68"/>
      <c r="Q280" s="58"/>
      <c r="R280" s="76"/>
    </row>
    <row r="281" spans="16:18">
      <c r="P281" s="68"/>
      <c r="Q281" s="58"/>
      <c r="R281" s="76"/>
    </row>
    <row r="282" spans="16:18">
      <c r="P282" s="85"/>
      <c r="Q282" s="58"/>
      <c r="R282" s="71"/>
    </row>
    <row r="284" spans="16:18">
      <c r="P284" s="68"/>
      <c r="Q284" s="61"/>
      <c r="R284" s="40"/>
    </row>
    <row r="285" spans="16:18">
      <c r="P285" s="85"/>
      <c r="Q285" s="40"/>
      <c r="R285" s="40"/>
    </row>
    <row r="286" spans="16:18">
      <c r="P286" s="85"/>
      <c r="Q286" s="40"/>
      <c r="R286" s="40"/>
    </row>
    <row r="287" spans="16:18">
      <c r="P287" s="85"/>
      <c r="Q287" s="40"/>
      <c r="R287" s="40"/>
    </row>
    <row r="288" spans="16:18">
      <c r="P288" s="85"/>
      <c r="Q288" s="40"/>
      <c r="R288" s="40"/>
    </row>
    <row r="289" spans="16:18">
      <c r="P289" s="85"/>
      <c r="Q289" s="40"/>
      <c r="R289" s="40"/>
    </row>
    <row r="290" spans="16:18">
      <c r="P290" s="85"/>
      <c r="Q290" s="40"/>
      <c r="R290" s="40"/>
    </row>
    <row r="291" spans="16:18">
      <c r="P291" s="85"/>
      <c r="Q291" s="40"/>
      <c r="R291" s="40"/>
    </row>
    <row r="292" spans="16:18">
      <c r="P292" s="85"/>
      <c r="Q292" s="40"/>
      <c r="R292" s="40"/>
    </row>
    <row r="293" spans="16:18">
      <c r="P293" s="85"/>
      <c r="Q293" s="40"/>
      <c r="R293" s="40"/>
    </row>
    <row r="294" spans="16:18">
      <c r="P294" s="85"/>
      <c r="Q294" s="40"/>
      <c r="R294" s="40"/>
    </row>
    <row r="295" spans="16:18">
      <c r="P295" s="85"/>
      <c r="Q295" s="40"/>
      <c r="R295" s="40"/>
    </row>
    <row r="296" spans="16:18">
      <c r="P296" s="85"/>
      <c r="Q296" s="40"/>
      <c r="R296" s="40"/>
    </row>
    <row r="297" spans="16:18">
      <c r="P297" s="85"/>
      <c r="Q297" s="40"/>
      <c r="R297" s="40"/>
    </row>
    <row r="298" spans="16:18">
      <c r="P298" s="85"/>
      <c r="Q298" s="40"/>
      <c r="R298" s="40"/>
    </row>
    <row r="299" spans="16:18">
      <c r="P299" s="85"/>
      <c r="Q299" s="40"/>
      <c r="R299" s="40"/>
    </row>
    <row r="300" spans="16:18">
      <c r="P300" s="85"/>
      <c r="Q300" s="40"/>
      <c r="R300" s="40"/>
    </row>
    <row r="301" spans="16:18">
      <c r="P301" s="85"/>
      <c r="Q301" s="40"/>
    </row>
    <row r="302" spans="16:18">
      <c r="P302" s="85"/>
      <c r="Q302" s="40"/>
    </row>
    <row r="303" spans="16:18">
      <c r="P303" s="85"/>
      <c r="Q303" s="40"/>
    </row>
    <row r="304" spans="16:18">
      <c r="P304" s="85"/>
      <c r="Q304" s="40"/>
      <c r="R304" s="40"/>
    </row>
    <row r="306" spans="16:18">
      <c r="P306" s="68"/>
      <c r="Q306" s="58"/>
      <c r="R306" s="71"/>
    </row>
    <row r="307" spans="16:18">
      <c r="P307" s="68"/>
      <c r="Q307" s="58"/>
      <c r="R307" s="76"/>
    </row>
    <row r="308" spans="16:18">
      <c r="P308" s="68"/>
      <c r="Q308" s="58"/>
      <c r="R308" s="76"/>
    </row>
    <row r="309" spans="16:18">
      <c r="P309" s="85"/>
      <c r="Q309" s="58"/>
      <c r="R309" s="71"/>
    </row>
    <row r="310" spans="16:18">
      <c r="P310" s="85"/>
      <c r="Q310" s="40"/>
      <c r="R310" s="40"/>
    </row>
    <row r="312" spans="16:18">
      <c r="P312" s="68"/>
      <c r="Q312" s="58"/>
      <c r="R312" s="71"/>
    </row>
    <row r="313" spans="16:18">
      <c r="P313" s="68"/>
      <c r="Q313" s="58"/>
      <c r="R313" s="76"/>
    </row>
    <row r="314" spans="16:18">
      <c r="P314" s="68"/>
      <c r="Q314" s="58"/>
      <c r="R314" s="76"/>
    </row>
    <row r="315" spans="16:18">
      <c r="P315" s="85"/>
      <c r="Q315" s="58"/>
      <c r="R315" s="71"/>
    </row>
    <row r="317" spans="16:18">
      <c r="P317" s="68"/>
      <c r="Q317" s="61"/>
      <c r="R317" s="40"/>
    </row>
    <row r="318" spans="16:18">
      <c r="P318" s="85"/>
      <c r="Q318" s="40"/>
      <c r="R318" s="40"/>
    </row>
    <row r="319" spans="16:18">
      <c r="P319" s="85"/>
      <c r="Q319" s="40"/>
      <c r="R319" s="40"/>
    </row>
    <row r="320" spans="16:18">
      <c r="P320" s="85"/>
      <c r="Q320" s="40"/>
      <c r="R320" s="40"/>
    </row>
    <row r="321" spans="16:18">
      <c r="P321" s="85"/>
      <c r="Q321" s="40"/>
      <c r="R321" s="40"/>
    </row>
    <row r="322" spans="16:18">
      <c r="P322" s="85"/>
      <c r="Q322" s="40"/>
      <c r="R322" s="40"/>
    </row>
    <row r="323" spans="16:18">
      <c r="P323" s="85"/>
      <c r="Q323" s="40"/>
      <c r="R323" s="40"/>
    </row>
    <row r="324" spans="16:18">
      <c r="P324" s="85"/>
      <c r="Q324" s="40"/>
      <c r="R324" s="40"/>
    </row>
    <row r="325" spans="16:18">
      <c r="P325" s="85"/>
      <c r="Q325" s="40"/>
      <c r="R325" s="40"/>
    </row>
    <row r="326" spans="16:18">
      <c r="P326" s="85"/>
      <c r="Q326" s="40"/>
      <c r="R326" s="40"/>
    </row>
    <row r="327" spans="16:18">
      <c r="P327" s="85"/>
      <c r="Q327" s="40"/>
      <c r="R327" s="40"/>
    </row>
    <row r="328" spans="16:18">
      <c r="P328" s="85"/>
      <c r="Q328" s="40"/>
      <c r="R328" s="40"/>
    </row>
    <row r="329" spans="16:18">
      <c r="P329" s="85"/>
      <c r="Q329" s="40"/>
      <c r="R329" s="40"/>
    </row>
    <row r="330" spans="16:18">
      <c r="P330" s="85"/>
      <c r="Q330" s="40"/>
      <c r="R330" s="40"/>
    </row>
    <row r="331" spans="16:18">
      <c r="P331" s="85"/>
      <c r="Q331" s="40"/>
      <c r="R331" s="40"/>
    </row>
    <row r="332" spans="16:18">
      <c r="P332" s="85"/>
      <c r="Q332" s="40"/>
      <c r="R332" s="40"/>
    </row>
    <row r="333" spans="16:18">
      <c r="P333" s="85"/>
      <c r="Q333" s="40"/>
      <c r="R333" s="40"/>
    </row>
    <row r="334" spans="16:18">
      <c r="P334" s="85"/>
      <c r="Q334" s="40"/>
    </row>
    <row r="335" spans="16:18">
      <c r="P335" s="85"/>
      <c r="Q335" s="40"/>
    </row>
    <row r="336" spans="16:18">
      <c r="P336" s="85"/>
      <c r="Q336" s="40"/>
    </row>
    <row r="337" spans="16:18">
      <c r="P337" s="85"/>
      <c r="Q337" s="40"/>
      <c r="R337" s="40"/>
    </row>
    <row r="339" spans="16:18">
      <c r="P339" s="68"/>
      <c r="Q339" s="58"/>
      <c r="R339" s="71"/>
    </row>
    <row r="340" spans="16:18">
      <c r="P340" s="68"/>
      <c r="Q340" s="58"/>
      <c r="R340" s="76"/>
    </row>
    <row r="341" spans="16:18">
      <c r="P341" s="68"/>
      <c r="Q341" s="58"/>
      <c r="R341" s="76"/>
    </row>
    <row r="342" spans="16:18">
      <c r="P342" s="85"/>
      <c r="Q342" s="58"/>
      <c r="R342" s="71"/>
    </row>
    <row r="343" spans="16:18">
      <c r="P343" s="85"/>
      <c r="Q343" s="40"/>
      <c r="R343" s="40"/>
    </row>
    <row r="345" spans="16:18">
      <c r="P345" s="68"/>
      <c r="Q345" s="58"/>
      <c r="R345" s="71"/>
    </row>
    <row r="346" spans="16:18">
      <c r="P346" s="68"/>
      <c r="Q346" s="58"/>
      <c r="R346" s="76"/>
    </row>
    <row r="347" spans="16:18">
      <c r="P347" s="68"/>
      <c r="Q347" s="58"/>
      <c r="R347" s="76"/>
    </row>
    <row r="348" spans="16:18">
      <c r="P348" s="85"/>
      <c r="Q348" s="58"/>
      <c r="R348" s="71"/>
    </row>
    <row r="350" spans="16:18">
      <c r="P350" s="68"/>
      <c r="Q350" s="61"/>
      <c r="R350" s="40"/>
    </row>
    <row r="351" spans="16:18">
      <c r="P351" s="85"/>
      <c r="Q351" s="40"/>
      <c r="R351" s="40"/>
    </row>
    <row r="352" spans="16:18">
      <c r="P352" s="85"/>
      <c r="Q352" s="40"/>
      <c r="R352" s="40"/>
    </row>
    <row r="353" spans="16:18">
      <c r="P353" s="85"/>
      <c r="Q353" s="40"/>
      <c r="R353" s="40"/>
    </row>
    <row r="354" spans="16:18">
      <c r="P354" s="85"/>
      <c r="Q354" s="40"/>
      <c r="R354" s="40"/>
    </row>
    <row r="355" spans="16:18">
      <c r="P355" s="85"/>
      <c r="Q355" s="40"/>
      <c r="R355" s="40"/>
    </row>
    <row r="356" spans="16:18">
      <c r="P356" s="85"/>
      <c r="Q356" s="40"/>
      <c r="R356" s="40"/>
    </row>
    <row r="357" spans="16:18">
      <c r="P357" s="85"/>
      <c r="Q357" s="40"/>
      <c r="R357" s="40"/>
    </row>
    <row r="358" spans="16:18">
      <c r="P358" s="85"/>
      <c r="Q358" s="40"/>
      <c r="R358" s="40"/>
    </row>
    <row r="359" spans="16:18">
      <c r="P359" s="85"/>
      <c r="Q359" s="40"/>
      <c r="R359" s="40"/>
    </row>
    <row r="360" spans="16:18">
      <c r="P360" s="85"/>
      <c r="Q360" s="40"/>
      <c r="R360" s="40"/>
    </row>
    <row r="361" spans="16:18">
      <c r="P361" s="85"/>
      <c r="Q361" s="40"/>
      <c r="R361" s="40"/>
    </row>
    <row r="362" spans="16:18">
      <c r="P362" s="85"/>
      <c r="Q362" s="40"/>
      <c r="R362" s="40"/>
    </row>
    <row r="363" spans="16:18">
      <c r="P363" s="85"/>
      <c r="Q363" s="40"/>
      <c r="R363" s="40"/>
    </row>
    <row r="364" spans="16:18">
      <c r="P364" s="85"/>
      <c r="Q364" s="40"/>
      <c r="R364" s="40"/>
    </row>
    <row r="365" spans="16:18">
      <c r="P365" s="85"/>
      <c r="Q365" s="40"/>
      <c r="R365" s="40"/>
    </row>
    <row r="366" spans="16:18">
      <c r="P366" s="85"/>
      <c r="Q366" s="40"/>
      <c r="R366" s="40"/>
    </row>
    <row r="367" spans="16:18">
      <c r="P367" s="85"/>
      <c r="Q367" s="40"/>
    </row>
    <row r="368" spans="16:18">
      <c r="P368" s="85"/>
      <c r="Q368" s="40"/>
    </row>
    <row r="369" spans="16:18">
      <c r="P369" s="85"/>
      <c r="Q369" s="40"/>
    </row>
    <row r="370" spans="16:18">
      <c r="P370" s="85"/>
      <c r="Q370" s="40"/>
      <c r="R370" s="40"/>
    </row>
    <row r="372" spans="16:18">
      <c r="P372" s="68"/>
      <c r="Q372" s="58"/>
      <c r="R372" s="71"/>
    </row>
    <row r="373" spans="16:18">
      <c r="P373" s="68"/>
      <c r="Q373" s="58"/>
      <c r="R373" s="76"/>
    </row>
    <row r="374" spans="16:18">
      <c r="P374" s="68"/>
      <c r="Q374" s="58"/>
      <c r="R374" s="76"/>
    </row>
    <row r="375" spans="16:18">
      <c r="P375" s="85"/>
      <c r="Q375" s="58"/>
      <c r="R375" s="71"/>
    </row>
    <row r="376" spans="16:18">
      <c r="P376" s="85"/>
      <c r="Q376" s="40"/>
      <c r="R376" s="40"/>
    </row>
    <row r="378" spans="16:18">
      <c r="P378" s="68"/>
      <c r="Q378" s="58"/>
      <c r="R378" s="71"/>
    </row>
    <row r="379" spans="16:18">
      <c r="P379" s="68"/>
      <c r="Q379" s="58"/>
      <c r="R379" s="76"/>
    </row>
    <row r="380" spans="16:18">
      <c r="P380" s="68"/>
      <c r="Q380" s="58"/>
      <c r="R380" s="76"/>
    </row>
    <row r="381" spans="16:18">
      <c r="P381" s="85"/>
      <c r="Q381" s="58"/>
      <c r="R381" s="71"/>
    </row>
    <row r="383" spans="16:18">
      <c r="P383" s="68"/>
      <c r="Q383" s="61"/>
      <c r="R383" s="40"/>
    </row>
    <row r="384" spans="16:18">
      <c r="P384" s="85"/>
      <c r="Q384" s="40"/>
      <c r="R384" s="40"/>
    </row>
    <row r="385" spans="16:18">
      <c r="P385" s="85"/>
      <c r="Q385" s="40"/>
      <c r="R385" s="40"/>
    </row>
    <row r="386" spans="16:18">
      <c r="P386" s="85"/>
      <c r="Q386" s="40"/>
      <c r="R386" s="40"/>
    </row>
    <row r="387" spans="16:18">
      <c r="P387" s="85"/>
      <c r="Q387" s="40"/>
      <c r="R387" s="40"/>
    </row>
    <row r="388" spans="16:18">
      <c r="P388" s="85"/>
      <c r="Q388" s="40"/>
      <c r="R388" s="40"/>
    </row>
    <row r="389" spans="16:18">
      <c r="P389" s="85"/>
      <c r="Q389" s="40"/>
      <c r="R389" s="40"/>
    </row>
    <row r="390" spans="16:18">
      <c r="P390" s="85"/>
      <c r="Q390" s="40"/>
      <c r="R390" s="40"/>
    </row>
    <row r="391" spans="16:18">
      <c r="P391" s="85"/>
      <c r="Q391" s="40"/>
      <c r="R391" s="40"/>
    </row>
    <row r="392" spans="16:18">
      <c r="P392" s="85"/>
      <c r="Q392" s="40"/>
      <c r="R392" s="40"/>
    </row>
    <row r="393" spans="16:18">
      <c r="P393" s="85"/>
      <c r="Q393" s="40"/>
      <c r="R393" s="40"/>
    </row>
    <row r="394" spans="16:18">
      <c r="P394" s="85"/>
      <c r="Q394" s="40"/>
      <c r="R394" s="40"/>
    </row>
    <row r="395" spans="16:18">
      <c r="P395" s="85"/>
      <c r="Q395" s="40"/>
      <c r="R395" s="40"/>
    </row>
    <row r="396" spans="16:18">
      <c r="P396" s="85"/>
      <c r="Q396" s="40"/>
      <c r="R396" s="40"/>
    </row>
    <row r="397" spans="16:18">
      <c r="P397" s="85"/>
      <c r="Q397" s="40"/>
      <c r="R397" s="40"/>
    </row>
    <row r="398" spans="16:18">
      <c r="P398" s="85"/>
      <c r="Q398" s="40"/>
      <c r="R398" s="40"/>
    </row>
    <row r="399" spans="16:18">
      <c r="P399" s="85"/>
      <c r="Q399" s="40"/>
      <c r="R399" s="40"/>
    </row>
    <row r="400" spans="16:18">
      <c r="P400" s="85"/>
      <c r="Q400" s="40"/>
    </row>
    <row r="401" spans="16:18">
      <c r="P401" s="85"/>
      <c r="Q401" s="40"/>
    </row>
    <row r="402" spans="16:18">
      <c r="P402" s="85"/>
      <c r="Q402" s="40"/>
    </row>
    <row r="403" spans="16:18">
      <c r="P403" s="85"/>
      <c r="Q403" s="40"/>
      <c r="R403" s="40"/>
    </row>
    <row r="405" spans="16:18">
      <c r="P405" s="68"/>
      <c r="Q405" s="58"/>
      <c r="R405" s="71"/>
    </row>
    <row r="406" spans="16:18">
      <c r="P406" s="68"/>
      <c r="Q406" s="58"/>
      <c r="R406" s="76"/>
    </row>
    <row r="407" spans="16:18">
      <c r="P407" s="68"/>
      <c r="Q407" s="58"/>
      <c r="R407" s="76"/>
    </row>
    <row r="408" spans="16:18">
      <c r="P408" s="85"/>
      <c r="Q408" s="58"/>
      <c r="R408" s="71"/>
    </row>
    <row r="409" spans="16:18">
      <c r="P409" s="85"/>
      <c r="Q409" s="40"/>
      <c r="R409" s="40"/>
    </row>
    <row r="411" spans="16:18">
      <c r="P411" s="68"/>
      <c r="Q411" s="58"/>
      <c r="R411" s="71"/>
    </row>
    <row r="412" spans="16:18">
      <c r="P412" s="68"/>
      <c r="Q412" s="58"/>
      <c r="R412" s="76"/>
    </row>
    <row r="413" spans="16:18">
      <c r="P413" s="68"/>
      <c r="Q413" s="58"/>
      <c r="R413" s="76"/>
    </row>
    <row r="414" spans="16:18">
      <c r="P414" s="85"/>
      <c r="Q414" s="58"/>
      <c r="R414" s="71"/>
    </row>
    <row r="416" spans="16:18">
      <c r="P416" s="68"/>
      <c r="Q416" s="61"/>
      <c r="R416" s="40"/>
    </row>
    <row r="417" spans="16:18">
      <c r="P417" s="85"/>
      <c r="Q417" s="40"/>
      <c r="R417" s="40"/>
    </row>
    <row r="418" spans="16:18">
      <c r="P418" s="85"/>
      <c r="Q418" s="40"/>
      <c r="R418" s="40"/>
    </row>
    <row r="419" spans="16:18">
      <c r="P419" s="85"/>
      <c r="Q419" s="40"/>
      <c r="R419" s="40"/>
    </row>
    <row r="420" spans="16:18">
      <c r="P420" s="85"/>
      <c r="Q420" s="40"/>
      <c r="R420" s="40"/>
    </row>
    <row r="421" spans="16:18">
      <c r="P421" s="85"/>
      <c r="Q421" s="40"/>
      <c r="R421" s="40"/>
    </row>
    <row r="422" spans="16:18">
      <c r="P422" s="85"/>
      <c r="Q422" s="40"/>
      <c r="R422" s="40"/>
    </row>
    <row r="423" spans="16:18">
      <c r="P423" s="85"/>
      <c r="Q423" s="40"/>
      <c r="R423" s="40"/>
    </row>
    <row r="424" spans="16:18">
      <c r="P424" s="85"/>
      <c r="Q424" s="40"/>
      <c r="R424" s="40"/>
    </row>
    <row r="425" spans="16:18">
      <c r="P425" s="85"/>
      <c r="Q425" s="40"/>
      <c r="R425" s="40"/>
    </row>
    <row r="426" spans="16:18">
      <c r="P426" s="85"/>
      <c r="Q426" s="40"/>
      <c r="R426" s="40"/>
    </row>
    <row r="427" spans="16:18">
      <c r="P427" s="85"/>
      <c r="Q427" s="40"/>
      <c r="R427" s="40"/>
    </row>
    <row r="428" spans="16:18">
      <c r="P428" s="85"/>
      <c r="Q428" s="40"/>
      <c r="R428" s="40"/>
    </row>
    <row r="429" spans="16:18">
      <c r="P429" s="85"/>
      <c r="Q429" s="40"/>
      <c r="R429" s="40"/>
    </row>
    <row r="430" spans="16:18">
      <c r="P430" s="85"/>
      <c r="Q430" s="40"/>
      <c r="R430" s="40"/>
    </row>
    <row r="431" spans="16:18">
      <c r="P431" s="85"/>
      <c r="Q431" s="40"/>
      <c r="R431" s="40"/>
    </row>
    <row r="432" spans="16:18">
      <c r="P432" s="85"/>
      <c r="Q432" s="40"/>
      <c r="R432" s="40"/>
    </row>
    <row r="433" spans="16:18">
      <c r="P433" s="85"/>
      <c r="Q433" s="40"/>
    </row>
    <row r="434" spans="16:18">
      <c r="P434" s="85"/>
      <c r="Q434" s="40"/>
    </row>
    <row r="435" spans="16:18">
      <c r="P435" s="85"/>
      <c r="Q435" s="40"/>
    </row>
    <row r="436" spans="16:18">
      <c r="P436" s="85"/>
      <c r="Q436" s="40"/>
      <c r="R436" s="40"/>
    </row>
    <row r="438" spans="16:18">
      <c r="P438" s="68"/>
      <c r="Q438" s="58"/>
      <c r="R438" s="71"/>
    </row>
    <row r="439" spans="16:18">
      <c r="P439" s="68"/>
      <c r="Q439" s="58"/>
      <c r="R439" s="76"/>
    </row>
    <row r="440" spans="16:18">
      <c r="P440" s="68"/>
      <c r="Q440" s="58"/>
      <c r="R440" s="76"/>
    </row>
    <row r="441" spans="16:18">
      <c r="P441" s="85"/>
      <c r="Q441" s="58"/>
      <c r="R441" s="71"/>
    </row>
    <row r="442" spans="16:18">
      <c r="P442" s="85"/>
      <c r="Q442" s="40"/>
      <c r="R442" s="40"/>
    </row>
    <row r="444" spans="16:18">
      <c r="P444" s="68"/>
      <c r="Q444" s="58"/>
      <c r="R444" s="71"/>
    </row>
    <row r="445" spans="16:18">
      <c r="P445" s="68"/>
      <c r="Q445" s="58"/>
      <c r="R445" s="76"/>
    </row>
    <row r="446" spans="16:18">
      <c r="P446" s="68"/>
      <c r="Q446" s="58"/>
      <c r="R446" s="76"/>
    </row>
    <row r="447" spans="16:18">
      <c r="P447" s="85"/>
      <c r="Q447" s="58"/>
      <c r="R447" s="71"/>
    </row>
    <row r="449" spans="16:18">
      <c r="P449" s="68"/>
      <c r="Q449" s="61"/>
      <c r="R449" s="40"/>
    </row>
    <row r="450" spans="16:18">
      <c r="P450" s="85"/>
      <c r="Q450" s="40"/>
      <c r="R450" s="40"/>
    </row>
    <row r="451" spans="16:18">
      <c r="P451" s="85"/>
      <c r="Q451" s="40"/>
      <c r="R451" s="40"/>
    </row>
    <row r="452" spans="16:18">
      <c r="P452" s="85"/>
      <c r="Q452" s="40"/>
      <c r="R452" s="40"/>
    </row>
    <row r="453" spans="16:18">
      <c r="P453" s="85"/>
      <c r="Q453" s="40"/>
      <c r="R453" s="40"/>
    </row>
    <row r="454" spans="16:18">
      <c r="P454" s="85"/>
      <c r="Q454" s="40"/>
      <c r="R454" s="40"/>
    </row>
    <row r="455" spans="16:18">
      <c r="P455" s="85"/>
      <c r="Q455" s="40"/>
      <c r="R455" s="40"/>
    </row>
    <row r="456" spans="16:18">
      <c r="P456" s="85"/>
      <c r="Q456" s="40"/>
      <c r="R456" s="40"/>
    </row>
    <row r="457" spans="16:18">
      <c r="P457" s="85"/>
      <c r="Q457" s="40"/>
      <c r="R457" s="40"/>
    </row>
    <row r="458" spans="16:18">
      <c r="P458" s="85"/>
      <c r="Q458" s="40"/>
      <c r="R458" s="40"/>
    </row>
    <row r="459" spans="16:18">
      <c r="P459" s="85"/>
      <c r="Q459" s="40"/>
      <c r="R459" s="40"/>
    </row>
    <row r="460" spans="16:18">
      <c r="P460" s="85"/>
      <c r="Q460" s="40"/>
      <c r="R460" s="40"/>
    </row>
    <row r="461" spans="16:18">
      <c r="P461" s="85"/>
      <c r="Q461" s="40"/>
      <c r="R461" s="40"/>
    </row>
    <row r="462" spans="16:18">
      <c r="P462" s="85"/>
      <c r="Q462" s="40"/>
      <c r="R462" s="40"/>
    </row>
    <row r="463" spans="16:18">
      <c r="P463" s="85"/>
      <c r="Q463" s="40"/>
      <c r="R463" s="40"/>
    </row>
    <row r="464" spans="16:18">
      <c r="P464" s="85"/>
      <c r="Q464" s="40"/>
      <c r="R464" s="40"/>
    </row>
    <row r="465" spans="16:18">
      <c r="P465" s="85"/>
      <c r="Q465" s="40"/>
      <c r="R465" s="40"/>
    </row>
    <row r="466" spans="16:18">
      <c r="P466" s="85"/>
      <c r="Q466" s="40"/>
    </row>
    <row r="467" spans="16:18">
      <c r="P467" s="85"/>
      <c r="Q467" s="40"/>
    </row>
    <row r="468" spans="16:18">
      <c r="P468" s="85"/>
      <c r="Q468" s="40"/>
    </row>
    <row r="469" spans="16:18">
      <c r="P469" s="85"/>
      <c r="Q469" s="40"/>
      <c r="R469" s="40"/>
    </row>
    <row r="471" spans="16:18">
      <c r="P471" s="68"/>
      <c r="Q471" s="58"/>
      <c r="R471" s="71"/>
    </row>
    <row r="472" spans="16:18">
      <c r="P472" s="68"/>
      <c r="Q472" s="58"/>
      <c r="R472" s="76"/>
    </row>
    <row r="473" spans="16:18">
      <c r="P473" s="68"/>
      <c r="Q473" s="58"/>
      <c r="R473" s="76"/>
    </row>
    <row r="474" spans="16:18">
      <c r="P474" s="85"/>
      <c r="Q474" s="58"/>
      <c r="R474" s="71"/>
    </row>
    <row r="475" spans="16:18">
      <c r="P475" s="85"/>
      <c r="Q475" s="40"/>
      <c r="R475" s="40"/>
    </row>
    <row r="477" spans="16:18">
      <c r="P477" s="68"/>
      <c r="Q477" s="58"/>
      <c r="R477" s="71"/>
    </row>
    <row r="478" spans="16:18">
      <c r="P478" s="68"/>
      <c r="Q478" s="58"/>
      <c r="R478" s="76"/>
    </row>
    <row r="479" spans="16:18">
      <c r="P479" s="68"/>
      <c r="Q479" s="58"/>
      <c r="R479" s="76"/>
    </row>
    <row r="480" spans="16:18">
      <c r="P480" s="85"/>
      <c r="Q480" s="58"/>
      <c r="R480" s="71"/>
    </row>
    <row r="482" spans="16:18">
      <c r="P482" s="68"/>
      <c r="Q482" s="61"/>
      <c r="R482" s="40"/>
    </row>
    <row r="483" spans="16:18">
      <c r="P483" s="85"/>
      <c r="Q483" s="40"/>
      <c r="R483" s="40"/>
    </row>
    <row r="484" spans="16:18">
      <c r="P484" s="85"/>
      <c r="Q484" s="40"/>
      <c r="R484" s="40"/>
    </row>
    <row r="485" spans="16:18">
      <c r="P485" s="85"/>
      <c r="Q485" s="40"/>
      <c r="R485" s="40"/>
    </row>
    <row r="486" spans="16:18">
      <c r="P486" s="85"/>
      <c r="Q486" s="40"/>
      <c r="R486" s="40"/>
    </row>
    <row r="487" spans="16:18">
      <c r="P487" s="85"/>
      <c r="Q487" s="40"/>
      <c r="R487" s="40"/>
    </row>
    <row r="488" spans="16:18">
      <c r="P488" s="85"/>
      <c r="Q488" s="40"/>
      <c r="R488" s="40"/>
    </row>
    <row r="489" spans="16:18">
      <c r="P489" s="85"/>
      <c r="Q489" s="40"/>
      <c r="R489" s="40"/>
    </row>
    <row r="490" spans="16:18">
      <c r="P490" s="85"/>
      <c r="Q490" s="40"/>
      <c r="R490" s="40"/>
    </row>
    <row r="491" spans="16:18">
      <c r="P491" s="85"/>
      <c r="Q491" s="40"/>
      <c r="R491" s="40"/>
    </row>
    <row r="492" spans="16:18">
      <c r="P492" s="85"/>
      <c r="Q492" s="40"/>
      <c r="R492" s="40"/>
    </row>
    <row r="493" spans="16:18">
      <c r="P493" s="85"/>
      <c r="Q493" s="40"/>
      <c r="R493" s="40"/>
    </row>
    <row r="494" spans="16:18">
      <c r="P494" s="85"/>
      <c r="Q494" s="40"/>
      <c r="R494" s="40"/>
    </row>
    <row r="495" spans="16:18">
      <c r="P495" s="85"/>
      <c r="Q495" s="40"/>
      <c r="R495" s="40"/>
    </row>
    <row r="496" spans="16:18">
      <c r="P496" s="85"/>
      <c r="Q496" s="40"/>
      <c r="R496" s="40"/>
    </row>
    <row r="497" spans="16:18">
      <c r="P497" s="85"/>
      <c r="Q497" s="40"/>
      <c r="R497" s="40"/>
    </row>
    <row r="498" spans="16:18">
      <c r="P498" s="85"/>
      <c r="Q498" s="40"/>
      <c r="R498" s="40"/>
    </row>
    <row r="499" spans="16:18">
      <c r="P499" s="85"/>
      <c r="Q499" s="40"/>
    </row>
    <row r="500" spans="16:18">
      <c r="P500" s="85"/>
      <c r="Q500" s="40"/>
    </row>
    <row r="501" spans="16:18">
      <c r="P501" s="85"/>
      <c r="Q501" s="40"/>
    </row>
    <row r="502" spans="16:18">
      <c r="P502" s="85"/>
      <c r="Q502" s="40"/>
      <c r="R502" s="40"/>
    </row>
    <row r="504" spans="16:18">
      <c r="P504" s="68"/>
      <c r="Q504" s="58"/>
      <c r="R504" s="71"/>
    </row>
    <row r="505" spans="16:18">
      <c r="P505" s="68"/>
      <c r="Q505" s="58"/>
      <c r="R505" s="76"/>
    </row>
    <row r="506" spans="16:18">
      <c r="P506" s="68"/>
      <c r="Q506" s="58"/>
      <c r="R506" s="76"/>
    </row>
    <row r="507" spans="16:18">
      <c r="P507" s="85"/>
      <c r="Q507" s="58"/>
      <c r="R507" s="71"/>
    </row>
    <row r="508" spans="16:18">
      <c r="P508" s="85"/>
      <c r="Q508" s="40"/>
      <c r="R508" s="40"/>
    </row>
    <row r="510" spans="16:18">
      <c r="P510" s="68"/>
      <c r="Q510" s="58"/>
      <c r="R510" s="71"/>
    </row>
    <row r="511" spans="16:18">
      <c r="P511" s="68"/>
      <c r="Q511" s="58"/>
      <c r="R511" s="76"/>
    </row>
    <row r="512" spans="16:18">
      <c r="P512" s="68"/>
      <c r="Q512" s="58"/>
      <c r="R512" s="76"/>
    </row>
    <row r="513" spans="16:18">
      <c r="P513" s="85"/>
      <c r="Q513" s="58"/>
      <c r="R513" s="71"/>
    </row>
    <row r="515" spans="16:18">
      <c r="P515" s="68"/>
      <c r="Q515" s="61"/>
      <c r="R515" s="40"/>
    </row>
    <row r="516" spans="16:18">
      <c r="P516" s="85"/>
      <c r="Q516" s="40"/>
      <c r="R516" s="40"/>
    </row>
    <row r="517" spans="16:18">
      <c r="P517" s="85"/>
      <c r="Q517" s="40"/>
      <c r="R517" s="40"/>
    </row>
    <row r="518" spans="16:18">
      <c r="P518" s="85"/>
      <c r="Q518" s="40"/>
      <c r="R518" s="40"/>
    </row>
    <row r="519" spans="16:18">
      <c r="P519" s="85"/>
      <c r="Q519" s="40"/>
      <c r="R519" s="40"/>
    </row>
    <row r="520" spans="16:18">
      <c r="P520" s="85"/>
      <c r="Q520" s="40"/>
      <c r="R520" s="40"/>
    </row>
    <row r="521" spans="16:18">
      <c r="P521" s="85"/>
      <c r="Q521" s="40"/>
      <c r="R521" s="40"/>
    </row>
    <row r="522" spans="16:18">
      <c r="P522" s="85"/>
      <c r="Q522" s="40"/>
      <c r="R522" s="40"/>
    </row>
    <row r="523" spans="16:18">
      <c r="P523" s="85"/>
      <c r="Q523" s="40"/>
      <c r="R523" s="40"/>
    </row>
    <row r="524" spans="16:18">
      <c r="P524" s="85"/>
      <c r="Q524" s="40"/>
      <c r="R524" s="40"/>
    </row>
    <row r="525" spans="16:18">
      <c r="P525" s="85"/>
      <c r="Q525" s="40"/>
      <c r="R525" s="40"/>
    </row>
    <row r="526" spans="16:18">
      <c r="P526" s="85"/>
      <c r="Q526" s="40"/>
      <c r="R526" s="40"/>
    </row>
    <row r="527" spans="16:18">
      <c r="P527" s="85"/>
      <c r="Q527" s="40"/>
      <c r="R527" s="40"/>
    </row>
    <row r="528" spans="16:18">
      <c r="P528" s="85"/>
      <c r="Q528" s="40"/>
      <c r="R528" s="40"/>
    </row>
    <row r="529" spans="16:18">
      <c r="P529" s="85"/>
      <c r="Q529" s="40"/>
      <c r="R529" s="40"/>
    </row>
    <row r="530" spans="16:18">
      <c r="P530" s="85"/>
      <c r="Q530" s="40"/>
      <c r="R530" s="40"/>
    </row>
    <row r="531" spans="16:18">
      <c r="P531" s="85"/>
      <c r="Q531" s="40"/>
      <c r="R531" s="40"/>
    </row>
    <row r="532" spans="16:18">
      <c r="P532" s="85"/>
      <c r="Q532" s="40"/>
    </row>
    <row r="533" spans="16:18">
      <c r="P533" s="85"/>
      <c r="Q533" s="40"/>
    </row>
    <row r="534" spans="16:18">
      <c r="P534" s="85"/>
      <c r="Q534" s="40"/>
    </row>
    <row r="535" spans="16:18">
      <c r="P535" s="85"/>
      <c r="Q535" s="40"/>
      <c r="R535" s="40"/>
    </row>
    <row r="537" spans="16:18">
      <c r="P537" s="68"/>
      <c r="Q537" s="58"/>
      <c r="R537" s="71"/>
    </row>
    <row r="538" spans="16:18">
      <c r="P538" s="68"/>
      <c r="Q538" s="58"/>
      <c r="R538" s="76"/>
    </row>
    <row r="539" spans="16:18">
      <c r="P539" s="68"/>
      <c r="Q539" s="58"/>
      <c r="R539" s="76"/>
    </row>
    <row r="540" spans="16:18">
      <c r="P540" s="85"/>
      <c r="Q540" s="58"/>
      <c r="R540" s="71"/>
    </row>
    <row r="541" spans="16:18">
      <c r="P541" s="85"/>
      <c r="Q541" s="40"/>
      <c r="R541" s="40"/>
    </row>
    <row r="543" spans="16:18">
      <c r="P543" s="68"/>
      <c r="Q543" s="58"/>
      <c r="R543" s="71"/>
    </row>
    <row r="544" spans="16:18">
      <c r="P544" s="68"/>
      <c r="Q544" s="58"/>
      <c r="R544" s="76"/>
    </row>
    <row r="545" spans="16:18">
      <c r="P545" s="68"/>
      <c r="Q545" s="58"/>
      <c r="R545" s="76"/>
    </row>
    <row r="546" spans="16:18">
      <c r="P546" s="85"/>
      <c r="Q546" s="58"/>
      <c r="R546" s="71"/>
    </row>
    <row r="548" spans="16:18">
      <c r="P548" s="68"/>
      <c r="Q548" s="61"/>
      <c r="R548" s="40"/>
    </row>
    <row r="549" spans="16:18">
      <c r="P549" s="85"/>
      <c r="Q549" s="40"/>
      <c r="R549" s="40"/>
    </row>
    <row r="550" spans="16:18">
      <c r="P550" s="85"/>
      <c r="Q550" s="40"/>
      <c r="R550" s="40"/>
    </row>
    <row r="551" spans="16:18">
      <c r="P551" s="85"/>
      <c r="Q551" s="40"/>
      <c r="R551" s="40"/>
    </row>
    <row r="552" spans="16:18">
      <c r="P552" s="85"/>
      <c r="Q552" s="40"/>
      <c r="R552" s="40"/>
    </row>
    <row r="553" spans="16:18">
      <c r="P553" s="85"/>
      <c r="Q553" s="40"/>
      <c r="R553" s="40"/>
    </row>
    <row r="554" spans="16:18">
      <c r="P554" s="85"/>
      <c r="Q554" s="40"/>
      <c r="R554" s="40"/>
    </row>
    <row r="555" spans="16:18">
      <c r="P555" s="85"/>
      <c r="Q555" s="40"/>
      <c r="R555" s="40"/>
    </row>
    <row r="556" spans="16:18">
      <c r="P556" s="85"/>
      <c r="Q556" s="40"/>
      <c r="R556" s="40"/>
    </row>
    <row r="557" spans="16:18">
      <c r="P557" s="85"/>
      <c r="Q557" s="40"/>
      <c r="R557" s="40"/>
    </row>
    <row r="558" spans="16:18">
      <c r="P558" s="85"/>
      <c r="Q558" s="40"/>
      <c r="R558" s="40"/>
    </row>
    <row r="559" spans="16:18">
      <c r="P559" s="85"/>
      <c r="Q559" s="40"/>
      <c r="R559" s="40"/>
    </row>
    <row r="560" spans="16:18">
      <c r="P560" s="85"/>
      <c r="Q560" s="40"/>
      <c r="R560" s="40"/>
    </row>
    <row r="561" spans="16:18">
      <c r="P561" s="85"/>
      <c r="Q561" s="40"/>
      <c r="R561" s="40"/>
    </row>
    <row r="562" spans="16:18">
      <c r="P562" s="85"/>
      <c r="Q562" s="40"/>
      <c r="R562" s="40"/>
    </row>
    <row r="563" spans="16:18">
      <c r="P563" s="85"/>
      <c r="Q563" s="40"/>
      <c r="R563" s="40"/>
    </row>
    <row r="564" spans="16:18">
      <c r="P564" s="85"/>
      <c r="Q564" s="40"/>
      <c r="R564" s="40"/>
    </row>
    <row r="565" spans="16:18">
      <c r="P565" s="85"/>
      <c r="Q565" s="40"/>
    </row>
    <row r="566" spans="16:18">
      <c r="P566" s="85"/>
      <c r="Q566" s="40"/>
    </row>
    <row r="567" spans="16:18">
      <c r="P567" s="85"/>
      <c r="Q567" s="40"/>
    </row>
    <row r="568" spans="16:18">
      <c r="P568" s="85"/>
      <c r="Q568" s="40"/>
      <c r="R568" s="40"/>
    </row>
    <row r="570" spans="16:18">
      <c r="P570" s="68"/>
      <c r="Q570" s="58"/>
      <c r="R570" s="71"/>
    </row>
    <row r="571" spans="16:18">
      <c r="P571" s="68"/>
      <c r="Q571" s="58"/>
      <c r="R571" s="76"/>
    </row>
    <row r="572" spans="16:18">
      <c r="P572" s="68"/>
      <c r="Q572" s="58"/>
      <c r="R572" s="76"/>
    </row>
    <row r="573" spans="16:18">
      <c r="P573" s="85"/>
      <c r="Q573" s="58"/>
      <c r="R573" s="71"/>
    </row>
    <row r="574" spans="16:18">
      <c r="P574" s="85"/>
      <c r="Q574" s="40"/>
      <c r="R574" s="40"/>
    </row>
    <row r="576" spans="16:18">
      <c r="P576" s="68"/>
      <c r="Q576" s="58"/>
      <c r="R576" s="71"/>
    </row>
    <row r="577" spans="16:18">
      <c r="P577" s="68"/>
      <c r="Q577" s="58"/>
      <c r="R577" s="76"/>
    </row>
    <row r="578" spans="16:18">
      <c r="P578" s="68"/>
      <c r="Q578" s="58"/>
      <c r="R578" s="76"/>
    </row>
    <row r="579" spans="16:18">
      <c r="P579" s="85"/>
      <c r="Q579" s="58"/>
      <c r="R579" s="71"/>
    </row>
    <row r="581" spans="16:18">
      <c r="P581" s="68"/>
      <c r="Q581" s="61"/>
      <c r="R581" s="40"/>
    </row>
    <row r="582" spans="16:18">
      <c r="P582" s="85"/>
      <c r="Q582" s="40"/>
      <c r="R582" s="40"/>
    </row>
    <row r="583" spans="16:18">
      <c r="P583" s="85"/>
      <c r="Q583" s="40"/>
      <c r="R583" s="40"/>
    </row>
    <row r="584" spans="16:18">
      <c r="P584" s="85"/>
      <c r="Q584" s="40"/>
      <c r="R584" s="40"/>
    </row>
    <row r="585" spans="16:18">
      <c r="P585" s="85"/>
      <c r="Q585" s="40"/>
      <c r="R585" s="40"/>
    </row>
    <row r="586" spans="16:18">
      <c r="P586" s="85"/>
      <c r="Q586" s="40"/>
      <c r="R586" s="40"/>
    </row>
    <row r="587" spans="16:18">
      <c r="P587" s="85"/>
      <c r="Q587" s="40"/>
      <c r="R587" s="40"/>
    </row>
    <row r="588" spans="16:18">
      <c r="P588" s="85"/>
      <c r="Q588" s="40"/>
      <c r="R588" s="40"/>
    </row>
    <row r="589" spans="16:18">
      <c r="P589" s="85"/>
      <c r="Q589" s="40"/>
      <c r="R589" s="40"/>
    </row>
    <row r="590" spans="16:18">
      <c r="P590" s="85"/>
      <c r="Q590" s="40"/>
      <c r="R590" s="40"/>
    </row>
    <row r="591" spans="16:18">
      <c r="P591" s="85"/>
      <c r="Q591" s="40"/>
      <c r="R591" s="40"/>
    </row>
    <row r="592" spans="16:18">
      <c r="P592" s="85"/>
      <c r="Q592" s="40"/>
      <c r="R592" s="40"/>
    </row>
    <row r="593" spans="16:18">
      <c r="P593" s="85"/>
      <c r="Q593" s="40"/>
      <c r="R593" s="40"/>
    </row>
    <row r="594" spans="16:18">
      <c r="P594" s="85"/>
      <c r="Q594" s="40"/>
      <c r="R594" s="40"/>
    </row>
    <row r="595" spans="16:18">
      <c r="P595" s="85"/>
      <c r="Q595" s="40"/>
      <c r="R595" s="40"/>
    </row>
    <row r="596" spans="16:18">
      <c r="P596" s="85"/>
      <c r="Q596" s="40"/>
      <c r="R596" s="40"/>
    </row>
    <row r="597" spans="16:18">
      <c r="P597" s="85"/>
      <c r="Q597" s="40"/>
      <c r="R597" s="40"/>
    </row>
    <row r="598" spans="16:18">
      <c r="P598" s="85"/>
      <c r="Q598" s="40"/>
    </row>
    <row r="599" spans="16:18">
      <c r="P599" s="85"/>
      <c r="Q599" s="40"/>
    </row>
    <row r="600" spans="16:18">
      <c r="P600" s="85"/>
      <c r="Q600" s="40"/>
    </row>
    <row r="601" spans="16:18">
      <c r="P601" s="85"/>
      <c r="Q601" s="40"/>
      <c r="R601" s="40"/>
    </row>
    <row r="603" spans="16:18">
      <c r="P603" s="68"/>
      <c r="Q603" s="58"/>
      <c r="R603" s="71"/>
    </row>
    <row r="604" spans="16:18">
      <c r="P604" s="68"/>
      <c r="Q604" s="58"/>
      <c r="R604" s="76"/>
    </row>
    <row r="605" spans="16:18">
      <c r="P605" s="68"/>
      <c r="Q605" s="58"/>
      <c r="R605" s="76"/>
    </row>
    <row r="606" spans="16:18">
      <c r="P606" s="85"/>
      <c r="Q606" s="58"/>
      <c r="R606" s="71"/>
    </row>
    <row r="607" spans="16:18">
      <c r="P607" s="85"/>
      <c r="Q607" s="40"/>
      <c r="R607" s="40"/>
    </row>
    <row r="609" spans="16:18">
      <c r="P609" s="68"/>
      <c r="Q609" s="58"/>
      <c r="R609" s="71"/>
    </row>
    <row r="610" spans="16:18">
      <c r="P610" s="68"/>
      <c r="Q610" s="58"/>
      <c r="R610" s="76"/>
    </row>
    <row r="611" spans="16:18">
      <c r="P611" s="68"/>
      <c r="Q611" s="58"/>
      <c r="R611" s="76"/>
    </row>
    <row r="612" spans="16:18">
      <c r="P612" s="85"/>
      <c r="Q612" s="58"/>
      <c r="R612" s="71"/>
    </row>
    <row r="614" spans="16:18">
      <c r="P614" s="68"/>
      <c r="Q614" s="61"/>
      <c r="R614" s="40"/>
    </row>
    <row r="615" spans="16:18">
      <c r="P615" s="85"/>
      <c r="Q615" s="40"/>
      <c r="R615" s="40"/>
    </row>
    <row r="616" spans="16:18">
      <c r="P616" s="85"/>
      <c r="Q616" s="40"/>
      <c r="R616" s="40"/>
    </row>
    <row r="617" spans="16:18">
      <c r="P617" s="85"/>
      <c r="Q617" s="40"/>
      <c r="R617" s="40"/>
    </row>
    <row r="618" spans="16:18">
      <c r="P618" s="85"/>
      <c r="Q618" s="40"/>
      <c r="R618" s="40"/>
    </row>
    <row r="619" spans="16:18">
      <c r="P619" s="85"/>
      <c r="Q619" s="40"/>
      <c r="R619" s="40"/>
    </row>
    <row r="620" spans="16:18">
      <c r="P620" s="85"/>
      <c r="Q620" s="40"/>
      <c r="R620" s="40"/>
    </row>
    <row r="621" spans="16:18">
      <c r="P621" s="85"/>
      <c r="Q621" s="40"/>
      <c r="R621" s="40"/>
    </row>
    <row r="622" spans="16:18">
      <c r="P622" s="85"/>
      <c r="Q622" s="40"/>
      <c r="R622" s="40"/>
    </row>
    <row r="623" spans="16:18">
      <c r="P623" s="85"/>
      <c r="Q623" s="40"/>
      <c r="R623" s="40"/>
    </row>
    <row r="624" spans="16:18">
      <c r="P624" s="85"/>
      <c r="Q624" s="40"/>
      <c r="R624" s="40"/>
    </row>
    <row r="625" spans="16:18">
      <c r="P625" s="85"/>
      <c r="Q625" s="40"/>
      <c r="R625" s="40"/>
    </row>
    <row r="626" spans="16:18">
      <c r="P626" s="85"/>
      <c r="Q626" s="40"/>
      <c r="R626" s="40"/>
    </row>
    <row r="627" spans="16:18">
      <c r="P627" s="85"/>
      <c r="Q627" s="40"/>
      <c r="R627" s="40"/>
    </row>
    <row r="628" spans="16:18">
      <c r="P628" s="85"/>
      <c r="Q628" s="40"/>
      <c r="R628" s="40"/>
    </row>
    <row r="629" spans="16:18">
      <c r="P629" s="85"/>
      <c r="Q629" s="40"/>
      <c r="R629" s="40"/>
    </row>
    <row r="630" spans="16:18">
      <c r="P630" s="85"/>
      <c r="Q630" s="40"/>
      <c r="R630" s="40"/>
    </row>
    <row r="631" spans="16:18">
      <c r="P631" s="85"/>
      <c r="Q631" s="40"/>
    </row>
    <row r="632" spans="16:18">
      <c r="P632" s="85"/>
      <c r="Q632" s="40"/>
    </row>
    <row r="633" spans="16:18">
      <c r="P633" s="85"/>
      <c r="Q633" s="40"/>
    </row>
    <row r="634" spans="16:18">
      <c r="P634" s="85"/>
      <c r="Q634" s="40"/>
      <c r="R634" s="40"/>
    </row>
    <row r="636" spans="16:18">
      <c r="P636" s="68"/>
      <c r="Q636" s="58"/>
      <c r="R636" s="71"/>
    </row>
    <row r="637" spans="16:18">
      <c r="P637" s="68"/>
      <c r="Q637" s="58"/>
      <c r="R637" s="76"/>
    </row>
    <row r="638" spans="16:18">
      <c r="P638" s="68"/>
      <c r="Q638" s="58"/>
      <c r="R638" s="76"/>
    </row>
    <row r="639" spans="16:18">
      <c r="P639" s="85"/>
      <c r="Q639" s="58"/>
      <c r="R639" s="71"/>
    </row>
    <row r="640" spans="16:18">
      <c r="P640" s="85"/>
      <c r="Q640" s="40"/>
      <c r="R640" s="40"/>
    </row>
    <row r="642" spans="16:18">
      <c r="P642" s="68"/>
      <c r="Q642" s="58"/>
      <c r="R642" s="71"/>
    </row>
    <row r="643" spans="16:18">
      <c r="P643" s="68"/>
      <c r="Q643" s="58"/>
      <c r="R643" s="76"/>
    </row>
    <row r="644" spans="16:18">
      <c r="P644" s="68"/>
      <c r="Q644" s="58"/>
      <c r="R644" s="76"/>
    </row>
    <row r="645" spans="16:18">
      <c r="P645" s="85"/>
      <c r="Q645" s="58"/>
      <c r="R645" s="71"/>
    </row>
    <row r="647" spans="16:18">
      <c r="P647" s="68"/>
      <c r="Q647" s="61"/>
      <c r="R647" s="40"/>
    </row>
    <row r="648" spans="16:18">
      <c r="P648" s="85"/>
      <c r="Q648" s="40"/>
      <c r="R648" s="40"/>
    </row>
    <row r="649" spans="16:18">
      <c r="P649" s="85"/>
      <c r="Q649" s="40"/>
      <c r="R649" s="40"/>
    </row>
    <row r="650" spans="16:18">
      <c r="P650" s="85"/>
      <c r="Q650" s="40"/>
      <c r="R650" s="40"/>
    </row>
    <row r="651" spans="16:18">
      <c r="P651" s="85"/>
      <c r="Q651" s="40"/>
      <c r="R651" s="40"/>
    </row>
    <row r="652" spans="16:18">
      <c r="P652" s="85"/>
      <c r="Q652" s="40"/>
      <c r="R652" s="40"/>
    </row>
    <row r="653" spans="16:18">
      <c r="P653" s="85"/>
      <c r="Q653" s="40"/>
      <c r="R653" s="40"/>
    </row>
    <row r="654" spans="16:18">
      <c r="P654" s="85"/>
      <c r="Q654" s="40"/>
      <c r="R654" s="40"/>
    </row>
    <row r="655" spans="16:18">
      <c r="P655" s="85"/>
      <c r="Q655" s="40"/>
      <c r="R655" s="40"/>
    </row>
    <row r="656" spans="16:18">
      <c r="P656" s="85"/>
      <c r="Q656" s="40"/>
      <c r="R656" s="40"/>
    </row>
    <row r="657" spans="16:18">
      <c r="P657" s="85"/>
      <c r="Q657" s="40"/>
      <c r="R657" s="40"/>
    </row>
    <row r="658" spans="16:18">
      <c r="P658" s="85"/>
      <c r="Q658" s="40"/>
      <c r="R658" s="40"/>
    </row>
    <row r="659" spans="16:18">
      <c r="P659" s="85"/>
      <c r="Q659" s="40"/>
      <c r="R659" s="40"/>
    </row>
    <row r="660" spans="16:18">
      <c r="P660" s="85"/>
      <c r="Q660" s="40"/>
      <c r="R660" s="40"/>
    </row>
    <row r="661" spans="16:18">
      <c r="P661" s="85"/>
      <c r="Q661" s="40"/>
      <c r="R661" s="40"/>
    </row>
    <row r="662" spans="16:18">
      <c r="P662" s="85"/>
      <c r="Q662" s="40"/>
      <c r="R662" s="40"/>
    </row>
    <row r="663" spans="16:18">
      <c r="P663" s="85"/>
      <c r="Q663" s="40"/>
      <c r="R663" s="40"/>
    </row>
    <row r="664" spans="16:18">
      <c r="P664" s="85"/>
      <c r="Q664" s="40"/>
    </row>
    <row r="665" spans="16:18">
      <c r="P665" s="85"/>
      <c r="Q665" s="40"/>
    </row>
    <row r="666" spans="16:18">
      <c r="P666" s="85"/>
      <c r="Q666" s="40"/>
    </row>
    <row r="667" spans="16:18">
      <c r="P667" s="85"/>
      <c r="Q667" s="40"/>
      <c r="R667" s="40"/>
    </row>
    <row r="669" spans="16:18">
      <c r="P669" s="68"/>
      <c r="Q669" s="58"/>
      <c r="R669" s="71"/>
    </row>
    <row r="670" spans="16:18">
      <c r="P670" s="68"/>
      <c r="Q670" s="58"/>
      <c r="R670" s="76"/>
    </row>
    <row r="671" spans="16:18">
      <c r="P671" s="68"/>
      <c r="Q671" s="58"/>
      <c r="R671" s="76"/>
    </row>
    <row r="672" spans="16:18">
      <c r="P672" s="85"/>
      <c r="Q672" s="58"/>
      <c r="R672" s="71"/>
    </row>
    <row r="673" spans="16:18">
      <c r="P673" s="85"/>
      <c r="Q673" s="40"/>
      <c r="R673" s="40"/>
    </row>
    <row r="675" spans="16:18">
      <c r="P675" s="68"/>
      <c r="Q675" s="58"/>
      <c r="R675" s="71"/>
    </row>
    <row r="676" spans="16:18">
      <c r="P676" s="68"/>
      <c r="Q676" s="58"/>
      <c r="R676" s="76"/>
    </row>
    <row r="677" spans="16:18">
      <c r="P677" s="68"/>
      <c r="Q677" s="58"/>
      <c r="R677" s="76"/>
    </row>
    <row r="678" spans="16:18">
      <c r="P678" s="85"/>
      <c r="Q678" s="58"/>
      <c r="R678" s="71"/>
    </row>
    <row r="680" spans="16:18">
      <c r="P680" s="68"/>
      <c r="Q680" s="61"/>
      <c r="R680" s="40"/>
    </row>
    <row r="681" spans="16:18">
      <c r="P681" s="85"/>
      <c r="Q681" s="40"/>
      <c r="R681" s="40"/>
    </row>
    <row r="682" spans="16:18">
      <c r="P682" s="85"/>
      <c r="Q682" s="40"/>
      <c r="R682" s="40"/>
    </row>
    <row r="683" spans="16:18">
      <c r="P683" s="85"/>
      <c r="Q683" s="40"/>
      <c r="R683" s="40"/>
    </row>
    <row r="684" spans="16:18">
      <c r="P684" s="85"/>
      <c r="Q684" s="40"/>
      <c r="R684" s="40"/>
    </row>
    <row r="685" spans="16:18">
      <c r="P685" s="85"/>
      <c r="Q685" s="40"/>
      <c r="R685" s="40"/>
    </row>
    <row r="686" spans="16:18">
      <c r="P686" s="85"/>
      <c r="Q686" s="40"/>
      <c r="R686" s="40"/>
    </row>
    <row r="687" spans="16:18">
      <c r="P687" s="85"/>
      <c r="Q687" s="40"/>
      <c r="R687" s="40"/>
    </row>
    <row r="688" spans="16:18">
      <c r="P688" s="85"/>
      <c r="Q688" s="40"/>
      <c r="R688" s="40"/>
    </row>
    <row r="689" spans="16:18">
      <c r="P689" s="85"/>
      <c r="Q689" s="40"/>
      <c r="R689" s="40"/>
    </row>
    <row r="690" spans="16:18">
      <c r="P690" s="85"/>
      <c r="Q690" s="40"/>
      <c r="R690" s="40"/>
    </row>
    <row r="691" spans="16:18">
      <c r="P691" s="85"/>
      <c r="Q691" s="40"/>
      <c r="R691" s="40"/>
    </row>
    <row r="692" spans="16:18">
      <c r="P692" s="85"/>
      <c r="Q692" s="40"/>
      <c r="R692" s="40"/>
    </row>
    <row r="693" spans="16:18">
      <c r="P693" s="85"/>
      <c r="Q693" s="40"/>
      <c r="R693" s="40"/>
    </row>
    <row r="694" spans="16:18">
      <c r="P694" s="85"/>
      <c r="Q694" s="40"/>
      <c r="R694" s="40"/>
    </row>
    <row r="695" spans="16:18">
      <c r="P695" s="85"/>
      <c r="Q695" s="40"/>
      <c r="R695" s="40"/>
    </row>
    <row r="696" spans="16:18">
      <c r="P696" s="85"/>
      <c r="Q696" s="40"/>
      <c r="R696" s="40"/>
    </row>
    <row r="697" spans="16:18">
      <c r="P697" s="85"/>
      <c r="Q697" s="40"/>
    </row>
    <row r="698" spans="16:18">
      <c r="P698" s="85"/>
      <c r="Q698" s="40"/>
    </row>
    <row r="699" spans="16:18">
      <c r="P699" s="85"/>
      <c r="Q699" s="40"/>
    </row>
    <row r="700" spans="16:18">
      <c r="P700" s="85"/>
      <c r="Q700" s="40"/>
      <c r="R700" s="40"/>
    </row>
    <row r="702" spans="16:18">
      <c r="P702" s="68"/>
      <c r="Q702" s="58"/>
      <c r="R702" s="71"/>
    </row>
    <row r="703" spans="16:18">
      <c r="P703" s="68"/>
      <c r="Q703" s="58"/>
      <c r="R703" s="76"/>
    </row>
    <row r="704" spans="16:18">
      <c r="P704" s="68"/>
      <c r="Q704" s="58"/>
      <c r="R704" s="76"/>
    </row>
    <row r="705" spans="16:18">
      <c r="P705" s="85"/>
      <c r="Q705" s="58"/>
      <c r="R705" s="71"/>
    </row>
    <row r="706" spans="16:18">
      <c r="P706" s="85"/>
      <c r="Q706" s="40"/>
      <c r="R706" s="40"/>
    </row>
    <row r="708" spans="16:18">
      <c r="P708" s="68"/>
      <c r="Q708" s="58"/>
      <c r="R708" s="71"/>
    </row>
    <row r="709" spans="16:18">
      <c r="P709" s="68"/>
      <c r="Q709" s="58"/>
      <c r="R709" s="76"/>
    </row>
    <row r="710" spans="16:18">
      <c r="P710" s="68"/>
      <c r="Q710" s="58"/>
      <c r="R710" s="76"/>
    </row>
    <row r="711" spans="16:18">
      <c r="P711" s="85"/>
      <c r="Q711" s="58"/>
      <c r="R711" s="71"/>
    </row>
  </sheetData>
  <conditionalFormatting sqref="C83 C67 C70 C75 C78">
    <cfRule type="cellIs" dxfId="0" priority="1" stopIfTrue="1" operator="lessThan">
      <formula>1.5</formula>
    </cfRule>
  </conditionalFormatting>
  <dataValidations count="1">
    <dataValidation type="list" allowBlank="1" showInputMessage="1" showErrorMessage="1" errorTitle="Warning!" error="Invalid input for number of piers_x000a_(must input a value between 1 and 4)" promptTitle="Note:" prompt="The user should make sure to clear the contents of all cells below that are not used for input of pier/loading data!" sqref="D22">
      <formula1>$M$3:$M$10</formula1>
    </dataValidation>
  </dataValidations>
  <pageMargins left="1" right="0.5" top="1" bottom="1" header="0.5" footer="0.5"/>
  <pageSetup scale="91" orientation="portrait" r:id="rId1"/>
  <headerFooter alignWithMargins="0">
    <oddHeader>&amp;R"FOOTINGS.xls" Program
Version 3.3</oddHeader>
    <oddFooter>&amp;C&amp;P of &amp;N&amp;R&amp;D  &amp;T</oddFooter>
  </headerFooter>
  <rowBreaks count="1" manualBreakCount="1">
    <brk id="55" min="1" max="10" man="1"/>
  </rowBreaks>
  <drawing r:id="rId2"/>
  <legacyDrawing r:id="rId3"/>
</worksheet>
</file>

<file path=xl/worksheets/sheet3.xml><?xml version="1.0" encoding="utf-8"?>
<worksheet xmlns="http://schemas.openxmlformats.org/spreadsheetml/2006/main" xmlns:r="http://schemas.openxmlformats.org/officeDocument/2006/relationships">
  <sheetPr codeName="Лист2"/>
  <dimension ref="A1:BP711"/>
  <sheetViews>
    <sheetView tabSelected="1" zoomScaleNormal="100" workbookViewId="0">
      <selection activeCell="G8" sqref="G8"/>
    </sheetView>
  </sheetViews>
  <sheetFormatPr defaultRowHeight="12.75"/>
  <cols>
    <col min="1" max="1" width="5.28515625" style="57" customWidth="1"/>
    <col min="2" max="2" width="12.7109375" style="57" customWidth="1"/>
    <col min="3" max="3" width="9.5703125" style="57" customWidth="1"/>
    <col min="4" max="4" width="9" style="57" customWidth="1"/>
    <col min="5" max="9" width="9.5703125" style="57" customWidth="1"/>
    <col min="10" max="10" width="9.140625" style="57"/>
    <col min="11" max="11" width="8.140625" style="57" customWidth="1"/>
    <col min="12" max="13" width="8.85546875" style="57" hidden="1" customWidth="1"/>
    <col min="14" max="14" width="9.7109375" style="57" hidden="1" customWidth="1"/>
    <col min="15" max="15" width="8.85546875" style="84" hidden="1" customWidth="1"/>
    <col min="16" max="16" width="8.85546875" style="64" hidden="1" customWidth="1"/>
    <col min="17" max="22" width="8.85546875" style="84" hidden="1" customWidth="1"/>
    <col min="23" max="29" width="8.85546875" style="57" hidden="1" customWidth="1"/>
    <col min="30" max="31" width="13.42578125" style="83" hidden="1" customWidth="1"/>
    <col min="32" max="42" width="13.42578125" style="57" hidden="1" customWidth="1"/>
    <col min="43" max="44" width="8.85546875" style="57" hidden="1" customWidth="1"/>
    <col min="45" max="46" width="11.7109375" style="57" hidden="1" customWidth="1"/>
    <col min="47" max="47" width="4.85546875" style="92" hidden="1" customWidth="1"/>
    <col min="48" max="48" width="4.28515625" style="92" hidden="1" customWidth="1"/>
    <col min="49" max="49" width="4.42578125" style="92" hidden="1" customWidth="1"/>
    <col min="50" max="50" width="5.5703125" style="92" hidden="1" customWidth="1"/>
    <col min="51" max="51" width="9.140625" style="57" customWidth="1"/>
    <col min="52" max="16384" width="9.140625" style="57"/>
  </cols>
  <sheetData>
    <row r="1" spans="1:68" ht="15.75">
      <c r="B1" s="1" t="s">
        <v>371</v>
      </c>
      <c r="C1" s="2"/>
      <c r="D1" s="3"/>
      <c r="E1" s="3"/>
      <c r="F1" s="3"/>
      <c r="G1" s="3"/>
      <c r="H1" s="2"/>
      <c r="I1" s="2"/>
      <c r="J1" s="2"/>
      <c r="K1" s="4"/>
      <c r="L1" s="24"/>
      <c r="N1" s="58"/>
      <c r="O1" s="59" t="s">
        <v>19</v>
      </c>
      <c r="S1" s="59"/>
      <c r="AY1" s="153"/>
    </row>
    <row r="2" spans="1:68">
      <c r="B2" s="5"/>
      <c r="C2" s="6"/>
      <c r="D2" s="7"/>
      <c r="E2" s="6"/>
      <c r="F2" s="6"/>
      <c r="G2" s="6"/>
      <c r="H2" s="8"/>
      <c r="I2" s="8"/>
      <c r="J2" s="8"/>
      <c r="K2" s="9"/>
      <c r="L2" s="24"/>
      <c r="N2" s="58"/>
      <c r="BA2" s="93" t="s">
        <v>162</v>
      </c>
      <c r="BB2" s="94"/>
    </row>
    <row r="3" spans="1:68">
      <c r="B3" s="39"/>
      <c r="C3" s="10"/>
      <c r="D3" s="10"/>
      <c r="E3" s="10"/>
      <c r="F3" s="10"/>
      <c r="G3" s="10"/>
      <c r="H3" s="11"/>
      <c r="I3" s="11"/>
      <c r="J3" s="11"/>
      <c r="K3" s="12"/>
      <c r="L3" s="24"/>
      <c r="M3" s="58">
        <v>1</v>
      </c>
      <c r="O3" s="72" t="s">
        <v>63</v>
      </c>
      <c r="Q3" s="73"/>
      <c r="X3" s="221"/>
      <c r="Y3" s="222" t="s">
        <v>204</v>
      </c>
      <c r="Z3" s="223"/>
      <c r="AA3" s="223"/>
      <c r="AB3" s="223"/>
      <c r="AC3" s="223"/>
      <c r="AD3" s="224"/>
      <c r="AE3" s="224"/>
      <c r="AF3" s="223"/>
      <c r="AG3" s="223"/>
      <c r="AH3" s="223"/>
      <c r="AI3" s="223"/>
      <c r="AJ3" s="223"/>
      <c r="AK3" s="223"/>
      <c r="AL3" s="223"/>
      <c r="AM3" s="223"/>
      <c r="AN3" s="223"/>
      <c r="AO3" s="223"/>
      <c r="AP3" s="223"/>
      <c r="AQ3" s="223"/>
      <c r="AR3" s="223"/>
      <c r="AS3" s="223"/>
      <c r="AT3" s="223"/>
      <c r="AU3" s="225"/>
      <c r="AV3" s="225"/>
      <c r="AW3" s="225"/>
      <c r="AX3" s="226"/>
      <c r="BA3" s="95" t="s">
        <v>163</v>
      </c>
      <c r="BB3" s="95" t="s">
        <v>164</v>
      </c>
      <c r="BK3" s="236"/>
      <c r="BL3" s="247" t="s">
        <v>18</v>
      </c>
      <c r="BM3" s="245"/>
      <c r="BN3" s="245"/>
      <c r="BO3" s="245"/>
      <c r="BP3" s="245"/>
    </row>
    <row r="4" spans="1:68">
      <c r="B4" s="13" t="s">
        <v>20</v>
      </c>
      <c r="C4" s="185"/>
      <c r="D4" s="186"/>
      <c r="E4" s="186"/>
      <c r="F4" s="186"/>
      <c r="G4" s="18" t="s">
        <v>21</v>
      </c>
      <c r="H4" s="187"/>
      <c r="I4" s="14"/>
      <c r="J4" s="14"/>
      <c r="K4" s="191"/>
      <c r="L4" s="67"/>
      <c r="M4" s="58">
        <v>2</v>
      </c>
      <c r="O4" s="74" t="s">
        <v>29</v>
      </c>
      <c r="P4" s="40">
        <f>$BL$4</f>
        <v>0</v>
      </c>
      <c r="Q4" s="75" t="s">
        <v>41</v>
      </c>
      <c r="X4" s="227" t="s">
        <v>157</v>
      </c>
      <c r="Y4" s="228" t="s">
        <v>68</v>
      </c>
      <c r="Z4" s="228" t="s">
        <v>69</v>
      </c>
      <c r="AA4" s="228" t="s">
        <v>70</v>
      </c>
      <c r="AB4" s="228" t="s">
        <v>71</v>
      </c>
      <c r="AC4" s="228" t="s">
        <v>72</v>
      </c>
      <c r="AD4" s="229" t="s">
        <v>73</v>
      </c>
      <c r="AE4" s="229" t="s">
        <v>74</v>
      </c>
      <c r="AF4" s="228" t="s">
        <v>75</v>
      </c>
      <c r="AG4" s="228" t="s">
        <v>76</v>
      </c>
      <c r="AH4" s="228" t="s">
        <v>77</v>
      </c>
      <c r="AI4" s="228" t="s">
        <v>78</v>
      </c>
      <c r="AJ4" s="228" t="s">
        <v>79</v>
      </c>
      <c r="AK4" s="228" t="s">
        <v>80</v>
      </c>
      <c r="AL4" s="228" t="s">
        <v>81</v>
      </c>
      <c r="AM4" s="228" t="s">
        <v>82</v>
      </c>
      <c r="AN4" s="228" t="s">
        <v>83</v>
      </c>
      <c r="AO4" s="228" t="s">
        <v>84</v>
      </c>
      <c r="AP4" s="228" t="s">
        <v>85</v>
      </c>
      <c r="AQ4" s="228" t="s">
        <v>86</v>
      </c>
      <c r="AR4" s="228" t="s">
        <v>87</v>
      </c>
      <c r="AS4" s="228" t="s">
        <v>88</v>
      </c>
      <c r="AT4" s="228" t="s">
        <v>89</v>
      </c>
      <c r="AU4" s="230" t="s">
        <v>90</v>
      </c>
      <c r="AV4" s="230" t="s">
        <v>91</v>
      </c>
      <c r="AW4" s="230" t="s">
        <v>92</v>
      </c>
      <c r="AX4" s="230" t="s">
        <v>93</v>
      </c>
      <c r="BA4" s="16">
        <v>16.5</v>
      </c>
      <c r="BB4" s="96">
        <v>10</v>
      </c>
      <c r="BK4" s="122" t="s">
        <v>43</v>
      </c>
      <c r="BL4" s="231">
        <v>0</v>
      </c>
      <c r="BM4" s="236"/>
      <c r="BN4" s="236"/>
      <c r="BO4" s="236"/>
      <c r="BP4" s="236"/>
    </row>
    <row r="5" spans="1:68">
      <c r="B5" s="13" t="s">
        <v>22</v>
      </c>
      <c r="C5" s="17"/>
      <c r="D5" s="14"/>
      <c r="E5" s="14"/>
      <c r="F5" s="15"/>
      <c r="G5" s="18" t="s">
        <v>23</v>
      </c>
      <c r="H5" s="187"/>
      <c r="I5" s="191"/>
      <c r="J5" s="188" t="s">
        <v>24</v>
      </c>
      <c r="K5" s="141"/>
      <c r="L5" s="67"/>
      <c r="M5" s="58">
        <v>3</v>
      </c>
      <c r="O5" s="74" t="s">
        <v>30</v>
      </c>
      <c r="P5" s="40">
        <f>$BL$5</f>
        <v>0</v>
      </c>
      <c r="Q5" s="75" t="s">
        <v>41</v>
      </c>
      <c r="X5" s="227">
        <v>1</v>
      </c>
      <c r="Y5" s="230" t="str">
        <f ca="1">IF(OR($P$91&lt;=1,$P$91="N.A."),"N.A.",2*$D$11)</f>
        <v>N.A.</v>
      </c>
      <c r="Z5" s="230" t="str">
        <f ca="1">IF(OR($P$91&lt;=1,$P$91="N.A."),"N.A.",2*$D$12)</f>
        <v>N.A.</v>
      </c>
      <c r="AA5" s="230" t="str">
        <f t="shared" ref="AA5:AA34" ca="1" si="0">IF(OR($P$91&lt;=1,$P$91="N.A."),"N.A.",IF((($Z5-$D$12)/$Z5)&lt;0,0,(($Z5-$D$12)/$Z5)))</f>
        <v>N.A.</v>
      </c>
      <c r="AB5" s="230" t="str">
        <f t="shared" ref="AB5:AB34" ca="1" si="1">IF(OR($P$91&lt;=1,$P$91="N.A."),"N.A.",IF((($Y5-$D$11)/$Y5)&lt;0,0,(($Y5-$D$11)/$Y5)))</f>
        <v>N.A.</v>
      </c>
      <c r="AC5" s="230" t="str">
        <f t="shared" ref="AC5:AC34" ca="1" si="2">IF(OR($P$91&lt;=1,$P$91="N.A."),"N.A.",0.5*$Y5*$Z5*(1-$AB5^2-$AA5^2))</f>
        <v>N.A.</v>
      </c>
      <c r="AD5" s="229" t="str">
        <f t="shared" ref="AD5:AD34" ca="1" si="3">IF(OR($P$91&lt;=1,$P$91="N.A."),"N.A.",$Y5*$Z5^2*(1-$AB5^3-$AA5^3-3*$AA5^2*$D$12/$Z5)/6)</f>
        <v>N.A.</v>
      </c>
      <c r="AE5" s="229" t="str">
        <f t="shared" ref="AE5:AE34" ca="1" si="4">IF(OR($P$91&lt;=1,$P$91="N.A."),"N.A.",$Z5*$Y5^2*(1-$AB5^3-$AA5^3-3*$AB5^2*$D$11/$Y5)/6)</f>
        <v>N.A.</v>
      </c>
      <c r="AF5" s="229" t="str">
        <f t="shared" ref="AF5:AF34" ca="1" si="5">IF(OR($P$91&lt;=1,$P$91="N.A."),"N.A.",$Y5*$Z5^3*(1-$AB5^4-$AA5^4-2*$AA5^2*$D$12*(2*$Z5+$D$12)/$Z5^2)/12)</f>
        <v>N.A.</v>
      </c>
      <c r="AG5" s="229" t="str">
        <f t="shared" ref="AG5:AG34" ca="1" si="6">IF(OR($P$91&lt;=1,$P$91="N.A."),"N.A.",$Z5*$Y5^3*(1-$AB5^4-$AA5^4-2*$AB5^2*$D$11*(2*$Y5+$D$11)/$Y5^2)/12)</f>
        <v>N.A.</v>
      </c>
      <c r="AH5" s="230" t="str">
        <f t="shared" ref="AH5:AH34" ca="1" si="7">IF(OR($P$91&lt;=1,$P$91="N.A."),"N.A.",(1-$AB5^4-$AA5^4-4*$AB5^3*$D$11/$Y5-4*$AA5^3*$D$12/$Z5)*$Y5^2*$Z5^2/24)</f>
        <v>N.A.</v>
      </c>
      <c r="AI5" s="230" t="str">
        <f t="shared" ref="AI5:AI34" ca="1" si="8">IF(OR($P$91&lt;=1,$P$91="N.A."),"N.A.",$D$11/2-ABS($P$40))</f>
        <v>N.A.</v>
      </c>
      <c r="AJ5" s="230" t="str">
        <f t="shared" ref="AJ5:AJ34" ca="1" si="9">IF(OR($P$91&lt;=1,$P$91="N.A."),"N.A.",$D$12/2-ABS($P$41))</f>
        <v>N.A.</v>
      </c>
      <c r="AK5" s="230" t="str">
        <f t="shared" ref="AK5:AK34" ca="1" si="10">IF(OR($P$91&lt;=1,$P$91="N.A."),"N.A.",$AH5-$AJ5*$AE5)</f>
        <v>N.A.</v>
      </c>
      <c r="AL5" s="230" t="str">
        <f t="shared" ref="AL5:AL34" ca="1" si="11">IF(OR($P$91&lt;=1,$P$91="N.A."),"N.A.",$AH5-$AI5*$AD5)</f>
        <v>N.A.</v>
      </c>
      <c r="AM5" s="230" t="str">
        <f t="shared" ref="AM5:AM34" ca="1" si="12">IF(OR($P$91&lt;=1,$P$91="N.A."),"N.A.",$AF5-$AJ5*$AD5)</f>
        <v>N.A.</v>
      </c>
      <c r="AN5" s="230" t="str">
        <f t="shared" ref="AN5:AN34" ca="1" si="13">IF(OR($P$91&lt;=1,$P$91="N.A."),"N.A.",$AG5-$AI5*$AE5)</f>
        <v>N.A.</v>
      </c>
      <c r="AO5" s="230" t="str">
        <f t="shared" ref="AO5:AO34" ca="1" si="14">IF(OR($P$91&lt;=1,$P$91="N.A."),"N.A.",$AD5-$AJ5*$AC5)</f>
        <v>N.A.</v>
      </c>
      <c r="AP5" s="230" t="str">
        <f t="shared" ref="AP5:AP34" ca="1" si="15">IF(OR($P$91&lt;=1,$P$91="N.A."),"N.A.",$AE5-$AI5*$AC5)</f>
        <v>N.A.</v>
      </c>
      <c r="AQ5" s="230" t="str">
        <f t="shared" ref="AQ5:AQ34" ca="1" si="16">IF(OR($P$91&lt;=1,$P$91="N.A."),"N.A.",($AK5*$AL5-$AM5*$AN5)/($AL5*$AO5-$AM5*$AP5))</f>
        <v>N.A.</v>
      </c>
      <c r="AR5" s="230" t="str">
        <f t="shared" ref="AR5:AR34" ca="1" si="17">IF(OR($P$91&lt;=1,$P$91="N.A."),"N.A.",($AK5*$AL5-$AM5*$AN5)/($AK5*$AP5-$AN5*$AO5))</f>
        <v>N.A.</v>
      </c>
      <c r="AS5" s="229" t="str">
        <f t="shared" ref="AS5:AS34" ca="1" si="18">IF(OR($P$91&lt;=1,$P$91="N.A."),"N.A.",(IF((10000*$Z5)&gt;=0,((10000*$Z5)-((10000*$Z5)-INT((10000*$Z5)))),-(-(10000*$Z5)-(-(10000*$Z5)-INT(-(10000*$Z5))))))-(IF((10000*$AR5)&gt;=0,((10000*$AR5)-((10000*$AR5)-INT((10000*$AR5)))),-(-(10000*$AR5)-(-(10000*$AR5)-INT(-(10000*$AR5)))))))</f>
        <v>N.A.</v>
      </c>
      <c r="AT5" s="229" t="str">
        <f t="shared" ref="AT5:AT34" ca="1" si="19">IF(OR($P$91&lt;=1,$P$91="N.A."),"N.A.",(IF((10000*$Y5)&gt;=0,((10000*$Y5)-((10000*$Y5)-INT((10000*$Y5)))),-(-(10000*$Y5)-(-(10000*$Y5)-INT(-(10000*$Y5))))))-(IF((10000*$AQ5)&gt;=0,((10000*$AQ5)-((10000*$AQ5)-INT((10000*$AQ5)))),-(-(10000*$AQ5)-(-(10000*$AQ5)-INT(-(10000*$AQ5)))))))</f>
        <v>N.A.</v>
      </c>
      <c r="AU5" s="230" t="str">
        <f t="shared" ref="AU5:AU34" ca="1" si="20">IF(OR($P$91&lt;=1,$P$91="N.A."),"N.A.",IF(OR($AS5=0,$AT5=0),$P$38/($AC5-$AE5/$Y5-$AD5/$Z5),"N.A."))</f>
        <v>N.A.</v>
      </c>
      <c r="AV5" s="230" t="str">
        <f t="shared" ref="AV5:AV34" ca="1" si="21">IF(OR($P$91&lt;=1,$P$91="N.A."),"N.A.",IF(OR($AS5=0,$AT5=0),$AU5*(1-$D$12/$Z5),"N.A."))</f>
        <v>N.A.</v>
      </c>
      <c r="AW5" s="230" t="str">
        <f t="shared" ref="AW5:AW34" ca="1" si="22">IF(OR($P$91&lt;=1,$P$91="N.A."),"N.A.",IF(OR($AS5=0,$AT5=0),$AU5*(1-$D$12/$Z5-$D$11/$Y5),"N.A."))</f>
        <v>N.A.</v>
      </c>
      <c r="AX5" s="230" t="str">
        <f t="shared" ref="AX5:AX34" ca="1" si="23">IF(OR($P$91&lt;=1,$P$91="N.A."),"N.A.",IF(OR($AS5=0,$AT5=0),$AU5*(1-$D$11/$Y5),"N.A."))</f>
        <v>N.A.</v>
      </c>
      <c r="BK5" s="122" t="s">
        <v>44</v>
      </c>
      <c r="BL5" s="231">
        <v>0</v>
      </c>
      <c r="BM5" s="236"/>
      <c r="BN5" s="236"/>
      <c r="BO5" s="236"/>
      <c r="BP5" s="236"/>
    </row>
    <row r="6" spans="1:68">
      <c r="B6" s="19"/>
      <c r="C6" s="20"/>
      <c r="D6" s="20"/>
      <c r="E6" s="20"/>
      <c r="F6" s="20"/>
      <c r="G6" s="20"/>
      <c r="H6" s="192"/>
      <c r="I6" s="193"/>
      <c r="J6" s="195"/>
      <c r="K6" s="194"/>
      <c r="L6" s="24"/>
      <c r="M6" s="58">
        <v>4</v>
      </c>
      <c r="O6" s="63" t="s">
        <v>94</v>
      </c>
      <c r="Q6" s="65"/>
      <c r="R6" s="66"/>
      <c r="S6" s="65"/>
      <c r="T6" s="133"/>
      <c r="U6" s="134"/>
      <c r="V6" s="65"/>
      <c r="X6" s="227">
        <v>2</v>
      </c>
      <c r="Y6" s="230" t="str">
        <f t="shared" ref="Y6:Y34" ca="1" si="24">IF(OR($P$91&lt;=1,$P$91="N.A."),"N.A.",$AQ5)</f>
        <v>N.A.</v>
      </c>
      <c r="Z6" s="230" t="str">
        <f t="shared" ref="Z6:Z34" ca="1" si="25">IF(OR($P$91&lt;=1,$P$91="N.A."),"N.A.",$AR5)</f>
        <v>N.A.</v>
      </c>
      <c r="AA6" s="230" t="str">
        <f t="shared" ca="1" si="0"/>
        <v>N.A.</v>
      </c>
      <c r="AB6" s="230" t="str">
        <f t="shared" ca="1" si="1"/>
        <v>N.A.</v>
      </c>
      <c r="AC6" s="230" t="str">
        <f t="shared" ca="1" si="2"/>
        <v>N.A.</v>
      </c>
      <c r="AD6" s="229" t="str">
        <f t="shared" ca="1" si="3"/>
        <v>N.A.</v>
      </c>
      <c r="AE6" s="229" t="str">
        <f t="shared" ca="1" si="4"/>
        <v>N.A.</v>
      </c>
      <c r="AF6" s="229" t="str">
        <f t="shared" ca="1" si="5"/>
        <v>N.A.</v>
      </c>
      <c r="AG6" s="229" t="str">
        <f t="shared" ca="1" si="6"/>
        <v>N.A.</v>
      </c>
      <c r="AH6" s="230" t="str">
        <f t="shared" ca="1" si="7"/>
        <v>N.A.</v>
      </c>
      <c r="AI6" s="230" t="str">
        <f t="shared" ca="1" si="8"/>
        <v>N.A.</v>
      </c>
      <c r="AJ6" s="230" t="str">
        <f t="shared" ca="1" si="9"/>
        <v>N.A.</v>
      </c>
      <c r="AK6" s="230" t="str">
        <f t="shared" ca="1" si="10"/>
        <v>N.A.</v>
      </c>
      <c r="AL6" s="230" t="str">
        <f t="shared" ca="1" si="11"/>
        <v>N.A.</v>
      </c>
      <c r="AM6" s="230" t="str">
        <f t="shared" ca="1" si="12"/>
        <v>N.A.</v>
      </c>
      <c r="AN6" s="230" t="str">
        <f t="shared" ca="1" si="13"/>
        <v>N.A.</v>
      </c>
      <c r="AO6" s="230" t="str">
        <f t="shared" ca="1" si="14"/>
        <v>N.A.</v>
      </c>
      <c r="AP6" s="230" t="str">
        <f t="shared" ca="1" si="15"/>
        <v>N.A.</v>
      </c>
      <c r="AQ6" s="230" t="str">
        <f t="shared" ca="1" si="16"/>
        <v>N.A.</v>
      </c>
      <c r="AR6" s="230" t="str">
        <f t="shared" ca="1" si="17"/>
        <v>N.A.</v>
      </c>
      <c r="AS6" s="229" t="str">
        <f t="shared" ca="1" si="18"/>
        <v>N.A.</v>
      </c>
      <c r="AT6" s="229" t="str">
        <f t="shared" ca="1" si="19"/>
        <v>N.A.</v>
      </c>
      <c r="AU6" s="230" t="str">
        <f t="shared" ca="1" si="20"/>
        <v>N.A.</v>
      </c>
      <c r="AV6" s="230" t="str">
        <f t="shared" ca="1" si="21"/>
        <v>N.A.</v>
      </c>
      <c r="AW6" s="230" t="str">
        <f t="shared" ca="1" si="22"/>
        <v>N.A.</v>
      </c>
      <c r="AX6" s="230" t="str">
        <f t="shared" ca="1" si="23"/>
        <v>N.A.</v>
      </c>
      <c r="BK6" s="122" t="s">
        <v>45</v>
      </c>
      <c r="BL6" s="231">
        <f ca="1">$BL$4-$D$11/2</f>
        <v>-5</v>
      </c>
      <c r="BM6" s="231">
        <f ca="1">$BL$4+$D$11/2</f>
        <v>5</v>
      </c>
      <c r="BN6" s="231">
        <f ca="1">$BL$4+$D$11/2</f>
        <v>5</v>
      </c>
      <c r="BO6" s="231">
        <f ca="1">$BL$4-$D$11/2</f>
        <v>-5</v>
      </c>
      <c r="BP6" s="231">
        <f ca="1">$BL$4-$D$11/2</f>
        <v>-5</v>
      </c>
    </row>
    <row r="7" spans="1:68">
      <c r="B7" s="21" t="s">
        <v>25</v>
      </c>
      <c r="C7" s="20"/>
      <c r="D7" s="20"/>
      <c r="E7" s="20"/>
      <c r="F7" s="218"/>
      <c r="G7" s="218"/>
      <c r="H7" s="258"/>
      <c r="I7" s="20"/>
      <c r="J7" s="20"/>
      <c r="K7" s="194"/>
      <c r="L7" s="24"/>
      <c r="M7" s="58">
        <v>5</v>
      </c>
      <c r="O7" s="68" t="s">
        <v>102</v>
      </c>
      <c r="P7" s="33">
        <f ca="1">($D$11*$D$12*$D$13)*$D$14</f>
        <v>15.999599999999997</v>
      </c>
      <c r="Q7" s="69" t="s">
        <v>66</v>
      </c>
      <c r="R7" s="69" t="s">
        <v>189</v>
      </c>
      <c r="S7" s="53"/>
      <c r="T7" s="53"/>
      <c r="W7" s="70"/>
      <c r="X7" s="227">
        <v>3</v>
      </c>
      <c r="Y7" s="230" t="str">
        <f t="shared" ca="1" si="24"/>
        <v>N.A.</v>
      </c>
      <c r="Z7" s="230" t="str">
        <f t="shared" ca="1" si="25"/>
        <v>N.A.</v>
      </c>
      <c r="AA7" s="230" t="str">
        <f t="shared" ca="1" si="0"/>
        <v>N.A.</v>
      </c>
      <c r="AB7" s="230" t="str">
        <f t="shared" ca="1" si="1"/>
        <v>N.A.</v>
      </c>
      <c r="AC7" s="230" t="str">
        <f t="shared" ca="1" si="2"/>
        <v>N.A.</v>
      </c>
      <c r="AD7" s="229" t="str">
        <f t="shared" ca="1" si="3"/>
        <v>N.A.</v>
      </c>
      <c r="AE7" s="229" t="str">
        <f t="shared" ca="1" si="4"/>
        <v>N.A.</v>
      </c>
      <c r="AF7" s="229" t="str">
        <f t="shared" ca="1" si="5"/>
        <v>N.A.</v>
      </c>
      <c r="AG7" s="229" t="str">
        <f t="shared" ca="1" si="6"/>
        <v>N.A.</v>
      </c>
      <c r="AH7" s="230" t="str">
        <f t="shared" ca="1" si="7"/>
        <v>N.A.</v>
      </c>
      <c r="AI7" s="230" t="str">
        <f t="shared" ca="1" si="8"/>
        <v>N.A.</v>
      </c>
      <c r="AJ7" s="230" t="str">
        <f t="shared" ca="1" si="9"/>
        <v>N.A.</v>
      </c>
      <c r="AK7" s="230" t="str">
        <f t="shared" ca="1" si="10"/>
        <v>N.A.</v>
      </c>
      <c r="AL7" s="230" t="str">
        <f t="shared" ca="1" si="11"/>
        <v>N.A.</v>
      </c>
      <c r="AM7" s="230" t="str">
        <f t="shared" ca="1" si="12"/>
        <v>N.A.</v>
      </c>
      <c r="AN7" s="230" t="str">
        <f t="shared" ca="1" si="13"/>
        <v>N.A.</v>
      </c>
      <c r="AO7" s="230" t="str">
        <f t="shared" ca="1" si="14"/>
        <v>N.A.</v>
      </c>
      <c r="AP7" s="230" t="str">
        <f t="shared" ca="1" si="15"/>
        <v>N.A.</v>
      </c>
      <c r="AQ7" s="230" t="str">
        <f t="shared" ca="1" si="16"/>
        <v>N.A.</v>
      </c>
      <c r="AR7" s="230" t="str">
        <f t="shared" ca="1" si="17"/>
        <v>N.A.</v>
      </c>
      <c r="AS7" s="229" t="str">
        <f t="shared" ca="1" si="18"/>
        <v>N.A.</v>
      </c>
      <c r="AT7" s="229" t="str">
        <f t="shared" ca="1" si="19"/>
        <v>N.A.</v>
      </c>
      <c r="AU7" s="230" t="str">
        <f t="shared" ca="1" si="20"/>
        <v>N.A.</v>
      </c>
      <c r="AV7" s="230" t="str">
        <f t="shared" ca="1" si="21"/>
        <v>N.A.</v>
      </c>
      <c r="AW7" s="230" t="str">
        <f t="shared" ca="1" si="22"/>
        <v>N.A.</v>
      </c>
      <c r="AX7" s="230" t="str">
        <f t="shared" ca="1" si="23"/>
        <v>N.A.</v>
      </c>
      <c r="AZ7" s="183" t="s">
        <v>227</v>
      </c>
      <c r="BA7" s="165" t="s">
        <v>233</v>
      </c>
      <c r="BB7" s="165"/>
      <c r="BC7" s="165"/>
      <c r="BD7" s="165"/>
      <c r="BE7" s="165"/>
      <c r="BF7" s="165"/>
      <c r="BG7" s="165"/>
      <c r="BH7" s="166"/>
      <c r="BK7" s="122" t="s">
        <v>46</v>
      </c>
      <c r="BL7" s="231">
        <f ca="1">$BL$5+$D$12/2</f>
        <v>4</v>
      </c>
      <c r="BM7" s="231">
        <f ca="1">$BL$5+$D$12/2</f>
        <v>4</v>
      </c>
      <c r="BN7" s="231">
        <f ca="1">$BL$5-$D$12/2</f>
        <v>-4</v>
      </c>
      <c r="BO7" s="231">
        <f ca="1">$BL$5-$D$12/2</f>
        <v>-4</v>
      </c>
      <c r="BP7" s="231">
        <f ca="1">$BL$5+$D$12/2</f>
        <v>4</v>
      </c>
    </row>
    <row r="8" spans="1:68">
      <c r="B8" s="23"/>
      <c r="C8" s="190"/>
      <c r="D8" s="20"/>
      <c r="E8" s="20"/>
      <c r="F8" s="218"/>
      <c r="G8" s="218"/>
      <c r="H8" s="24"/>
      <c r="I8" s="24"/>
      <c r="J8" s="24"/>
      <c r="K8" s="30"/>
      <c r="L8" s="24"/>
      <c r="M8" s="58">
        <v>6</v>
      </c>
      <c r="O8" s="81" t="s">
        <v>194</v>
      </c>
      <c r="P8" s="79">
        <f ca="1">SUM($P$16:$W$16)</f>
        <v>1.5043875</v>
      </c>
      <c r="Q8" s="62" t="s">
        <v>66</v>
      </c>
      <c r="R8" s="86" t="s">
        <v>192</v>
      </c>
      <c r="S8" s="64"/>
      <c r="T8" s="61"/>
      <c r="U8" s="64"/>
      <c r="W8" s="74"/>
      <c r="X8" s="227">
        <v>4</v>
      </c>
      <c r="Y8" s="230" t="str">
        <f t="shared" ca="1" si="24"/>
        <v>N.A.</v>
      </c>
      <c r="Z8" s="230" t="str">
        <f t="shared" ca="1" si="25"/>
        <v>N.A.</v>
      </c>
      <c r="AA8" s="230" t="str">
        <f t="shared" ca="1" si="0"/>
        <v>N.A.</v>
      </c>
      <c r="AB8" s="230" t="str">
        <f t="shared" ca="1" si="1"/>
        <v>N.A.</v>
      </c>
      <c r="AC8" s="230" t="str">
        <f t="shared" ca="1" si="2"/>
        <v>N.A.</v>
      </c>
      <c r="AD8" s="229" t="str">
        <f t="shared" ca="1" si="3"/>
        <v>N.A.</v>
      </c>
      <c r="AE8" s="229" t="str">
        <f t="shared" ca="1" si="4"/>
        <v>N.A.</v>
      </c>
      <c r="AF8" s="229" t="str">
        <f t="shared" ca="1" si="5"/>
        <v>N.A.</v>
      </c>
      <c r="AG8" s="229" t="str">
        <f t="shared" ca="1" si="6"/>
        <v>N.A.</v>
      </c>
      <c r="AH8" s="230" t="str">
        <f t="shared" ca="1" si="7"/>
        <v>N.A.</v>
      </c>
      <c r="AI8" s="230" t="str">
        <f t="shared" ca="1" si="8"/>
        <v>N.A.</v>
      </c>
      <c r="AJ8" s="230" t="str">
        <f t="shared" ca="1" si="9"/>
        <v>N.A.</v>
      </c>
      <c r="AK8" s="230" t="str">
        <f t="shared" ca="1" si="10"/>
        <v>N.A.</v>
      </c>
      <c r="AL8" s="230" t="str">
        <f t="shared" ca="1" si="11"/>
        <v>N.A.</v>
      </c>
      <c r="AM8" s="230" t="str">
        <f t="shared" ca="1" si="12"/>
        <v>N.A.</v>
      </c>
      <c r="AN8" s="230" t="str">
        <f t="shared" ca="1" si="13"/>
        <v>N.A.</v>
      </c>
      <c r="AO8" s="230" t="str">
        <f t="shared" ca="1" si="14"/>
        <v>N.A.</v>
      </c>
      <c r="AP8" s="230" t="str">
        <f t="shared" ca="1" si="15"/>
        <v>N.A.</v>
      </c>
      <c r="AQ8" s="230" t="str">
        <f t="shared" ca="1" si="16"/>
        <v>N.A.</v>
      </c>
      <c r="AR8" s="230" t="str">
        <f t="shared" ca="1" si="17"/>
        <v>N.A.</v>
      </c>
      <c r="AS8" s="229" t="str">
        <f t="shared" ca="1" si="18"/>
        <v>N.A.</v>
      </c>
      <c r="AT8" s="229" t="str">
        <f t="shared" ca="1" si="19"/>
        <v>N.A.</v>
      </c>
      <c r="AU8" s="230" t="str">
        <f t="shared" ca="1" si="20"/>
        <v>N.A.</v>
      </c>
      <c r="AV8" s="230" t="str">
        <f t="shared" ca="1" si="21"/>
        <v>N.A.</v>
      </c>
      <c r="AW8" s="230" t="str">
        <f t="shared" ca="1" si="22"/>
        <v>N.A.</v>
      </c>
      <c r="AX8" s="230" t="str">
        <f t="shared" ca="1" si="23"/>
        <v>N.A.</v>
      </c>
      <c r="AZ8" s="167"/>
      <c r="BA8" s="168" t="s">
        <v>228</v>
      </c>
      <c r="BB8" s="169"/>
      <c r="BC8" s="169"/>
      <c r="BD8" s="169"/>
      <c r="BE8" s="169"/>
      <c r="BF8" s="169"/>
      <c r="BG8" s="169"/>
      <c r="BH8" s="170"/>
      <c r="BK8" s="122" t="s">
        <v>47</v>
      </c>
      <c r="BL8" s="231">
        <f ca="1">$C$25-$C$27/2</f>
        <v>-2.875</v>
      </c>
      <c r="BM8" s="231">
        <f ca="1">$C$25+$C$27/2</f>
        <v>-0.125</v>
      </c>
      <c r="BN8" s="231">
        <f ca="1">$C$25+$C$27/2</f>
        <v>-0.125</v>
      </c>
      <c r="BO8" s="231">
        <f ca="1">$C$25-$C$27/2</f>
        <v>-2.875</v>
      </c>
      <c r="BP8" s="231">
        <f ca="1">$C$25-$C$27/2</f>
        <v>-2.875</v>
      </c>
    </row>
    <row r="9" spans="1:68">
      <c r="B9" s="44" t="s">
        <v>243</v>
      </c>
      <c r="C9" s="257"/>
      <c r="D9" s="218"/>
      <c r="E9" s="20"/>
      <c r="F9" s="20"/>
      <c r="G9" s="24"/>
      <c r="H9" s="142"/>
      <c r="I9" s="24"/>
      <c r="J9" s="24"/>
      <c r="K9" s="30"/>
      <c r="L9" s="24"/>
      <c r="M9" s="58">
        <v>7</v>
      </c>
      <c r="O9" s="68" t="s">
        <v>95</v>
      </c>
      <c r="P9" s="33">
        <f ca="1">($D$11*$D$12*$D$15)*$D$16</f>
        <v>23.495999999999999</v>
      </c>
      <c r="Q9" s="76" t="s">
        <v>66</v>
      </c>
      <c r="R9" s="76" t="s">
        <v>190</v>
      </c>
      <c r="S9" s="40"/>
      <c r="T9" s="40"/>
      <c r="W9" s="74"/>
      <c r="X9" s="227">
        <v>5</v>
      </c>
      <c r="Y9" s="230" t="str">
        <f t="shared" ca="1" si="24"/>
        <v>N.A.</v>
      </c>
      <c r="Z9" s="230" t="str">
        <f t="shared" ca="1" si="25"/>
        <v>N.A.</v>
      </c>
      <c r="AA9" s="230" t="str">
        <f t="shared" ca="1" si="0"/>
        <v>N.A.</v>
      </c>
      <c r="AB9" s="230" t="str">
        <f t="shared" ca="1" si="1"/>
        <v>N.A.</v>
      </c>
      <c r="AC9" s="230" t="str">
        <f t="shared" ca="1" si="2"/>
        <v>N.A.</v>
      </c>
      <c r="AD9" s="229" t="str">
        <f t="shared" ca="1" si="3"/>
        <v>N.A.</v>
      </c>
      <c r="AE9" s="229" t="str">
        <f t="shared" ca="1" si="4"/>
        <v>N.A.</v>
      </c>
      <c r="AF9" s="229" t="str">
        <f t="shared" ca="1" si="5"/>
        <v>N.A.</v>
      </c>
      <c r="AG9" s="229" t="str">
        <f t="shared" ca="1" si="6"/>
        <v>N.A.</v>
      </c>
      <c r="AH9" s="230" t="str">
        <f t="shared" ca="1" si="7"/>
        <v>N.A.</v>
      </c>
      <c r="AI9" s="230" t="str">
        <f t="shared" ca="1" si="8"/>
        <v>N.A.</v>
      </c>
      <c r="AJ9" s="230" t="str">
        <f t="shared" ca="1" si="9"/>
        <v>N.A.</v>
      </c>
      <c r="AK9" s="230" t="str">
        <f t="shared" ca="1" si="10"/>
        <v>N.A.</v>
      </c>
      <c r="AL9" s="230" t="str">
        <f t="shared" ca="1" si="11"/>
        <v>N.A.</v>
      </c>
      <c r="AM9" s="230" t="str">
        <f t="shared" ca="1" si="12"/>
        <v>N.A.</v>
      </c>
      <c r="AN9" s="230" t="str">
        <f t="shared" ca="1" si="13"/>
        <v>N.A.</v>
      </c>
      <c r="AO9" s="230" t="str">
        <f t="shared" ca="1" si="14"/>
        <v>N.A.</v>
      </c>
      <c r="AP9" s="230" t="str">
        <f t="shared" ca="1" si="15"/>
        <v>N.A.</v>
      </c>
      <c r="AQ9" s="230" t="str">
        <f t="shared" ca="1" si="16"/>
        <v>N.A.</v>
      </c>
      <c r="AR9" s="230" t="str">
        <f t="shared" ca="1" si="17"/>
        <v>N.A.</v>
      </c>
      <c r="AS9" s="229" t="str">
        <f t="shared" ca="1" si="18"/>
        <v>N.A.</v>
      </c>
      <c r="AT9" s="229" t="str">
        <f t="shared" ca="1" si="19"/>
        <v>N.A.</v>
      </c>
      <c r="AU9" s="230" t="str">
        <f t="shared" ca="1" si="20"/>
        <v>N.A.</v>
      </c>
      <c r="AV9" s="230" t="str">
        <f t="shared" ca="1" si="21"/>
        <v>N.A.</v>
      </c>
      <c r="AW9" s="230" t="str">
        <f t="shared" ca="1" si="22"/>
        <v>N.A.</v>
      </c>
      <c r="AX9" s="230" t="str">
        <f t="shared" ca="1" si="23"/>
        <v>N.A.</v>
      </c>
      <c r="AZ9" s="167"/>
      <c r="BA9" s="168" t="s">
        <v>229</v>
      </c>
      <c r="BB9" s="169"/>
      <c r="BC9" s="169"/>
      <c r="BD9" s="169"/>
      <c r="BE9" s="169"/>
      <c r="BF9" s="169"/>
      <c r="BG9" s="169"/>
      <c r="BH9" s="170"/>
      <c r="BK9" s="122" t="s">
        <v>48</v>
      </c>
      <c r="BL9" s="231">
        <f ca="1">$C$26+$C$28/2</f>
        <v>0.875</v>
      </c>
      <c r="BM9" s="231">
        <f ca="1">$C$26+$C$28/2</f>
        <v>0.875</v>
      </c>
      <c r="BN9" s="231">
        <f ca="1">$C$26-$C$28/2</f>
        <v>-0.875</v>
      </c>
      <c r="BO9" s="231">
        <f ca="1">$C$26-$C$28/2</f>
        <v>-0.875</v>
      </c>
      <c r="BP9" s="231">
        <f ca="1">$C$26+$C$28/2</f>
        <v>0.875</v>
      </c>
    </row>
    <row r="10" spans="1:68">
      <c r="B10" s="19"/>
      <c r="C10" s="20"/>
      <c r="D10" s="20"/>
      <c r="E10" s="20"/>
      <c r="F10" s="20"/>
      <c r="G10" s="142"/>
      <c r="H10" s="24"/>
      <c r="I10" s="24"/>
      <c r="J10" s="24"/>
      <c r="K10" s="30"/>
      <c r="M10" s="58">
        <v>8</v>
      </c>
      <c r="O10" s="68" t="s">
        <v>96</v>
      </c>
      <c r="P10" s="33">
        <f ca="1">($D$11*$D$12)*$D$19</f>
        <v>8</v>
      </c>
      <c r="Q10" s="76" t="s">
        <v>66</v>
      </c>
      <c r="R10" s="69" t="s">
        <v>191</v>
      </c>
      <c r="S10" s="40"/>
      <c r="T10" s="40"/>
      <c r="X10" s="227">
        <v>6</v>
      </c>
      <c r="Y10" s="230" t="str">
        <f t="shared" ca="1" si="24"/>
        <v>N.A.</v>
      </c>
      <c r="Z10" s="230" t="str">
        <f t="shared" ca="1" si="25"/>
        <v>N.A.</v>
      </c>
      <c r="AA10" s="230" t="str">
        <f t="shared" ca="1" si="0"/>
        <v>N.A.</v>
      </c>
      <c r="AB10" s="230" t="str">
        <f t="shared" ca="1" si="1"/>
        <v>N.A.</v>
      </c>
      <c r="AC10" s="230" t="str">
        <f t="shared" ca="1" si="2"/>
        <v>N.A.</v>
      </c>
      <c r="AD10" s="229" t="str">
        <f t="shared" ca="1" si="3"/>
        <v>N.A.</v>
      </c>
      <c r="AE10" s="229" t="str">
        <f t="shared" ca="1" si="4"/>
        <v>N.A.</v>
      </c>
      <c r="AF10" s="229" t="str">
        <f t="shared" ca="1" si="5"/>
        <v>N.A.</v>
      </c>
      <c r="AG10" s="229" t="str">
        <f t="shared" ca="1" si="6"/>
        <v>N.A.</v>
      </c>
      <c r="AH10" s="230" t="str">
        <f t="shared" ca="1" si="7"/>
        <v>N.A.</v>
      </c>
      <c r="AI10" s="230" t="str">
        <f t="shared" ca="1" si="8"/>
        <v>N.A.</v>
      </c>
      <c r="AJ10" s="230" t="str">
        <f t="shared" ca="1" si="9"/>
        <v>N.A.</v>
      </c>
      <c r="AK10" s="230" t="str">
        <f t="shared" ca="1" si="10"/>
        <v>N.A.</v>
      </c>
      <c r="AL10" s="230" t="str">
        <f t="shared" ca="1" si="11"/>
        <v>N.A.</v>
      </c>
      <c r="AM10" s="230" t="str">
        <f t="shared" ca="1" si="12"/>
        <v>N.A.</v>
      </c>
      <c r="AN10" s="230" t="str">
        <f t="shared" ca="1" si="13"/>
        <v>N.A.</v>
      </c>
      <c r="AO10" s="230" t="str">
        <f t="shared" ca="1" si="14"/>
        <v>N.A.</v>
      </c>
      <c r="AP10" s="230" t="str">
        <f t="shared" ca="1" si="15"/>
        <v>N.A.</v>
      </c>
      <c r="AQ10" s="230" t="str">
        <f t="shared" ca="1" si="16"/>
        <v>N.A.</v>
      </c>
      <c r="AR10" s="230" t="str">
        <f t="shared" ca="1" si="17"/>
        <v>N.A.</v>
      </c>
      <c r="AS10" s="229" t="str">
        <f t="shared" ca="1" si="18"/>
        <v>N.A.</v>
      </c>
      <c r="AT10" s="229" t="str">
        <f t="shared" ca="1" si="19"/>
        <v>N.A.</v>
      </c>
      <c r="AU10" s="230" t="str">
        <f t="shared" ca="1" si="20"/>
        <v>N.A.</v>
      </c>
      <c r="AV10" s="230" t="str">
        <f t="shared" ca="1" si="21"/>
        <v>N.A.</v>
      </c>
      <c r="AW10" s="230" t="str">
        <f t="shared" ca="1" si="22"/>
        <v>N.A.</v>
      </c>
      <c r="AX10" s="230" t="str">
        <f t="shared" ca="1" si="23"/>
        <v>N.A.</v>
      </c>
      <c r="AZ10" s="174"/>
      <c r="BA10" s="168" t="s">
        <v>230</v>
      </c>
      <c r="BB10" s="169"/>
      <c r="BC10" s="169"/>
      <c r="BD10" s="169"/>
      <c r="BE10" s="168"/>
      <c r="BF10" s="169"/>
      <c r="BG10" s="169"/>
      <c r="BH10" s="170"/>
      <c r="BK10" s="122" t="s">
        <v>49</v>
      </c>
      <c r="BL10" s="231">
        <f ca="1">$D$25-$D$27/2</f>
        <v>0.125</v>
      </c>
      <c r="BM10" s="231">
        <f ca="1">$D$25+$D$27/2</f>
        <v>2.875</v>
      </c>
      <c r="BN10" s="231">
        <f ca="1">$D$25+$D$27/2</f>
        <v>2.875</v>
      </c>
      <c r="BO10" s="231">
        <f ca="1">$D$25-$D$27/2</f>
        <v>0.125</v>
      </c>
      <c r="BP10" s="231">
        <f ca="1">$D$25-$D$27/2</f>
        <v>0.125</v>
      </c>
    </row>
    <row r="11" spans="1:68" ht="15">
      <c r="A11" s="57">
        <v>2</v>
      </c>
      <c r="B11" s="19"/>
      <c r="C11" s="35" t="s">
        <v>244</v>
      </c>
      <c r="D11" s="269" t="str">
        <f ca="1">SUBSTITUTE(VLOOKUP(RIGHT( CELL("имяфайла",$E$2), LEN( CELL("имяфайла",$E$2))-FIND("]", CELL("имяфайла",$E$2))),Summary!C:Z,$A11,FALSE),".",",")</f>
        <v>10,0000</v>
      </c>
      <c r="E11" s="34" t="s">
        <v>41</v>
      </c>
      <c r="F11" s="143"/>
      <c r="G11" s="24"/>
      <c r="H11" s="24"/>
      <c r="I11" s="24"/>
      <c r="J11" s="24"/>
      <c r="K11" s="30"/>
      <c r="N11" s="58"/>
      <c r="O11" s="68" t="s">
        <v>98</v>
      </c>
      <c r="P11" s="33">
        <f ca="1">$P$7+$P$9+$P$10</f>
        <v>47.495599999999996</v>
      </c>
      <c r="Q11" s="76" t="s">
        <v>66</v>
      </c>
      <c r="R11" s="76" t="s">
        <v>193</v>
      </c>
      <c r="S11" s="40"/>
      <c r="X11" s="227">
        <v>7</v>
      </c>
      <c r="Y11" s="230" t="str">
        <f t="shared" ca="1" si="24"/>
        <v>N.A.</v>
      </c>
      <c r="Z11" s="230" t="str">
        <f t="shared" ca="1" si="25"/>
        <v>N.A.</v>
      </c>
      <c r="AA11" s="230" t="str">
        <f t="shared" ca="1" si="0"/>
        <v>N.A.</v>
      </c>
      <c r="AB11" s="230" t="str">
        <f t="shared" ca="1" si="1"/>
        <v>N.A.</v>
      </c>
      <c r="AC11" s="230" t="str">
        <f t="shared" ca="1" si="2"/>
        <v>N.A.</v>
      </c>
      <c r="AD11" s="229" t="str">
        <f t="shared" ca="1" si="3"/>
        <v>N.A.</v>
      </c>
      <c r="AE11" s="229" t="str">
        <f t="shared" ca="1" si="4"/>
        <v>N.A.</v>
      </c>
      <c r="AF11" s="229" t="str">
        <f t="shared" ca="1" si="5"/>
        <v>N.A.</v>
      </c>
      <c r="AG11" s="229" t="str">
        <f t="shared" ca="1" si="6"/>
        <v>N.A.</v>
      </c>
      <c r="AH11" s="230" t="str">
        <f t="shared" ca="1" si="7"/>
        <v>N.A.</v>
      </c>
      <c r="AI11" s="230" t="str">
        <f t="shared" ca="1" si="8"/>
        <v>N.A.</v>
      </c>
      <c r="AJ11" s="230" t="str">
        <f t="shared" ca="1" si="9"/>
        <v>N.A.</v>
      </c>
      <c r="AK11" s="230" t="str">
        <f t="shared" ca="1" si="10"/>
        <v>N.A.</v>
      </c>
      <c r="AL11" s="230" t="str">
        <f t="shared" ca="1" si="11"/>
        <v>N.A.</v>
      </c>
      <c r="AM11" s="230" t="str">
        <f t="shared" ca="1" si="12"/>
        <v>N.A.</v>
      </c>
      <c r="AN11" s="230" t="str">
        <f t="shared" ca="1" si="13"/>
        <v>N.A.</v>
      </c>
      <c r="AO11" s="230" t="str">
        <f t="shared" ca="1" si="14"/>
        <v>N.A.</v>
      </c>
      <c r="AP11" s="230" t="str">
        <f t="shared" ca="1" si="15"/>
        <v>N.A.</v>
      </c>
      <c r="AQ11" s="230" t="str">
        <f t="shared" ca="1" si="16"/>
        <v>N.A.</v>
      </c>
      <c r="AR11" s="230" t="str">
        <f t="shared" ca="1" si="17"/>
        <v>N.A.</v>
      </c>
      <c r="AS11" s="229" t="str">
        <f t="shared" ca="1" si="18"/>
        <v>N.A.</v>
      </c>
      <c r="AT11" s="229" t="str">
        <f t="shared" ca="1" si="19"/>
        <v>N.A.</v>
      </c>
      <c r="AU11" s="230" t="str">
        <f t="shared" ca="1" si="20"/>
        <v>N.A.</v>
      </c>
      <c r="AV11" s="230" t="str">
        <f t="shared" ca="1" si="21"/>
        <v>N.A.</v>
      </c>
      <c r="AW11" s="230" t="str">
        <f t="shared" ca="1" si="22"/>
        <v>N.A.</v>
      </c>
      <c r="AX11" s="230" t="str">
        <f t="shared" ca="1" si="23"/>
        <v>N.A.</v>
      </c>
      <c r="AZ11" s="174"/>
      <c r="BA11" s="168" t="s">
        <v>231</v>
      </c>
      <c r="BB11" s="169"/>
      <c r="BC11" s="169"/>
      <c r="BD11" s="169"/>
      <c r="BE11" s="169"/>
      <c r="BF11" s="169"/>
      <c r="BG11" s="169"/>
      <c r="BH11" s="170"/>
      <c r="BK11" s="122" t="s">
        <v>50</v>
      </c>
      <c r="BL11" s="231">
        <f ca="1">$D$26+$D$28/2</f>
        <v>0.875</v>
      </c>
      <c r="BM11" s="231">
        <f ca="1">$D$26+$D$28/2</f>
        <v>0.875</v>
      </c>
      <c r="BN11" s="231">
        <f ca="1">$D$26-$D$28/2</f>
        <v>-0.875</v>
      </c>
      <c r="BO11" s="231">
        <f ca="1">$D$26-$D$28/2</f>
        <v>-0.875</v>
      </c>
      <c r="BP11" s="231">
        <f ca="1">$D$26+$D$28/2</f>
        <v>0.875</v>
      </c>
    </row>
    <row r="12" spans="1:68" ht="15">
      <c r="A12" s="57">
        <v>3</v>
      </c>
      <c r="B12" s="19"/>
      <c r="C12" s="35" t="s">
        <v>245</v>
      </c>
      <c r="D12" s="269" t="str">
        <f ca="1">SUBSTITUTE(VLOOKUP(RIGHT( CELL("имяфайла",$E$2), LEN( CELL("имяфайла",$E$2))-FIND("]", CELL("имяфайла",$E$2))),Summary!C:Z,$A12,FALSE),".",",")</f>
        <v>8,0000</v>
      </c>
      <c r="E12" s="34" t="s">
        <v>41</v>
      </c>
      <c r="F12" s="24"/>
      <c r="G12" s="24"/>
      <c r="H12" s="24"/>
      <c r="I12" s="24"/>
      <c r="J12" s="24"/>
      <c r="K12" s="30"/>
      <c r="N12" s="58"/>
      <c r="O12" s="63" t="s">
        <v>99</v>
      </c>
      <c r="P12" s="33"/>
      <c r="Q12" s="76"/>
      <c r="R12" s="76"/>
      <c r="S12" s="40"/>
      <c r="T12" s="40"/>
      <c r="U12" s="40"/>
      <c r="V12" s="40"/>
      <c r="W12" s="73"/>
      <c r="X12" s="227">
        <v>8</v>
      </c>
      <c r="Y12" s="230" t="str">
        <f t="shared" ca="1" si="24"/>
        <v>N.A.</v>
      </c>
      <c r="Z12" s="230" t="str">
        <f t="shared" ca="1" si="25"/>
        <v>N.A.</v>
      </c>
      <c r="AA12" s="230" t="str">
        <f t="shared" ca="1" si="0"/>
        <v>N.A.</v>
      </c>
      <c r="AB12" s="230" t="str">
        <f t="shared" ca="1" si="1"/>
        <v>N.A.</v>
      </c>
      <c r="AC12" s="230" t="str">
        <f t="shared" ca="1" si="2"/>
        <v>N.A.</v>
      </c>
      <c r="AD12" s="229" t="str">
        <f t="shared" ca="1" si="3"/>
        <v>N.A.</v>
      </c>
      <c r="AE12" s="229" t="str">
        <f t="shared" ca="1" si="4"/>
        <v>N.A.</v>
      </c>
      <c r="AF12" s="229" t="str">
        <f t="shared" ca="1" si="5"/>
        <v>N.A.</v>
      </c>
      <c r="AG12" s="229" t="str">
        <f t="shared" ca="1" si="6"/>
        <v>N.A.</v>
      </c>
      <c r="AH12" s="230" t="str">
        <f t="shared" ca="1" si="7"/>
        <v>N.A.</v>
      </c>
      <c r="AI12" s="230" t="str">
        <f t="shared" ca="1" si="8"/>
        <v>N.A.</v>
      </c>
      <c r="AJ12" s="230" t="str">
        <f t="shared" ca="1" si="9"/>
        <v>N.A.</v>
      </c>
      <c r="AK12" s="230" t="str">
        <f t="shared" ca="1" si="10"/>
        <v>N.A.</v>
      </c>
      <c r="AL12" s="230" t="str">
        <f t="shared" ca="1" si="11"/>
        <v>N.A.</v>
      </c>
      <c r="AM12" s="230" t="str">
        <f t="shared" ca="1" si="12"/>
        <v>N.A.</v>
      </c>
      <c r="AN12" s="230" t="str">
        <f t="shared" ca="1" si="13"/>
        <v>N.A.</v>
      </c>
      <c r="AO12" s="230" t="str">
        <f t="shared" ca="1" si="14"/>
        <v>N.A.</v>
      </c>
      <c r="AP12" s="230" t="str">
        <f t="shared" ca="1" si="15"/>
        <v>N.A.</v>
      </c>
      <c r="AQ12" s="230" t="str">
        <f t="shared" ca="1" si="16"/>
        <v>N.A.</v>
      </c>
      <c r="AR12" s="230" t="str">
        <f t="shared" ca="1" si="17"/>
        <v>N.A.</v>
      </c>
      <c r="AS12" s="229" t="str">
        <f t="shared" ca="1" si="18"/>
        <v>N.A.</v>
      </c>
      <c r="AT12" s="229" t="str">
        <f t="shared" ca="1" si="19"/>
        <v>N.A.</v>
      </c>
      <c r="AU12" s="230" t="str">
        <f t="shared" ca="1" si="20"/>
        <v>N.A.</v>
      </c>
      <c r="AV12" s="230" t="str">
        <f t="shared" ca="1" si="21"/>
        <v>N.A.</v>
      </c>
      <c r="AW12" s="230" t="str">
        <f t="shared" ca="1" si="22"/>
        <v>N.A.</v>
      </c>
      <c r="AX12" s="230" t="str">
        <f t="shared" ca="1" si="23"/>
        <v>N.A.</v>
      </c>
      <c r="AZ12" s="174"/>
      <c r="BA12" s="168" t="s">
        <v>234</v>
      </c>
      <c r="BB12" s="169"/>
      <c r="BC12" s="169"/>
      <c r="BD12" s="169"/>
      <c r="BE12" s="169"/>
      <c r="BF12" s="169"/>
      <c r="BG12" s="169"/>
      <c r="BH12" s="170"/>
      <c r="BK12" s="122" t="s">
        <v>51</v>
      </c>
      <c r="BL12" s="231">
        <f>$E$25-$E$27/2</f>
        <v>0</v>
      </c>
      <c r="BM12" s="231">
        <f>$E$25+$E$27/2</f>
        <v>0</v>
      </c>
      <c r="BN12" s="231">
        <f>$E$25+$E$27/2</f>
        <v>0</v>
      </c>
      <c r="BO12" s="231">
        <f>$E$25-$E$27/2</f>
        <v>0</v>
      </c>
      <c r="BP12" s="231">
        <f>$E$25-$E$27/2</f>
        <v>0</v>
      </c>
    </row>
    <row r="13" spans="1:68" ht="15">
      <c r="A13" s="57">
        <v>7</v>
      </c>
      <c r="B13" s="19"/>
      <c r="C13" s="35" t="s">
        <v>246</v>
      </c>
      <c r="D13" s="269" t="str">
        <f ca="1">SUBSTITUTE(VLOOKUP(RIGHT( CELL("имяфайла",$E$2), LEN( CELL("имяфайла",$E$2))-FIND("]", CELL("имяфайла",$E$2))),Summary!C:Z,$A13,FALSE),".",",")</f>
        <v>1,3333</v>
      </c>
      <c r="E13" s="34" t="s">
        <v>41</v>
      </c>
      <c r="F13" s="24"/>
      <c r="G13" s="24"/>
      <c r="H13" s="24"/>
      <c r="I13" s="24"/>
      <c r="J13" s="143"/>
      <c r="K13" s="30"/>
      <c r="N13" s="58"/>
      <c r="O13" s="64"/>
      <c r="P13" s="53" t="s">
        <v>31</v>
      </c>
      <c r="Q13" s="53" t="s">
        <v>32</v>
      </c>
      <c r="R13" s="53" t="s">
        <v>33</v>
      </c>
      <c r="S13" s="53" t="s">
        <v>34</v>
      </c>
      <c r="T13" s="53" t="s">
        <v>35</v>
      </c>
      <c r="U13" s="53" t="s">
        <v>36</v>
      </c>
      <c r="V13" s="53" t="s">
        <v>37</v>
      </c>
      <c r="W13" s="53" t="s">
        <v>38</v>
      </c>
      <c r="X13" s="227">
        <v>9</v>
      </c>
      <c r="Y13" s="230" t="str">
        <f t="shared" ca="1" si="24"/>
        <v>N.A.</v>
      </c>
      <c r="Z13" s="230" t="str">
        <f t="shared" ca="1" si="25"/>
        <v>N.A.</v>
      </c>
      <c r="AA13" s="230" t="str">
        <f t="shared" ca="1" si="0"/>
        <v>N.A.</v>
      </c>
      <c r="AB13" s="230" t="str">
        <f t="shared" ca="1" si="1"/>
        <v>N.A.</v>
      </c>
      <c r="AC13" s="230" t="str">
        <f t="shared" ca="1" si="2"/>
        <v>N.A.</v>
      </c>
      <c r="AD13" s="229" t="str">
        <f t="shared" ca="1" si="3"/>
        <v>N.A.</v>
      </c>
      <c r="AE13" s="229" t="str">
        <f t="shared" ca="1" si="4"/>
        <v>N.A.</v>
      </c>
      <c r="AF13" s="229" t="str">
        <f t="shared" ca="1" si="5"/>
        <v>N.A.</v>
      </c>
      <c r="AG13" s="229" t="str">
        <f t="shared" ca="1" si="6"/>
        <v>N.A.</v>
      </c>
      <c r="AH13" s="230" t="str">
        <f t="shared" ca="1" si="7"/>
        <v>N.A.</v>
      </c>
      <c r="AI13" s="230" t="str">
        <f t="shared" ca="1" si="8"/>
        <v>N.A.</v>
      </c>
      <c r="AJ13" s="230" t="str">
        <f t="shared" ca="1" si="9"/>
        <v>N.A.</v>
      </c>
      <c r="AK13" s="230" t="str">
        <f t="shared" ca="1" si="10"/>
        <v>N.A.</v>
      </c>
      <c r="AL13" s="230" t="str">
        <f t="shared" ca="1" si="11"/>
        <v>N.A.</v>
      </c>
      <c r="AM13" s="230" t="str">
        <f t="shared" ca="1" si="12"/>
        <v>N.A.</v>
      </c>
      <c r="AN13" s="230" t="str">
        <f t="shared" ca="1" si="13"/>
        <v>N.A.</v>
      </c>
      <c r="AO13" s="230" t="str">
        <f t="shared" ca="1" si="14"/>
        <v>N.A.</v>
      </c>
      <c r="AP13" s="230" t="str">
        <f t="shared" ca="1" si="15"/>
        <v>N.A.</v>
      </c>
      <c r="AQ13" s="230" t="str">
        <f t="shared" ca="1" si="16"/>
        <v>N.A.</v>
      </c>
      <c r="AR13" s="230" t="str">
        <f t="shared" ca="1" si="17"/>
        <v>N.A.</v>
      </c>
      <c r="AS13" s="229" t="str">
        <f t="shared" ca="1" si="18"/>
        <v>N.A.</v>
      </c>
      <c r="AT13" s="229" t="str">
        <f t="shared" ca="1" si="19"/>
        <v>N.A.</v>
      </c>
      <c r="AU13" s="230" t="str">
        <f t="shared" ca="1" si="20"/>
        <v>N.A.</v>
      </c>
      <c r="AV13" s="230" t="str">
        <f t="shared" ca="1" si="21"/>
        <v>N.A.</v>
      </c>
      <c r="AW13" s="230" t="str">
        <f t="shared" ca="1" si="22"/>
        <v>N.A.</v>
      </c>
      <c r="AX13" s="230" t="str">
        <f t="shared" ca="1" si="23"/>
        <v>N.A.</v>
      </c>
      <c r="AZ13" s="175"/>
      <c r="BA13" s="171" t="s">
        <v>232</v>
      </c>
      <c r="BB13" s="172"/>
      <c r="BC13" s="172"/>
      <c r="BD13" s="172"/>
      <c r="BE13" s="172"/>
      <c r="BF13" s="172"/>
      <c r="BG13" s="172"/>
      <c r="BH13" s="173"/>
      <c r="BK13" s="122" t="s">
        <v>52</v>
      </c>
      <c r="BL13" s="231">
        <f>$E$26+$E$28/2</f>
        <v>0</v>
      </c>
      <c r="BM13" s="231">
        <f>$E$26+$E$28/2</f>
        <v>0</v>
      </c>
      <c r="BN13" s="231">
        <f>$E$26-$E$28/2</f>
        <v>0</v>
      </c>
      <c r="BO13" s="231">
        <f>$E$26-$E$28/2</f>
        <v>0</v>
      </c>
      <c r="BP13" s="231">
        <f>$E$26+$E$28/2</f>
        <v>0</v>
      </c>
    </row>
    <row r="14" spans="1:68" ht="15">
      <c r="A14" s="57">
        <v>17</v>
      </c>
      <c r="B14" s="19"/>
      <c r="C14" s="35" t="s">
        <v>97</v>
      </c>
      <c r="D14" s="269" t="str">
        <f ca="1">SUBSTITUTE(VLOOKUP(RIGHT( CELL("имяфайла",$E$2), LEN( CELL("имяфайла",$E$2))-FIND("]", CELL("имяфайла",$E$2))),Summary!C:Z,$A14,FALSE),".",",")</f>
        <v>0,15</v>
      </c>
      <c r="E14" s="48" t="s">
        <v>248</v>
      </c>
      <c r="F14" s="24"/>
      <c r="G14" s="24"/>
      <c r="H14" s="24"/>
      <c r="I14" s="24"/>
      <c r="J14" s="24"/>
      <c r="K14" s="30"/>
      <c r="N14" s="58"/>
      <c r="O14" s="78" t="s">
        <v>100</v>
      </c>
      <c r="P14" s="61">
        <f>IF($D$22&gt;=1,$C$25-$P$4,"")</f>
        <v>-1.5</v>
      </c>
      <c r="Q14" s="61">
        <f>IF($D$22&gt;=2,$D$25-$P$4,"")</f>
        <v>1.5</v>
      </c>
      <c r="R14" s="61" t="str">
        <f>IF($D$22&gt;=3,$E$25-$P$4,"")</f>
        <v/>
      </c>
      <c r="S14" s="61" t="str">
        <f>IF($D$22&gt;=4,$F$25-$P$4,"")</f>
        <v/>
      </c>
      <c r="T14" s="61" t="str">
        <f>IF($D$22&gt;=5,$G$25-$P$4,"")</f>
        <v/>
      </c>
      <c r="U14" s="61" t="str">
        <f>IF($D$22&gt;=6,$H$25-$P$4,"")</f>
        <v/>
      </c>
      <c r="V14" s="61" t="str">
        <f>IF($D$22&gt;=7,$I$25-$P$4,"")</f>
        <v/>
      </c>
      <c r="W14" s="61" t="str">
        <f>IF($D$22=8,$J$25-$P$4,"")</f>
        <v/>
      </c>
      <c r="X14" s="227">
        <v>10</v>
      </c>
      <c r="Y14" s="230" t="str">
        <f t="shared" ca="1" si="24"/>
        <v>N.A.</v>
      </c>
      <c r="Z14" s="230" t="str">
        <f t="shared" ca="1" si="25"/>
        <v>N.A.</v>
      </c>
      <c r="AA14" s="230" t="str">
        <f t="shared" ca="1" si="0"/>
        <v>N.A.</v>
      </c>
      <c r="AB14" s="230" t="str">
        <f t="shared" ca="1" si="1"/>
        <v>N.A.</v>
      </c>
      <c r="AC14" s="230" t="str">
        <f t="shared" ca="1" si="2"/>
        <v>N.A.</v>
      </c>
      <c r="AD14" s="229" t="str">
        <f t="shared" ca="1" si="3"/>
        <v>N.A.</v>
      </c>
      <c r="AE14" s="229" t="str">
        <f t="shared" ca="1" si="4"/>
        <v>N.A.</v>
      </c>
      <c r="AF14" s="229" t="str">
        <f t="shared" ca="1" si="5"/>
        <v>N.A.</v>
      </c>
      <c r="AG14" s="229" t="str">
        <f t="shared" ca="1" si="6"/>
        <v>N.A.</v>
      </c>
      <c r="AH14" s="230" t="str">
        <f t="shared" ca="1" si="7"/>
        <v>N.A.</v>
      </c>
      <c r="AI14" s="230" t="str">
        <f t="shared" ca="1" si="8"/>
        <v>N.A.</v>
      </c>
      <c r="AJ14" s="230" t="str">
        <f t="shared" ca="1" si="9"/>
        <v>N.A.</v>
      </c>
      <c r="AK14" s="230" t="str">
        <f t="shared" ca="1" si="10"/>
        <v>N.A.</v>
      </c>
      <c r="AL14" s="230" t="str">
        <f t="shared" ca="1" si="11"/>
        <v>N.A.</v>
      </c>
      <c r="AM14" s="230" t="str">
        <f t="shared" ca="1" si="12"/>
        <v>N.A.</v>
      </c>
      <c r="AN14" s="230" t="str">
        <f t="shared" ca="1" si="13"/>
        <v>N.A.</v>
      </c>
      <c r="AO14" s="230" t="str">
        <f t="shared" ca="1" si="14"/>
        <v>N.A.</v>
      </c>
      <c r="AP14" s="230" t="str">
        <f t="shared" ca="1" si="15"/>
        <v>N.A.</v>
      </c>
      <c r="AQ14" s="230" t="str">
        <f t="shared" ca="1" si="16"/>
        <v>N.A.</v>
      </c>
      <c r="AR14" s="230" t="str">
        <f t="shared" ca="1" si="17"/>
        <v>N.A.</v>
      </c>
      <c r="AS14" s="229" t="str">
        <f t="shared" ca="1" si="18"/>
        <v>N.A.</v>
      </c>
      <c r="AT14" s="229" t="str">
        <f t="shared" ca="1" si="19"/>
        <v>N.A.</v>
      </c>
      <c r="AU14" s="230" t="str">
        <f t="shared" ca="1" si="20"/>
        <v>N.A.</v>
      </c>
      <c r="AV14" s="230" t="str">
        <f t="shared" ca="1" si="21"/>
        <v>N.A.</v>
      </c>
      <c r="AW14" s="230" t="str">
        <f t="shared" ca="1" si="22"/>
        <v>N.A.</v>
      </c>
      <c r="AX14" s="230" t="str">
        <f t="shared" ca="1" si="23"/>
        <v>N.A.</v>
      </c>
      <c r="BK14" s="122" t="s">
        <v>53</v>
      </c>
      <c r="BL14" s="231">
        <f>$F$25-$F$27/2</f>
        <v>0</v>
      </c>
      <c r="BM14" s="231">
        <f>$F$25+$F$27/2</f>
        <v>0</v>
      </c>
      <c r="BN14" s="231">
        <f>$F$25+$F$27/2</f>
        <v>0</v>
      </c>
      <c r="BO14" s="231">
        <f>$F$25-$F$27/2</f>
        <v>0</v>
      </c>
      <c r="BP14" s="231">
        <f>$F$25-$F$27/2</f>
        <v>0</v>
      </c>
    </row>
    <row r="15" spans="1:68" ht="15">
      <c r="A15" s="57">
        <v>16</v>
      </c>
      <c r="B15" s="19"/>
      <c r="C15" s="19" t="s">
        <v>187</v>
      </c>
      <c r="D15" s="269" t="str">
        <f ca="1">SUBSTITUTE(VLOOKUP(RIGHT( CELL("имяфайла",$E$2), LEN( CELL("имяфайла",$E$2))-FIND("]", CELL("имяфайла",$E$2))),Summary!C:Z,$A15,FALSE),".",",")</f>
        <v>2,67</v>
      </c>
      <c r="E15" s="34" t="s">
        <v>41</v>
      </c>
      <c r="F15" s="24"/>
      <c r="G15" s="24"/>
      <c r="H15" s="24"/>
      <c r="I15" s="24"/>
      <c r="J15" s="24"/>
      <c r="K15" s="30"/>
      <c r="N15" s="58"/>
      <c r="O15" s="78" t="s">
        <v>101</v>
      </c>
      <c r="P15" s="61">
        <f>IF($D$22&gt;=1,$C$26-$P$5,"")</f>
        <v>0</v>
      </c>
      <c r="Q15" s="61">
        <f>IF($D$22&gt;=2,$D$26-$P$5,"")</f>
        <v>0</v>
      </c>
      <c r="R15" s="61" t="str">
        <f>IF($D$22&gt;=3,$E$26-$P$5,"")</f>
        <v/>
      </c>
      <c r="S15" s="61" t="str">
        <f>IF($D$22&gt;=4,$F$26-$P$5,"")</f>
        <v/>
      </c>
      <c r="T15" s="61" t="str">
        <f>IF($D$22&gt;=5,$G$26-$P$5,"")</f>
        <v/>
      </c>
      <c r="U15" s="61" t="str">
        <f>IF($D$22&gt;=6,$H$26-$P$5,"")</f>
        <v/>
      </c>
      <c r="V15" s="61" t="str">
        <f>IF($D$22&gt;=7,$I$26-$P$5,"")</f>
        <v/>
      </c>
      <c r="W15" s="61" t="str">
        <f>IF($D$22=8,$J$26-$P$5,"")</f>
        <v/>
      </c>
      <c r="X15" s="227">
        <v>11</v>
      </c>
      <c r="Y15" s="230" t="str">
        <f t="shared" ca="1" si="24"/>
        <v>N.A.</v>
      </c>
      <c r="Z15" s="230" t="str">
        <f t="shared" ca="1" si="25"/>
        <v>N.A.</v>
      </c>
      <c r="AA15" s="230" t="str">
        <f t="shared" ca="1" si="0"/>
        <v>N.A.</v>
      </c>
      <c r="AB15" s="230" t="str">
        <f t="shared" ca="1" si="1"/>
        <v>N.A.</v>
      </c>
      <c r="AC15" s="230" t="str">
        <f t="shared" ca="1" si="2"/>
        <v>N.A.</v>
      </c>
      <c r="AD15" s="229" t="str">
        <f t="shared" ca="1" si="3"/>
        <v>N.A.</v>
      </c>
      <c r="AE15" s="229" t="str">
        <f t="shared" ca="1" si="4"/>
        <v>N.A.</v>
      </c>
      <c r="AF15" s="229" t="str">
        <f t="shared" ca="1" si="5"/>
        <v>N.A.</v>
      </c>
      <c r="AG15" s="229" t="str">
        <f t="shared" ca="1" si="6"/>
        <v>N.A.</v>
      </c>
      <c r="AH15" s="230" t="str">
        <f t="shared" ca="1" si="7"/>
        <v>N.A.</v>
      </c>
      <c r="AI15" s="230" t="str">
        <f t="shared" ca="1" si="8"/>
        <v>N.A.</v>
      </c>
      <c r="AJ15" s="230" t="str">
        <f t="shared" ca="1" si="9"/>
        <v>N.A.</v>
      </c>
      <c r="AK15" s="230" t="str">
        <f t="shared" ca="1" si="10"/>
        <v>N.A.</v>
      </c>
      <c r="AL15" s="230" t="str">
        <f t="shared" ca="1" si="11"/>
        <v>N.A.</v>
      </c>
      <c r="AM15" s="230" t="str">
        <f t="shared" ca="1" si="12"/>
        <v>N.A.</v>
      </c>
      <c r="AN15" s="230" t="str">
        <f t="shared" ca="1" si="13"/>
        <v>N.A.</v>
      </c>
      <c r="AO15" s="230" t="str">
        <f t="shared" ca="1" si="14"/>
        <v>N.A.</v>
      </c>
      <c r="AP15" s="230" t="str">
        <f t="shared" ca="1" si="15"/>
        <v>N.A.</v>
      </c>
      <c r="AQ15" s="230" t="str">
        <f t="shared" ca="1" si="16"/>
        <v>N.A.</v>
      </c>
      <c r="AR15" s="230" t="str">
        <f t="shared" ca="1" si="17"/>
        <v>N.A.</v>
      </c>
      <c r="AS15" s="229" t="str">
        <f t="shared" ca="1" si="18"/>
        <v>N.A.</v>
      </c>
      <c r="AT15" s="229" t="str">
        <f t="shared" ca="1" si="19"/>
        <v>N.A.</v>
      </c>
      <c r="AU15" s="230" t="str">
        <f t="shared" ca="1" si="20"/>
        <v>N.A.</v>
      </c>
      <c r="AV15" s="230" t="str">
        <f t="shared" ca="1" si="21"/>
        <v>N.A.</v>
      </c>
      <c r="AW15" s="230" t="str">
        <f t="shared" ca="1" si="22"/>
        <v>N.A.</v>
      </c>
      <c r="AX15" s="230" t="str">
        <f t="shared" ca="1" si="23"/>
        <v>N.A.</v>
      </c>
      <c r="BK15" s="122" t="s">
        <v>54</v>
      </c>
      <c r="BL15" s="231">
        <f>$F$26+$F$28/2</f>
        <v>0</v>
      </c>
      <c r="BM15" s="231">
        <f>$F$26+$F$28/2</f>
        <v>0</v>
      </c>
      <c r="BN15" s="231">
        <f>$F$26-$F$28/2</f>
        <v>0</v>
      </c>
      <c r="BO15" s="231">
        <f>$F$26-$F$28/2</f>
        <v>0</v>
      </c>
      <c r="BP15" s="231">
        <f>$F$26+$F$28/2</f>
        <v>0</v>
      </c>
    </row>
    <row r="16" spans="1:68" ht="15">
      <c r="A16" s="57">
        <v>18</v>
      </c>
      <c r="B16" s="19"/>
      <c r="C16" s="43" t="s">
        <v>39</v>
      </c>
      <c r="D16" s="269" t="str">
        <f ca="1">SUBSTITUTE(VLOOKUP(RIGHT( CELL("имяфайла",$E$2), LEN( CELL("имяфайла",$E$2))-FIND("]", CELL("имяфайла",$E$2))),Summary!C:Z,$A16,FALSE),".",",")</f>
        <v>0,11</v>
      </c>
      <c r="E16" s="34" t="s">
        <v>248</v>
      </c>
      <c r="F16" s="24"/>
      <c r="G16" s="24"/>
      <c r="H16" s="24"/>
      <c r="I16" s="24"/>
      <c r="J16" s="143"/>
      <c r="K16" s="30"/>
      <c r="N16" s="58"/>
      <c r="O16" s="68" t="s">
        <v>205</v>
      </c>
      <c r="P16" s="79">
        <f ca="1">IF($D$22&gt;=1,IF($C$29&lt;=$D$15,$C$27*$C$28*$C$29*($D$14-$D$16),$C$27*$C$28*($D$15*($D$14-$D$16)+($C$29-$D$15)*$D$14)),0)</f>
        <v>0.75219374999999999</v>
      </c>
      <c r="Q16" s="79">
        <f ca="1">IF($D$22&gt;=2,IF($D$29&lt;=$D$15,$D$27*$D$28*$D$29*($D$14-$D$16),$D$27*$D$28*($D$15*($D$14-$D$16)+($D$29-$D$15)*$D$14)),0)</f>
        <v>0.75219374999999999</v>
      </c>
      <c r="R16" s="79">
        <f>IF($D$22&gt;=3,IF($E$29&lt;=$D$15,$E$27*$E$28*$E$29*($D$14-$D$16),$E$27*$E$28*($D$15*($D$14-$D$16)+($E$29-$D$15)*$D$14)),0)</f>
        <v>0</v>
      </c>
      <c r="S16" s="79">
        <f>IF($D$22&gt;=4,IF($F$29&lt;=$D$15,$F$27*$F$28*$F$29*($D$14-$D$16),$F$27*$F$28*($D$15*($D$14-$D$16)+($F$29-$D$15)*$D$14)),0)</f>
        <v>0</v>
      </c>
      <c r="T16" s="79">
        <f>IF($D$22&gt;=5,IF($G$29&lt;=$D$15,$G$27*$G$28*$G$29*($D$14-$D$16),$G$27*$G$28*($D$15*($D$14-$D$16)+($G$29-$D$15)*$D$14)),0)</f>
        <v>0</v>
      </c>
      <c r="U16" s="79">
        <f>IF($D$22&gt;=6,IF($H$29&lt;=$D$15,$H$27*$H$28*$H$29*($D$14-$D$16),$H$27*$H$28*($D$15*($D$14-$D$16)+($H$29-$D$15)*$D$14)),0)</f>
        <v>0</v>
      </c>
      <c r="V16" s="79">
        <f>IF($D$22&gt;=7,IF($I$29&lt;=$D$15,$I$27*$I$28*$I$29*($D$14-$D$16),$I$27*$I$28*($D$15*($D$14-$D$16)+($I$29-$D$15)*$D$14)),0)</f>
        <v>0</v>
      </c>
      <c r="W16" s="79">
        <f>IF($D$22&gt;=8,IF($J$29&lt;=$D$15,$J$27*$J$28*$J$29*($D$14-$D$16),$J$27*$J$28*($D$15*($D$14-$D$16)+($J$29-$D$15)*$D$14)),0)</f>
        <v>0</v>
      </c>
      <c r="X16" s="227">
        <v>12</v>
      </c>
      <c r="Y16" s="230" t="str">
        <f t="shared" ca="1" si="24"/>
        <v>N.A.</v>
      </c>
      <c r="Z16" s="230" t="str">
        <f t="shared" ca="1" si="25"/>
        <v>N.A.</v>
      </c>
      <c r="AA16" s="230" t="str">
        <f t="shared" ca="1" si="0"/>
        <v>N.A.</v>
      </c>
      <c r="AB16" s="230" t="str">
        <f t="shared" ca="1" si="1"/>
        <v>N.A.</v>
      </c>
      <c r="AC16" s="230" t="str">
        <f t="shared" ca="1" si="2"/>
        <v>N.A.</v>
      </c>
      <c r="AD16" s="229" t="str">
        <f t="shared" ca="1" si="3"/>
        <v>N.A.</v>
      </c>
      <c r="AE16" s="229" t="str">
        <f t="shared" ca="1" si="4"/>
        <v>N.A.</v>
      </c>
      <c r="AF16" s="229" t="str">
        <f t="shared" ca="1" si="5"/>
        <v>N.A.</v>
      </c>
      <c r="AG16" s="229" t="str">
        <f t="shared" ca="1" si="6"/>
        <v>N.A.</v>
      </c>
      <c r="AH16" s="230" t="str">
        <f t="shared" ca="1" si="7"/>
        <v>N.A.</v>
      </c>
      <c r="AI16" s="230" t="str">
        <f t="shared" ca="1" si="8"/>
        <v>N.A.</v>
      </c>
      <c r="AJ16" s="230" t="str">
        <f t="shared" ca="1" si="9"/>
        <v>N.A.</v>
      </c>
      <c r="AK16" s="230" t="str">
        <f t="shared" ca="1" si="10"/>
        <v>N.A.</v>
      </c>
      <c r="AL16" s="230" t="str">
        <f t="shared" ca="1" si="11"/>
        <v>N.A.</v>
      </c>
      <c r="AM16" s="230" t="str">
        <f t="shared" ca="1" si="12"/>
        <v>N.A.</v>
      </c>
      <c r="AN16" s="230" t="str">
        <f t="shared" ca="1" si="13"/>
        <v>N.A.</v>
      </c>
      <c r="AO16" s="230" t="str">
        <f t="shared" ca="1" si="14"/>
        <v>N.A.</v>
      </c>
      <c r="AP16" s="230" t="str">
        <f t="shared" ca="1" si="15"/>
        <v>N.A.</v>
      </c>
      <c r="AQ16" s="230" t="str">
        <f t="shared" ca="1" si="16"/>
        <v>N.A.</v>
      </c>
      <c r="AR16" s="230" t="str">
        <f t="shared" ca="1" si="17"/>
        <v>N.A.</v>
      </c>
      <c r="AS16" s="229" t="str">
        <f t="shared" ca="1" si="18"/>
        <v>N.A.</v>
      </c>
      <c r="AT16" s="229" t="str">
        <f t="shared" ca="1" si="19"/>
        <v>N.A.</v>
      </c>
      <c r="AU16" s="230" t="str">
        <f t="shared" ca="1" si="20"/>
        <v>N.A.</v>
      </c>
      <c r="AV16" s="230" t="str">
        <f t="shared" ca="1" si="21"/>
        <v>N.A.</v>
      </c>
      <c r="AW16" s="230" t="str">
        <f t="shared" ca="1" si="22"/>
        <v>N.A.</v>
      </c>
      <c r="AX16" s="230" t="str">
        <f t="shared" ca="1" si="23"/>
        <v>N.A.</v>
      </c>
      <c r="AZ16" s="184" t="s">
        <v>235</v>
      </c>
      <c r="BA16" s="176" t="s">
        <v>16</v>
      </c>
      <c r="BB16" s="176"/>
      <c r="BC16" s="176"/>
      <c r="BD16" s="176"/>
      <c r="BE16" s="176"/>
      <c r="BF16" s="176"/>
      <c r="BG16" s="176"/>
      <c r="BH16" s="177"/>
      <c r="BK16" s="122" t="s">
        <v>55</v>
      </c>
      <c r="BL16" s="231">
        <f>$G$25-$G$27/2</f>
        <v>0</v>
      </c>
      <c r="BM16" s="231">
        <f>$G$25+$G$27/2</f>
        <v>0</v>
      </c>
      <c r="BN16" s="231">
        <f>$G$25+$G$27/2</f>
        <v>0</v>
      </c>
      <c r="BO16" s="231">
        <f>$G$25-$G$27/2</f>
        <v>0</v>
      </c>
      <c r="BP16" s="231">
        <f>$G$25-$G$27/2</f>
        <v>0</v>
      </c>
    </row>
    <row r="17" spans="1:68" ht="15">
      <c r="A17" s="57">
        <v>19</v>
      </c>
      <c r="B17" s="23"/>
      <c r="C17" s="235" t="s">
        <v>324</v>
      </c>
      <c r="D17" s="269" t="str">
        <f ca="1">SUBSTITUTE(VLOOKUP(RIGHT( CELL("имяфайла",$E$2), LEN( CELL("имяфайла",$E$2))-FIND("]", CELL("имяфайла",$E$2))),Summary!C:Z,$A17,FALSE),".",",")</f>
        <v>2,05</v>
      </c>
      <c r="E17" s="238"/>
      <c r="F17" s="24"/>
      <c r="G17" s="24"/>
      <c r="H17" s="24"/>
      <c r="I17" s="24"/>
      <c r="J17" s="24"/>
      <c r="K17" s="30"/>
      <c r="N17" s="58"/>
      <c r="O17" s="80" t="s">
        <v>104</v>
      </c>
      <c r="P17" s="79">
        <f ca="1">IF($D$22&gt;=1,-($C$30)+$P$16,0)</f>
        <v>88.752193750000004</v>
      </c>
      <c r="Q17" s="79">
        <f ca="1">IF($D$22&gt;=2,-($D$30)+$Q$16,0)</f>
        <v>88.752193750000004</v>
      </c>
      <c r="R17" s="79">
        <f>IF($D$22&gt;=3,-($E$30)+$R$16,0)</f>
        <v>0</v>
      </c>
      <c r="S17" s="79">
        <f>IF($D$22&gt;=4,-($F$30)+$S$16,0)</f>
        <v>0</v>
      </c>
      <c r="T17" s="79">
        <f>IF($D$22&gt;=5,-($G$30)+$T$16,0)</f>
        <v>0</v>
      </c>
      <c r="U17" s="79">
        <f>IF($D$22&gt;=6,-($H$30)+$U$16,0)</f>
        <v>0</v>
      </c>
      <c r="V17" s="79">
        <f>IF($D$22&gt;=7,-($I$30)+$V$16,0)</f>
        <v>0</v>
      </c>
      <c r="W17" s="79">
        <f>IF($D$22&gt;=8,-($J$30)+$W$16,0)</f>
        <v>0</v>
      </c>
      <c r="X17" s="227">
        <v>13</v>
      </c>
      <c r="Y17" s="230" t="str">
        <f t="shared" ca="1" si="24"/>
        <v>N.A.</v>
      </c>
      <c r="Z17" s="230" t="str">
        <f t="shared" ca="1" si="25"/>
        <v>N.A.</v>
      </c>
      <c r="AA17" s="230" t="str">
        <f t="shared" ca="1" si="0"/>
        <v>N.A.</v>
      </c>
      <c r="AB17" s="230" t="str">
        <f t="shared" ca="1" si="1"/>
        <v>N.A.</v>
      </c>
      <c r="AC17" s="230" t="str">
        <f t="shared" ca="1" si="2"/>
        <v>N.A.</v>
      </c>
      <c r="AD17" s="229" t="str">
        <f t="shared" ca="1" si="3"/>
        <v>N.A.</v>
      </c>
      <c r="AE17" s="229" t="str">
        <f t="shared" ca="1" si="4"/>
        <v>N.A.</v>
      </c>
      <c r="AF17" s="229" t="str">
        <f t="shared" ca="1" si="5"/>
        <v>N.A.</v>
      </c>
      <c r="AG17" s="229" t="str">
        <f t="shared" ca="1" si="6"/>
        <v>N.A.</v>
      </c>
      <c r="AH17" s="230" t="str">
        <f t="shared" ca="1" si="7"/>
        <v>N.A.</v>
      </c>
      <c r="AI17" s="230" t="str">
        <f t="shared" ca="1" si="8"/>
        <v>N.A.</v>
      </c>
      <c r="AJ17" s="230" t="str">
        <f t="shared" ca="1" si="9"/>
        <v>N.A.</v>
      </c>
      <c r="AK17" s="230" t="str">
        <f t="shared" ca="1" si="10"/>
        <v>N.A.</v>
      </c>
      <c r="AL17" s="230" t="str">
        <f t="shared" ca="1" si="11"/>
        <v>N.A.</v>
      </c>
      <c r="AM17" s="230" t="str">
        <f t="shared" ca="1" si="12"/>
        <v>N.A.</v>
      </c>
      <c r="AN17" s="230" t="str">
        <f t="shared" ca="1" si="13"/>
        <v>N.A.</v>
      </c>
      <c r="AO17" s="230" t="str">
        <f t="shared" ca="1" si="14"/>
        <v>N.A.</v>
      </c>
      <c r="AP17" s="230" t="str">
        <f t="shared" ca="1" si="15"/>
        <v>N.A.</v>
      </c>
      <c r="AQ17" s="230" t="str">
        <f t="shared" ca="1" si="16"/>
        <v>N.A.</v>
      </c>
      <c r="AR17" s="230" t="str">
        <f t="shared" ca="1" si="17"/>
        <v>N.A.</v>
      </c>
      <c r="AS17" s="229" t="str">
        <f t="shared" ca="1" si="18"/>
        <v>N.A.</v>
      </c>
      <c r="AT17" s="229" t="str">
        <f t="shared" ca="1" si="19"/>
        <v>N.A.</v>
      </c>
      <c r="AU17" s="230" t="str">
        <f t="shared" ca="1" si="20"/>
        <v>N.A.</v>
      </c>
      <c r="AV17" s="230" t="str">
        <f t="shared" ca="1" si="21"/>
        <v>N.A.</v>
      </c>
      <c r="AW17" s="230" t="str">
        <f t="shared" ca="1" si="22"/>
        <v>N.A.</v>
      </c>
      <c r="AX17" s="230" t="str">
        <f t="shared" ca="1" si="23"/>
        <v>N.A.</v>
      </c>
      <c r="AZ17" s="178"/>
      <c r="BA17" s="67" t="s">
        <v>14</v>
      </c>
      <c r="BB17" s="67"/>
      <c r="BC17" s="67"/>
      <c r="BD17" s="67"/>
      <c r="BE17" s="67"/>
      <c r="BF17" s="67"/>
      <c r="BG17" s="67"/>
      <c r="BH17" s="179"/>
      <c r="BK17" s="122" t="s">
        <v>56</v>
      </c>
      <c r="BL17" s="231">
        <f>$G$26+$G$28/2</f>
        <v>0</v>
      </c>
      <c r="BM17" s="231">
        <f>$G$26+$G$28/2</f>
        <v>0</v>
      </c>
      <c r="BN17" s="231">
        <f>$G$26-$G$28/2</f>
        <v>0</v>
      </c>
      <c r="BO17" s="231">
        <f>$G$26-$G$28/2</f>
        <v>0</v>
      </c>
      <c r="BP17" s="231">
        <f>$G$26+$G$28/2</f>
        <v>0</v>
      </c>
    </row>
    <row r="18" spans="1:68" ht="15">
      <c r="A18" s="57">
        <v>20</v>
      </c>
      <c r="B18" s="23"/>
      <c r="C18" s="235" t="s">
        <v>323</v>
      </c>
      <c r="D18" s="269" t="str">
        <f ca="1">SUBSTITUTE(VLOOKUP(RIGHT( CELL("имяфайла",$E$2), LEN( CELL("имяфайла",$E$2))-FIND("]", CELL("имяфайла",$E$2))),Summary!C:Z,$A18,FALSE),".",",")</f>
        <v>0,28</v>
      </c>
      <c r="E18" s="238"/>
      <c r="F18" s="24"/>
      <c r="G18" s="24"/>
      <c r="H18" s="24"/>
      <c r="I18" s="24"/>
      <c r="J18" s="24"/>
      <c r="K18" s="30"/>
      <c r="N18" s="58"/>
      <c r="O18" s="81" t="s">
        <v>112</v>
      </c>
      <c r="P18" s="79">
        <f ca="1">ROUND(SUM($P$17:$W$17),6)</f>
        <v>177.50438800000001</v>
      </c>
      <c r="Q18" s="82" t="s">
        <v>66</v>
      </c>
      <c r="R18" s="135"/>
      <c r="S18" s="136"/>
      <c r="T18" s="136"/>
      <c r="U18" s="136"/>
      <c r="V18" s="136"/>
      <c r="W18" s="83"/>
      <c r="X18" s="227">
        <v>14</v>
      </c>
      <c r="Y18" s="230" t="str">
        <f t="shared" ca="1" si="24"/>
        <v>N.A.</v>
      </c>
      <c r="Z18" s="230" t="str">
        <f t="shared" ca="1" si="25"/>
        <v>N.A.</v>
      </c>
      <c r="AA18" s="230" t="str">
        <f t="shared" ca="1" si="0"/>
        <v>N.A.</v>
      </c>
      <c r="AB18" s="230" t="str">
        <f t="shared" ca="1" si="1"/>
        <v>N.A.</v>
      </c>
      <c r="AC18" s="230" t="str">
        <f t="shared" ca="1" si="2"/>
        <v>N.A.</v>
      </c>
      <c r="AD18" s="229" t="str">
        <f t="shared" ca="1" si="3"/>
        <v>N.A.</v>
      </c>
      <c r="AE18" s="229" t="str">
        <f t="shared" ca="1" si="4"/>
        <v>N.A.</v>
      </c>
      <c r="AF18" s="229" t="str">
        <f t="shared" ca="1" si="5"/>
        <v>N.A.</v>
      </c>
      <c r="AG18" s="229" t="str">
        <f t="shared" ca="1" si="6"/>
        <v>N.A.</v>
      </c>
      <c r="AH18" s="230" t="str">
        <f t="shared" ca="1" si="7"/>
        <v>N.A.</v>
      </c>
      <c r="AI18" s="230" t="str">
        <f t="shared" ca="1" si="8"/>
        <v>N.A.</v>
      </c>
      <c r="AJ18" s="230" t="str">
        <f t="shared" ca="1" si="9"/>
        <v>N.A.</v>
      </c>
      <c r="AK18" s="230" t="str">
        <f t="shared" ca="1" si="10"/>
        <v>N.A.</v>
      </c>
      <c r="AL18" s="230" t="str">
        <f t="shared" ca="1" si="11"/>
        <v>N.A.</v>
      </c>
      <c r="AM18" s="230" t="str">
        <f t="shared" ca="1" si="12"/>
        <v>N.A.</v>
      </c>
      <c r="AN18" s="230" t="str">
        <f t="shared" ca="1" si="13"/>
        <v>N.A.</v>
      </c>
      <c r="AO18" s="230" t="str">
        <f t="shared" ca="1" si="14"/>
        <v>N.A.</v>
      </c>
      <c r="AP18" s="230" t="str">
        <f t="shared" ca="1" si="15"/>
        <v>N.A.</v>
      </c>
      <c r="AQ18" s="230" t="str">
        <f t="shared" ca="1" si="16"/>
        <v>N.A.</v>
      </c>
      <c r="AR18" s="230" t="str">
        <f t="shared" ca="1" si="17"/>
        <v>N.A.</v>
      </c>
      <c r="AS18" s="229" t="str">
        <f t="shared" ca="1" si="18"/>
        <v>N.A.</v>
      </c>
      <c r="AT18" s="229" t="str">
        <f t="shared" ca="1" si="19"/>
        <v>N.A.</v>
      </c>
      <c r="AU18" s="230" t="str">
        <f t="shared" ca="1" si="20"/>
        <v>N.A.</v>
      </c>
      <c r="AV18" s="230" t="str">
        <f t="shared" ca="1" si="21"/>
        <v>N.A.</v>
      </c>
      <c r="AW18" s="230" t="str">
        <f t="shared" ca="1" si="22"/>
        <v>N.A.</v>
      </c>
      <c r="AX18" s="230" t="str">
        <f t="shared" ca="1" si="23"/>
        <v>N.A.</v>
      </c>
      <c r="AZ18" s="178"/>
      <c r="BA18" s="67" t="s">
        <v>15</v>
      </c>
      <c r="BB18" s="67"/>
      <c r="BC18" s="67"/>
      <c r="BD18" s="67"/>
      <c r="BE18" s="67"/>
      <c r="BF18" s="67"/>
      <c r="BG18" s="67"/>
      <c r="BH18" s="179"/>
      <c r="BK18" s="122" t="s">
        <v>57</v>
      </c>
      <c r="BL18" s="231">
        <f>$H$25-$H$27/2</f>
        <v>0</v>
      </c>
      <c r="BM18" s="231">
        <f>$H$25+$H$27/2</f>
        <v>0</v>
      </c>
      <c r="BN18" s="231">
        <f>$H$25+$H$27/2</f>
        <v>0</v>
      </c>
      <c r="BO18" s="231">
        <f>$H$25-$H$27/2</f>
        <v>0</v>
      </c>
      <c r="BP18" s="231">
        <f>$H$25-$H$27/2</f>
        <v>0</v>
      </c>
    </row>
    <row r="19" spans="1:68" ht="15">
      <c r="A19" s="57">
        <v>21</v>
      </c>
      <c r="B19" s="23"/>
      <c r="C19" s="43" t="s">
        <v>40</v>
      </c>
      <c r="D19" s="269" t="str">
        <f ca="1">SUBSTITUTE(VLOOKUP(RIGHT( CELL("имяфайла",$E$2), LEN( CELL("имяфайла",$E$2))-FIND("]", CELL("имяфайла",$E$2))),Summary!C:Z,$A19,FALSE),".",",")</f>
        <v>0,1</v>
      </c>
      <c r="E19" s="34" t="s">
        <v>42</v>
      </c>
      <c r="F19" s="24"/>
      <c r="G19" s="24"/>
      <c r="H19" s="24"/>
      <c r="I19" s="24"/>
      <c r="J19" s="24"/>
      <c r="K19" s="30"/>
      <c r="N19" s="58"/>
      <c r="O19" s="68" t="s">
        <v>239</v>
      </c>
      <c r="P19" s="79">
        <f ca="1">IF($D$22&gt;=1,IF($C$30&lt;=0,$C$30,0),0)</f>
        <v>0</v>
      </c>
      <c r="Q19" s="79">
        <f ca="1">IF($D$22&gt;=2,IF($D$30&lt;=0,$D$30,0),0)</f>
        <v>0</v>
      </c>
      <c r="R19" s="79">
        <f>IF($D$22&gt;=3,IF($E$30&lt;=0,$E$30,0),0)</f>
        <v>0</v>
      </c>
      <c r="S19" s="79">
        <f>IF($D$22&gt;=4,IF($F$30&lt;=0,$F$30,0),0)</f>
        <v>0</v>
      </c>
      <c r="T19" s="79">
        <f>IF($D$22&gt;=5,IF($G$30&lt;=0,$G$30,0),0)</f>
        <v>0</v>
      </c>
      <c r="U19" s="79">
        <f>IF($D$22&gt;=6,IF($H$30&lt;=0,$H$30,0),0)</f>
        <v>0</v>
      </c>
      <c r="V19" s="79">
        <f>IF($D$22&gt;=7,IF($I$30&lt;=0,$I$30,0),0)</f>
        <v>0</v>
      </c>
      <c r="W19" s="79">
        <f>IF($D$22&gt;=8,IF($J$30&lt;=0,$J$30,0),0)</f>
        <v>0</v>
      </c>
      <c r="X19" s="227">
        <v>15</v>
      </c>
      <c r="Y19" s="230" t="str">
        <f t="shared" ca="1" si="24"/>
        <v>N.A.</v>
      </c>
      <c r="Z19" s="230" t="str">
        <f t="shared" ca="1" si="25"/>
        <v>N.A.</v>
      </c>
      <c r="AA19" s="230" t="str">
        <f t="shared" ca="1" si="0"/>
        <v>N.A.</v>
      </c>
      <c r="AB19" s="230" t="str">
        <f t="shared" ca="1" si="1"/>
        <v>N.A.</v>
      </c>
      <c r="AC19" s="230" t="str">
        <f t="shared" ca="1" si="2"/>
        <v>N.A.</v>
      </c>
      <c r="AD19" s="229" t="str">
        <f t="shared" ca="1" si="3"/>
        <v>N.A.</v>
      </c>
      <c r="AE19" s="229" t="str">
        <f t="shared" ca="1" si="4"/>
        <v>N.A.</v>
      </c>
      <c r="AF19" s="229" t="str">
        <f t="shared" ca="1" si="5"/>
        <v>N.A.</v>
      </c>
      <c r="AG19" s="229" t="str">
        <f t="shared" ca="1" si="6"/>
        <v>N.A.</v>
      </c>
      <c r="AH19" s="230" t="str">
        <f t="shared" ca="1" si="7"/>
        <v>N.A.</v>
      </c>
      <c r="AI19" s="230" t="str">
        <f t="shared" ca="1" si="8"/>
        <v>N.A.</v>
      </c>
      <c r="AJ19" s="230" t="str">
        <f t="shared" ca="1" si="9"/>
        <v>N.A.</v>
      </c>
      <c r="AK19" s="230" t="str">
        <f t="shared" ca="1" si="10"/>
        <v>N.A.</v>
      </c>
      <c r="AL19" s="230" t="str">
        <f t="shared" ca="1" si="11"/>
        <v>N.A.</v>
      </c>
      <c r="AM19" s="230" t="str">
        <f t="shared" ca="1" si="12"/>
        <v>N.A.</v>
      </c>
      <c r="AN19" s="230" t="str">
        <f t="shared" ca="1" si="13"/>
        <v>N.A.</v>
      </c>
      <c r="AO19" s="230" t="str">
        <f t="shared" ca="1" si="14"/>
        <v>N.A.</v>
      </c>
      <c r="AP19" s="230" t="str">
        <f t="shared" ca="1" si="15"/>
        <v>N.A.</v>
      </c>
      <c r="AQ19" s="230" t="str">
        <f t="shared" ca="1" si="16"/>
        <v>N.A.</v>
      </c>
      <c r="AR19" s="230" t="str">
        <f t="shared" ca="1" si="17"/>
        <v>N.A.</v>
      </c>
      <c r="AS19" s="229" t="str">
        <f t="shared" ca="1" si="18"/>
        <v>N.A.</v>
      </c>
      <c r="AT19" s="229" t="str">
        <f t="shared" ca="1" si="19"/>
        <v>N.A.</v>
      </c>
      <c r="AU19" s="230" t="str">
        <f t="shared" ca="1" si="20"/>
        <v>N.A.</v>
      </c>
      <c r="AV19" s="230" t="str">
        <f t="shared" ca="1" si="21"/>
        <v>N.A.</v>
      </c>
      <c r="AW19" s="230" t="str">
        <f t="shared" ca="1" si="22"/>
        <v>N.A.</v>
      </c>
      <c r="AX19" s="230" t="str">
        <f t="shared" ca="1" si="23"/>
        <v>N.A.</v>
      </c>
      <c r="AZ19" s="178"/>
      <c r="BA19" s="67" t="s">
        <v>13</v>
      </c>
      <c r="BB19" s="67"/>
      <c r="BC19" s="67"/>
      <c r="BD19" s="67"/>
      <c r="BE19" s="67"/>
      <c r="BF19" s="67"/>
      <c r="BG19" s="67"/>
      <c r="BH19" s="179"/>
      <c r="BK19" s="122" t="s">
        <v>58</v>
      </c>
      <c r="BL19" s="231">
        <f>$H$26+$H$28/2</f>
        <v>0</v>
      </c>
      <c r="BM19" s="231">
        <f>$H$26+$H$28/2</f>
        <v>0</v>
      </c>
      <c r="BN19" s="231">
        <f>$H$26-$H$28/2</f>
        <v>0</v>
      </c>
      <c r="BO19" s="231">
        <f>$H$26-$H$28/2</f>
        <v>0</v>
      </c>
      <c r="BP19" s="231">
        <f>$H$26+$H$28/2</f>
        <v>0</v>
      </c>
    </row>
    <row r="20" spans="1:68">
      <c r="A20" s="57">
        <v>4</v>
      </c>
      <c r="B20" s="23"/>
      <c r="C20" s="24"/>
      <c r="D20" s="24"/>
      <c r="E20" s="24"/>
      <c r="F20" s="24"/>
      <c r="G20" s="24"/>
      <c r="H20" s="143"/>
      <c r="I20" s="24"/>
      <c r="J20" s="24"/>
      <c r="K20" s="30"/>
      <c r="N20" s="58"/>
      <c r="O20" s="81" t="s">
        <v>206</v>
      </c>
      <c r="P20" s="79">
        <f ca="1">ROUND(SUM($P$19:$W$19),6)</f>
        <v>0</v>
      </c>
      <c r="Q20" s="82" t="s">
        <v>66</v>
      </c>
      <c r="R20" s="135"/>
      <c r="S20" s="136"/>
      <c r="T20" s="136"/>
      <c r="U20" s="136"/>
      <c r="V20" s="136"/>
      <c r="W20" s="83"/>
      <c r="X20" s="227">
        <v>16</v>
      </c>
      <c r="Y20" s="230" t="str">
        <f t="shared" ca="1" si="24"/>
        <v>N.A.</v>
      </c>
      <c r="Z20" s="230" t="str">
        <f t="shared" ca="1" si="25"/>
        <v>N.A.</v>
      </c>
      <c r="AA20" s="230" t="str">
        <f t="shared" ca="1" si="0"/>
        <v>N.A.</v>
      </c>
      <c r="AB20" s="230" t="str">
        <f t="shared" ca="1" si="1"/>
        <v>N.A.</v>
      </c>
      <c r="AC20" s="230" t="str">
        <f t="shared" ca="1" si="2"/>
        <v>N.A.</v>
      </c>
      <c r="AD20" s="229" t="str">
        <f t="shared" ca="1" si="3"/>
        <v>N.A.</v>
      </c>
      <c r="AE20" s="229" t="str">
        <f t="shared" ca="1" si="4"/>
        <v>N.A.</v>
      </c>
      <c r="AF20" s="229" t="str">
        <f t="shared" ca="1" si="5"/>
        <v>N.A.</v>
      </c>
      <c r="AG20" s="229" t="str">
        <f t="shared" ca="1" si="6"/>
        <v>N.A.</v>
      </c>
      <c r="AH20" s="230" t="str">
        <f t="shared" ca="1" si="7"/>
        <v>N.A.</v>
      </c>
      <c r="AI20" s="230" t="str">
        <f t="shared" ca="1" si="8"/>
        <v>N.A.</v>
      </c>
      <c r="AJ20" s="230" t="str">
        <f t="shared" ca="1" si="9"/>
        <v>N.A.</v>
      </c>
      <c r="AK20" s="230" t="str">
        <f t="shared" ca="1" si="10"/>
        <v>N.A.</v>
      </c>
      <c r="AL20" s="230" t="str">
        <f t="shared" ca="1" si="11"/>
        <v>N.A.</v>
      </c>
      <c r="AM20" s="230" t="str">
        <f t="shared" ca="1" si="12"/>
        <v>N.A.</v>
      </c>
      <c r="AN20" s="230" t="str">
        <f t="shared" ca="1" si="13"/>
        <v>N.A.</v>
      </c>
      <c r="AO20" s="230" t="str">
        <f t="shared" ca="1" si="14"/>
        <v>N.A.</v>
      </c>
      <c r="AP20" s="230" t="str">
        <f t="shared" ca="1" si="15"/>
        <v>N.A.</v>
      </c>
      <c r="AQ20" s="230" t="str">
        <f t="shared" ca="1" si="16"/>
        <v>N.A.</v>
      </c>
      <c r="AR20" s="230" t="str">
        <f t="shared" ca="1" si="17"/>
        <v>N.A.</v>
      </c>
      <c r="AS20" s="229" t="str">
        <f t="shared" ca="1" si="18"/>
        <v>N.A.</v>
      </c>
      <c r="AT20" s="229" t="str">
        <f t="shared" ca="1" si="19"/>
        <v>N.A.</v>
      </c>
      <c r="AU20" s="230" t="str">
        <f t="shared" ca="1" si="20"/>
        <v>N.A.</v>
      </c>
      <c r="AV20" s="230" t="str">
        <f t="shared" ca="1" si="21"/>
        <v>N.A.</v>
      </c>
      <c r="AW20" s="230" t="str">
        <f t="shared" ca="1" si="22"/>
        <v>N.A.</v>
      </c>
      <c r="AX20" s="230" t="str">
        <f t="shared" ca="1" si="23"/>
        <v>N.A.</v>
      </c>
      <c r="AZ20" s="180"/>
      <c r="BA20" s="181" t="s">
        <v>17</v>
      </c>
      <c r="BB20" s="181"/>
      <c r="BC20" s="181"/>
      <c r="BD20" s="181"/>
      <c r="BE20" s="181"/>
      <c r="BF20" s="181"/>
      <c r="BG20" s="181"/>
      <c r="BH20" s="182"/>
      <c r="BK20" s="122" t="s">
        <v>59</v>
      </c>
      <c r="BL20" s="231">
        <f>$I$25-$I$27/2</f>
        <v>0</v>
      </c>
      <c r="BM20" s="231">
        <f>$I$25+$I$27/2</f>
        <v>0</v>
      </c>
      <c r="BN20" s="231">
        <f>$I$25+$I$27/2</f>
        <v>0</v>
      </c>
      <c r="BO20" s="231">
        <f>$I$25-$I$27/2</f>
        <v>0</v>
      </c>
      <c r="BP20" s="231">
        <f>$I$25-$I$27/2</f>
        <v>0</v>
      </c>
    </row>
    <row r="21" spans="1:68">
      <c r="B21" s="44" t="s">
        <v>27</v>
      </c>
      <c r="C21" s="78"/>
      <c r="D21" s="61"/>
      <c r="E21" s="24"/>
      <c r="F21" s="24"/>
      <c r="G21" s="24"/>
      <c r="H21" s="24"/>
      <c r="I21" s="24"/>
      <c r="J21" s="24"/>
      <c r="K21" s="30"/>
      <c r="N21" s="58"/>
      <c r="O21" s="68" t="s">
        <v>207</v>
      </c>
      <c r="P21" s="79" t="str">
        <f ca="1">IF($D$22&gt;=1,IF($C$30&gt;0,$C$30,0),0)</f>
        <v>-88</v>
      </c>
      <c r="Q21" s="79" t="str">
        <f ca="1">IF($D$22&gt;=2,IF($D$30&gt;0,$D$30,0),0)</f>
        <v>-88</v>
      </c>
      <c r="R21" s="79">
        <f>IF($D$22&gt;=3,IF($E$30&gt;0,$E$30,0),0)</f>
        <v>0</v>
      </c>
      <c r="S21" s="79">
        <f>IF($D$22&gt;=4,IF($F$30&gt;0,$F$30,0),0)</f>
        <v>0</v>
      </c>
      <c r="T21" s="79">
        <f>IF($D$22&gt;=5,IF($G$30&gt;0,$G$30,0),0)</f>
        <v>0</v>
      </c>
      <c r="U21" s="79">
        <f>IF($D$22&gt;=6,IF($H$30&gt;0,$H$30,0),0)</f>
        <v>0</v>
      </c>
      <c r="V21" s="79">
        <f>IF($D$22&gt;=7,IF($I$30&gt;0,$I$30,0),0)</f>
        <v>0</v>
      </c>
      <c r="W21" s="79">
        <f>IF($D$22&gt;=8,IF($J$30&gt;0,$J$30,0),0)</f>
        <v>0</v>
      </c>
      <c r="X21" s="227">
        <v>17</v>
      </c>
      <c r="Y21" s="230" t="str">
        <f t="shared" ca="1" si="24"/>
        <v>N.A.</v>
      </c>
      <c r="Z21" s="230" t="str">
        <f t="shared" ca="1" si="25"/>
        <v>N.A.</v>
      </c>
      <c r="AA21" s="230" t="str">
        <f t="shared" ca="1" si="0"/>
        <v>N.A.</v>
      </c>
      <c r="AB21" s="230" t="str">
        <f t="shared" ca="1" si="1"/>
        <v>N.A.</v>
      </c>
      <c r="AC21" s="230" t="str">
        <f t="shared" ca="1" si="2"/>
        <v>N.A.</v>
      </c>
      <c r="AD21" s="229" t="str">
        <f t="shared" ca="1" si="3"/>
        <v>N.A.</v>
      </c>
      <c r="AE21" s="229" t="str">
        <f t="shared" ca="1" si="4"/>
        <v>N.A.</v>
      </c>
      <c r="AF21" s="229" t="str">
        <f t="shared" ca="1" si="5"/>
        <v>N.A.</v>
      </c>
      <c r="AG21" s="229" t="str">
        <f t="shared" ca="1" si="6"/>
        <v>N.A.</v>
      </c>
      <c r="AH21" s="230" t="str">
        <f t="shared" ca="1" si="7"/>
        <v>N.A.</v>
      </c>
      <c r="AI21" s="230" t="str">
        <f t="shared" ca="1" si="8"/>
        <v>N.A.</v>
      </c>
      <c r="AJ21" s="230" t="str">
        <f t="shared" ca="1" si="9"/>
        <v>N.A.</v>
      </c>
      <c r="AK21" s="230" t="str">
        <f t="shared" ca="1" si="10"/>
        <v>N.A.</v>
      </c>
      <c r="AL21" s="230" t="str">
        <f t="shared" ca="1" si="11"/>
        <v>N.A.</v>
      </c>
      <c r="AM21" s="230" t="str">
        <f t="shared" ca="1" si="12"/>
        <v>N.A.</v>
      </c>
      <c r="AN21" s="230" t="str">
        <f t="shared" ca="1" si="13"/>
        <v>N.A.</v>
      </c>
      <c r="AO21" s="230" t="str">
        <f t="shared" ca="1" si="14"/>
        <v>N.A.</v>
      </c>
      <c r="AP21" s="230" t="str">
        <f t="shared" ca="1" si="15"/>
        <v>N.A.</v>
      </c>
      <c r="AQ21" s="230" t="str">
        <f t="shared" ca="1" si="16"/>
        <v>N.A.</v>
      </c>
      <c r="AR21" s="230" t="str">
        <f t="shared" ca="1" si="17"/>
        <v>N.A.</v>
      </c>
      <c r="AS21" s="229" t="str">
        <f t="shared" ca="1" si="18"/>
        <v>N.A.</v>
      </c>
      <c r="AT21" s="229" t="str">
        <f t="shared" ca="1" si="19"/>
        <v>N.A.</v>
      </c>
      <c r="AU21" s="230" t="str">
        <f t="shared" ca="1" si="20"/>
        <v>N.A.</v>
      </c>
      <c r="AV21" s="230" t="str">
        <f t="shared" ca="1" si="21"/>
        <v>N.A.</v>
      </c>
      <c r="AW21" s="230" t="str">
        <f t="shared" ca="1" si="22"/>
        <v>N.A.</v>
      </c>
      <c r="AX21" s="230" t="str">
        <f t="shared" ca="1" si="23"/>
        <v>N.A.</v>
      </c>
      <c r="BK21" s="122" t="s">
        <v>60</v>
      </c>
      <c r="BL21" s="231">
        <f>$I$26+$I$28/2</f>
        <v>0</v>
      </c>
      <c r="BM21" s="231">
        <f>$I$26+$I$28/2</f>
        <v>0</v>
      </c>
      <c r="BN21" s="231">
        <f>$I$26-$I$28/2</f>
        <v>0</v>
      </c>
      <c r="BO21" s="231">
        <f>$I$26-$I$28/2</f>
        <v>0</v>
      </c>
      <c r="BP21" s="231">
        <f>$I$26+$I$28/2</f>
        <v>0</v>
      </c>
    </row>
    <row r="22" spans="1:68" ht="15">
      <c r="B22" s="23"/>
      <c r="C22" s="56" t="s">
        <v>144</v>
      </c>
      <c r="D22" s="270">
        <v>2</v>
      </c>
      <c r="E22" s="24"/>
      <c r="F22" s="256"/>
      <c r="G22" s="256"/>
      <c r="H22" s="256"/>
      <c r="I22" s="256"/>
      <c r="J22" s="256"/>
      <c r="K22" s="30"/>
      <c r="N22" s="58"/>
      <c r="O22" s="81" t="s">
        <v>208</v>
      </c>
      <c r="P22" s="79">
        <f ca="1">ROUND(SUM($P$21:$W$21),6)</f>
        <v>0</v>
      </c>
      <c r="Q22" s="82" t="s">
        <v>66</v>
      </c>
      <c r="R22" s="135"/>
      <c r="S22" s="136"/>
      <c r="T22" s="136"/>
      <c r="U22" s="136"/>
      <c r="V22" s="136"/>
      <c r="W22" s="83"/>
      <c r="X22" s="227">
        <v>18</v>
      </c>
      <c r="Y22" s="230" t="str">
        <f t="shared" ca="1" si="24"/>
        <v>N.A.</v>
      </c>
      <c r="Z22" s="230" t="str">
        <f t="shared" ca="1" si="25"/>
        <v>N.A.</v>
      </c>
      <c r="AA22" s="230" t="str">
        <f t="shared" ca="1" si="0"/>
        <v>N.A.</v>
      </c>
      <c r="AB22" s="230" t="str">
        <f t="shared" ca="1" si="1"/>
        <v>N.A.</v>
      </c>
      <c r="AC22" s="230" t="str">
        <f t="shared" ca="1" si="2"/>
        <v>N.A.</v>
      </c>
      <c r="AD22" s="229" t="str">
        <f t="shared" ca="1" si="3"/>
        <v>N.A.</v>
      </c>
      <c r="AE22" s="229" t="str">
        <f t="shared" ca="1" si="4"/>
        <v>N.A.</v>
      </c>
      <c r="AF22" s="229" t="str">
        <f t="shared" ca="1" si="5"/>
        <v>N.A.</v>
      </c>
      <c r="AG22" s="229" t="str">
        <f t="shared" ca="1" si="6"/>
        <v>N.A.</v>
      </c>
      <c r="AH22" s="230" t="str">
        <f t="shared" ca="1" si="7"/>
        <v>N.A.</v>
      </c>
      <c r="AI22" s="230" t="str">
        <f t="shared" ca="1" si="8"/>
        <v>N.A.</v>
      </c>
      <c r="AJ22" s="230" t="str">
        <f t="shared" ca="1" si="9"/>
        <v>N.A.</v>
      </c>
      <c r="AK22" s="230" t="str">
        <f t="shared" ca="1" si="10"/>
        <v>N.A.</v>
      </c>
      <c r="AL22" s="230" t="str">
        <f t="shared" ca="1" si="11"/>
        <v>N.A.</v>
      </c>
      <c r="AM22" s="230" t="str">
        <f t="shared" ca="1" si="12"/>
        <v>N.A.</v>
      </c>
      <c r="AN22" s="230" t="str">
        <f t="shared" ca="1" si="13"/>
        <v>N.A.</v>
      </c>
      <c r="AO22" s="230" t="str">
        <f t="shared" ca="1" si="14"/>
        <v>N.A.</v>
      </c>
      <c r="AP22" s="230" t="str">
        <f t="shared" ca="1" si="15"/>
        <v>N.A.</v>
      </c>
      <c r="AQ22" s="230" t="str">
        <f t="shared" ca="1" si="16"/>
        <v>N.A.</v>
      </c>
      <c r="AR22" s="230" t="str">
        <f t="shared" ca="1" si="17"/>
        <v>N.A.</v>
      </c>
      <c r="AS22" s="229" t="str">
        <f t="shared" ca="1" si="18"/>
        <v>N.A.</v>
      </c>
      <c r="AT22" s="229" t="str">
        <f t="shared" ca="1" si="19"/>
        <v>N.A.</v>
      </c>
      <c r="AU22" s="230" t="str">
        <f t="shared" ca="1" si="20"/>
        <v>N.A.</v>
      </c>
      <c r="AV22" s="230" t="str">
        <f t="shared" ca="1" si="21"/>
        <v>N.A.</v>
      </c>
      <c r="AW22" s="230" t="str">
        <f t="shared" ca="1" si="22"/>
        <v>N.A.</v>
      </c>
      <c r="AX22" s="230" t="str">
        <f t="shared" ca="1" si="23"/>
        <v>N.A.</v>
      </c>
      <c r="BK22" s="122" t="s">
        <v>61</v>
      </c>
      <c r="BL22" s="231">
        <f>$J$25-$J$27/2</f>
        <v>0</v>
      </c>
      <c r="BM22" s="231">
        <f>$J$25+$J$27/2</f>
        <v>0</v>
      </c>
      <c r="BN22" s="231">
        <f>$J$25+$J$27/2</f>
        <v>0</v>
      </c>
      <c r="BO22" s="231">
        <f>$J$25-$J$27/2</f>
        <v>0</v>
      </c>
      <c r="BP22" s="231">
        <f>$J$25-$J$27/2</f>
        <v>0</v>
      </c>
    </row>
    <row r="23" spans="1:68">
      <c r="B23" s="23"/>
      <c r="C23" s="241"/>
      <c r="D23" s="241"/>
      <c r="E23" s="241"/>
      <c r="F23" s="241"/>
      <c r="G23" s="241"/>
      <c r="H23" s="241"/>
      <c r="I23" s="241"/>
      <c r="J23" s="241"/>
      <c r="K23" s="30"/>
      <c r="N23" s="58"/>
      <c r="O23" s="85" t="s">
        <v>211</v>
      </c>
      <c r="P23" s="33">
        <f ca="1">IF($D$22&gt;=1,$P$17*(-$P$15),0)</f>
        <v>0</v>
      </c>
      <c r="Q23" s="33">
        <f ca="1">IF($D$22&gt;=2,$Q$17*(-$Q$15),0)</f>
        <v>0</v>
      </c>
      <c r="R23" s="33">
        <f>IF($D$22&gt;=3,$R$17*(-$R$15),0)</f>
        <v>0</v>
      </c>
      <c r="S23" s="33">
        <f>IF($D$22&gt;=4,$S$17*(-$S$15),0)</f>
        <v>0</v>
      </c>
      <c r="T23" s="33">
        <f>IF($D$22&gt;=5,$T$17*(-$T$15),0)</f>
        <v>0</v>
      </c>
      <c r="U23" s="33">
        <f>IF($D$22&gt;=6,$U$17*(-$U$15),0)</f>
        <v>0</v>
      </c>
      <c r="V23" s="33">
        <f>IF($D$22&gt;=7,$V$17*(-$V$15),0)</f>
        <v>0</v>
      </c>
      <c r="W23" s="33">
        <f>IF($D$22=8,$W$17*(-$W$15),0)</f>
        <v>0</v>
      </c>
      <c r="X23" s="227">
        <v>19</v>
      </c>
      <c r="Y23" s="230" t="str">
        <f t="shared" ca="1" si="24"/>
        <v>N.A.</v>
      </c>
      <c r="Z23" s="230" t="str">
        <f t="shared" ca="1" si="25"/>
        <v>N.A.</v>
      </c>
      <c r="AA23" s="230" t="str">
        <f t="shared" ca="1" si="0"/>
        <v>N.A.</v>
      </c>
      <c r="AB23" s="230" t="str">
        <f t="shared" ca="1" si="1"/>
        <v>N.A.</v>
      </c>
      <c r="AC23" s="230" t="str">
        <f t="shared" ca="1" si="2"/>
        <v>N.A.</v>
      </c>
      <c r="AD23" s="229" t="str">
        <f t="shared" ca="1" si="3"/>
        <v>N.A.</v>
      </c>
      <c r="AE23" s="229" t="str">
        <f t="shared" ca="1" si="4"/>
        <v>N.A.</v>
      </c>
      <c r="AF23" s="229" t="str">
        <f t="shared" ca="1" si="5"/>
        <v>N.A.</v>
      </c>
      <c r="AG23" s="229" t="str">
        <f t="shared" ca="1" si="6"/>
        <v>N.A.</v>
      </c>
      <c r="AH23" s="230" t="str">
        <f t="shared" ca="1" si="7"/>
        <v>N.A.</v>
      </c>
      <c r="AI23" s="230" t="str">
        <f t="shared" ca="1" si="8"/>
        <v>N.A.</v>
      </c>
      <c r="AJ23" s="230" t="str">
        <f t="shared" ca="1" si="9"/>
        <v>N.A.</v>
      </c>
      <c r="AK23" s="230" t="str">
        <f t="shared" ca="1" si="10"/>
        <v>N.A.</v>
      </c>
      <c r="AL23" s="230" t="str">
        <f t="shared" ca="1" si="11"/>
        <v>N.A.</v>
      </c>
      <c r="AM23" s="230" t="str">
        <f t="shared" ca="1" si="12"/>
        <v>N.A.</v>
      </c>
      <c r="AN23" s="230" t="str">
        <f t="shared" ca="1" si="13"/>
        <v>N.A.</v>
      </c>
      <c r="AO23" s="230" t="str">
        <f t="shared" ca="1" si="14"/>
        <v>N.A.</v>
      </c>
      <c r="AP23" s="230" t="str">
        <f t="shared" ca="1" si="15"/>
        <v>N.A.</v>
      </c>
      <c r="AQ23" s="230" t="str">
        <f t="shared" ca="1" si="16"/>
        <v>N.A.</v>
      </c>
      <c r="AR23" s="230" t="str">
        <f t="shared" ca="1" si="17"/>
        <v>N.A.</v>
      </c>
      <c r="AS23" s="229" t="str">
        <f t="shared" ca="1" si="18"/>
        <v>N.A.</v>
      </c>
      <c r="AT23" s="229" t="str">
        <f t="shared" ca="1" si="19"/>
        <v>N.A.</v>
      </c>
      <c r="AU23" s="230" t="str">
        <f t="shared" ca="1" si="20"/>
        <v>N.A.</v>
      </c>
      <c r="AV23" s="230" t="str">
        <f t="shared" ca="1" si="21"/>
        <v>N.A.</v>
      </c>
      <c r="AW23" s="230" t="str">
        <f t="shared" ca="1" si="22"/>
        <v>N.A.</v>
      </c>
      <c r="AX23" s="230" t="str">
        <f t="shared" ca="1" si="23"/>
        <v>N.A.</v>
      </c>
      <c r="AZ23" s="261" t="s">
        <v>363</v>
      </c>
      <c r="BK23" s="122" t="s">
        <v>62</v>
      </c>
      <c r="BL23" s="231">
        <f>$J$26+$J$28/2</f>
        <v>0</v>
      </c>
      <c r="BM23" s="231">
        <f>$J$26+$J$28/2</f>
        <v>0</v>
      </c>
      <c r="BN23" s="231">
        <f>$J$26-$J$28/2</f>
        <v>0</v>
      </c>
      <c r="BO23" s="231">
        <f>$J$26-$J$28/2</f>
        <v>0</v>
      </c>
      <c r="BP23" s="231">
        <f>$J$26+$J$28/2</f>
        <v>0</v>
      </c>
    </row>
    <row r="24" spans="1:68">
      <c r="B24" s="23"/>
      <c r="C24" s="29" t="str">
        <f>IF($D$22&gt;=1,"Pier #1","")</f>
        <v>Pier #1</v>
      </c>
      <c r="D24" s="29" t="str">
        <f>IF($D$22&gt;=2,"Pier #2","")</f>
        <v>Pier #2</v>
      </c>
      <c r="E24" s="29" t="str">
        <f>IF($D$22&gt;=3,"Pier #3","")</f>
        <v/>
      </c>
      <c r="F24" s="29" t="str">
        <f>IF($D$22&gt;=4,"Pier #4","")</f>
        <v/>
      </c>
      <c r="G24" s="29" t="str">
        <f>IF($D$22&gt;=5,"Pier #5","")</f>
        <v/>
      </c>
      <c r="H24" s="29" t="str">
        <f>IF($D$22&gt;=6,"Pier #6","")</f>
        <v/>
      </c>
      <c r="I24" s="29" t="str">
        <f>IF($D$22&gt;=7,"Pier #7","")</f>
        <v/>
      </c>
      <c r="J24" s="250" t="str">
        <f>IF($D$22=8,"Pier #8","")</f>
        <v/>
      </c>
      <c r="K24" s="30"/>
      <c r="N24" s="58"/>
      <c r="O24" s="81" t="s">
        <v>108</v>
      </c>
      <c r="P24" s="79">
        <f ca="1">ROUND(SUM($P$23:$W$23),6)</f>
        <v>0</v>
      </c>
      <c r="Q24" s="82" t="s">
        <v>107</v>
      </c>
      <c r="R24" s="135"/>
      <c r="S24" s="136"/>
      <c r="T24" s="136"/>
      <c r="U24" s="136"/>
      <c r="V24" s="136"/>
      <c r="W24" s="83"/>
      <c r="X24" s="227">
        <v>20</v>
      </c>
      <c r="Y24" s="230" t="str">
        <f t="shared" ca="1" si="24"/>
        <v>N.A.</v>
      </c>
      <c r="Z24" s="230" t="str">
        <f t="shared" ca="1" si="25"/>
        <v>N.A.</v>
      </c>
      <c r="AA24" s="230" t="str">
        <f t="shared" ca="1" si="0"/>
        <v>N.A.</v>
      </c>
      <c r="AB24" s="230" t="str">
        <f t="shared" ca="1" si="1"/>
        <v>N.A.</v>
      </c>
      <c r="AC24" s="230" t="str">
        <f t="shared" ca="1" si="2"/>
        <v>N.A.</v>
      </c>
      <c r="AD24" s="229" t="str">
        <f t="shared" ca="1" si="3"/>
        <v>N.A.</v>
      </c>
      <c r="AE24" s="229" t="str">
        <f t="shared" ca="1" si="4"/>
        <v>N.A.</v>
      </c>
      <c r="AF24" s="229" t="str">
        <f t="shared" ca="1" si="5"/>
        <v>N.A.</v>
      </c>
      <c r="AG24" s="229" t="str">
        <f t="shared" ca="1" si="6"/>
        <v>N.A.</v>
      </c>
      <c r="AH24" s="230" t="str">
        <f t="shared" ca="1" si="7"/>
        <v>N.A.</v>
      </c>
      <c r="AI24" s="230" t="str">
        <f t="shared" ca="1" si="8"/>
        <v>N.A.</v>
      </c>
      <c r="AJ24" s="230" t="str">
        <f t="shared" ca="1" si="9"/>
        <v>N.A.</v>
      </c>
      <c r="AK24" s="230" t="str">
        <f t="shared" ca="1" si="10"/>
        <v>N.A.</v>
      </c>
      <c r="AL24" s="230" t="str">
        <f t="shared" ca="1" si="11"/>
        <v>N.A.</v>
      </c>
      <c r="AM24" s="230" t="str">
        <f t="shared" ca="1" si="12"/>
        <v>N.A.</v>
      </c>
      <c r="AN24" s="230" t="str">
        <f t="shared" ca="1" si="13"/>
        <v>N.A.</v>
      </c>
      <c r="AO24" s="230" t="str">
        <f t="shared" ca="1" si="14"/>
        <v>N.A.</v>
      </c>
      <c r="AP24" s="230" t="str">
        <f t="shared" ca="1" si="15"/>
        <v>N.A.</v>
      </c>
      <c r="AQ24" s="230" t="str">
        <f t="shared" ca="1" si="16"/>
        <v>N.A.</v>
      </c>
      <c r="AR24" s="230" t="str">
        <f t="shared" ca="1" si="17"/>
        <v>N.A.</v>
      </c>
      <c r="AS24" s="229" t="str">
        <f t="shared" ca="1" si="18"/>
        <v>N.A.</v>
      </c>
      <c r="AT24" s="229" t="str">
        <f t="shared" ca="1" si="19"/>
        <v>N.A.</v>
      </c>
      <c r="AU24" s="230" t="str">
        <f t="shared" ca="1" si="20"/>
        <v>N.A.</v>
      </c>
      <c r="AV24" s="230" t="str">
        <f t="shared" ca="1" si="21"/>
        <v>N.A.</v>
      </c>
      <c r="AW24" s="230" t="str">
        <f t="shared" ca="1" si="22"/>
        <v>N.A.</v>
      </c>
      <c r="AX24" s="230" t="str">
        <f t="shared" ca="1" si="23"/>
        <v>N.A.</v>
      </c>
      <c r="AZ24" s="260" t="s">
        <v>115</v>
      </c>
      <c r="BK24" s="122" t="s">
        <v>160</v>
      </c>
      <c r="BL24" s="231">
        <f ca="1">$C$61</f>
        <v>-0.77</v>
      </c>
      <c r="BM24" s="122"/>
      <c r="BN24" s="232"/>
      <c r="BO24" s="50"/>
      <c r="BP24" s="122"/>
    </row>
    <row r="25" spans="1:68" ht="15">
      <c r="B25" s="19" t="s">
        <v>150</v>
      </c>
      <c r="C25" s="268">
        <v>-1.5</v>
      </c>
      <c r="D25" s="271">
        <v>1.5</v>
      </c>
      <c r="E25" s="102"/>
      <c r="F25" s="106"/>
      <c r="G25" s="102"/>
      <c r="H25" s="106"/>
      <c r="I25" s="102"/>
      <c r="J25" s="102"/>
      <c r="K25" s="30" t="str">
        <f ca="1">RIGHT(CELL("имяфайла", E2), LEN(CELL("имяфайла", E2))-FIND("]",CELL("имяфайла", E2)))</f>
        <v>MB-H</v>
      </c>
      <c r="N25" s="58"/>
      <c r="O25" s="85" t="s">
        <v>212</v>
      </c>
      <c r="P25" s="33">
        <f ca="1">IF($D$22&gt;=1,-$C$32*($C$29+$D$13)+$C$33,0)</f>
        <v>0</v>
      </c>
      <c r="Q25" s="33">
        <f ca="1">IF($D$22&gt;=2,-$D$32*($D$29+$D$13)+$D$33,0)</f>
        <v>0</v>
      </c>
      <c r="R25" s="33">
        <f>IF($D$22&gt;=3,-$E$32*($E$29+$D$13)+$E$33,0)</f>
        <v>0</v>
      </c>
      <c r="S25" s="33">
        <f>IF($D$22&gt;=4,-$F$32*($F$29+$D$13)+$F$33,0)</f>
        <v>0</v>
      </c>
      <c r="T25" s="33">
        <f>IF($D$22&gt;=5,-$G$32*($G$29+$D$13)+$G$33,0)</f>
        <v>0</v>
      </c>
      <c r="U25" s="33">
        <f>IF($D$22&gt;=6,-$H$32*($H$29+$D$13)+$H$33,0)</f>
        <v>0</v>
      </c>
      <c r="V25" s="33">
        <f>IF($D$22&gt;=7,-$I$32*($I$29+$D$13)+$I$33,0)</f>
        <v>0</v>
      </c>
      <c r="W25" s="33">
        <f>IF($D$22&gt;=8,-$J$32*($J$29+$D$13)+$J$33,0)</f>
        <v>0</v>
      </c>
      <c r="X25" s="227">
        <v>21</v>
      </c>
      <c r="Y25" s="230" t="str">
        <f t="shared" ca="1" si="24"/>
        <v>N.A.</v>
      </c>
      <c r="Z25" s="230" t="str">
        <f t="shared" ca="1" si="25"/>
        <v>N.A.</v>
      </c>
      <c r="AA25" s="230" t="str">
        <f t="shared" ca="1" si="0"/>
        <v>N.A.</v>
      </c>
      <c r="AB25" s="230" t="str">
        <f t="shared" ca="1" si="1"/>
        <v>N.A.</v>
      </c>
      <c r="AC25" s="230" t="str">
        <f t="shared" ca="1" si="2"/>
        <v>N.A.</v>
      </c>
      <c r="AD25" s="229" t="str">
        <f t="shared" ca="1" si="3"/>
        <v>N.A.</v>
      </c>
      <c r="AE25" s="229" t="str">
        <f t="shared" ca="1" si="4"/>
        <v>N.A.</v>
      </c>
      <c r="AF25" s="229" t="str">
        <f t="shared" ca="1" si="5"/>
        <v>N.A.</v>
      </c>
      <c r="AG25" s="229" t="str">
        <f t="shared" ca="1" si="6"/>
        <v>N.A.</v>
      </c>
      <c r="AH25" s="230" t="str">
        <f t="shared" ca="1" si="7"/>
        <v>N.A.</v>
      </c>
      <c r="AI25" s="230" t="str">
        <f t="shared" ca="1" si="8"/>
        <v>N.A.</v>
      </c>
      <c r="AJ25" s="230" t="str">
        <f t="shared" ca="1" si="9"/>
        <v>N.A.</v>
      </c>
      <c r="AK25" s="230" t="str">
        <f t="shared" ca="1" si="10"/>
        <v>N.A.</v>
      </c>
      <c r="AL25" s="230" t="str">
        <f t="shared" ca="1" si="11"/>
        <v>N.A.</v>
      </c>
      <c r="AM25" s="230" t="str">
        <f t="shared" ca="1" si="12"/>
        <v>N.A.</v>
      </c>
      <c r="AN25" s="230" t="str">
        <f t="shared" ca="1" si="13"/>
        <v>N.A.</v>
      </c>
      <c r="AO25" s="230" t="str">
        <f t="shared" ca="1" si="14"/>
        <v>N.A.</v>
      </c>
      <c r="AP25" s="230" t="str">
        <f t="shared" ca="1" si="15"/>
        <v>N.A.</v>
      </c>
      <c r="AQ25" s="230" t="str">
        <f t="shared" ca="1" si="16"/>
        <v>N.A.</v>
      </c>
      <c r="AR25" s="230" t="str">
        <f t="shared" ca="1" si="17"/>
        <v>N.A.</v>
      </c>
      <c r="AS25" s="229" t="str">
        <f t="shared" ca="1" si="18"/>
        <v>N.A.</v>
      </c>
      <c r="AT25" s="229" t="str">
        <f t="shared" ca="1" si="19"/>
        <v>N.A.</v>
      </c>
      <c r="AU25" s="230" t="str">
        <f t="shared" ca="1" si="20"/>
        <v>N.A.</v>
      </c>
      <c r="AV25" s="230" t="str">
        <f t="shared" ca="1" si="21"/>
        <v>N.A.</v>
      </c>
      <c r="AW25" s="230" t="str">
        <f t="shared" ca="1" si="22"/>
        <v>N.A.</v>
      </c>
      <c r="AX25" s="230" t="str">
        <f t="shared" ca="1" si="23"/>
        <v>N.A.</v>
      </c>
      <c r="AZ25" s="139" t="s">
        <v>117</v>
      </c>
      <c r="BA25" s="265" t="str">
        <f ca="1">$C$67</f>
        <v>N.A.</v>
      </c>
      <c r="BK25" s="122" t="s">
        <v>161</v>
      </c>
      <c r="BL25" s="231">
        <f ca="1">$C$62</f>
        <v>0</v>
      </c>
      <c r="BM25" s="122"/>
      <c r="BN25" s="232"/>
      <c r="BO25" s="50"/>
      <c r="BP25" s="122"/>
    </row>
    <row r="26" spans="1:68" ht="15">
      <c r="B26" s="19" t="s">
        <v>151</v>
      </c>
      <c r="C26" s="268">
        <v>0</v>
      </c>
      <c r="D26" s="268">
        <v>0</v>
      </c>
      <c r="E26" s="103"/>
      <c r="F26" s="107"/>
      <c r="G26" s="103"/>
      <c r="H26" s="107"/>
      <c r="I26" s="103"/>
      <c r="J26" s="103"/>
      <c r="K26" s="30"/>
      <c r="N26" s="58"/>
      <c r="O26" s="68" t="s">
        <v>250</v>
      </c>
      <c r="P26" s="79">
        <f ca="1">IF(AND($P$17&lt;0,$P$15&lt;0),$P$17*($D$12/2-$P$15),IF(AND($P$17&lt;0,$P$15&gt;0),-$P$17*($D$12/2+$P$15),IF(AND($P$17&lt;0,$P$15=0,$P$41&lt;0),-$P$17*$D$12/2,IF(AND($P$17&lt;0,$P$15=0,$P$41&gt;0),$P$17*$D$12/2,0))))</f>
        <v>0</v>
      </c>
      <c r="Q26" s="79">
        <f ca="1">IF(AND($Q$17&lt;0,$Q$15&lt;0),$Q$17*($D$12/2-$Q$15),IF(AND($Q$17&lt;0,$Q$15&gt;0),-$Q$17*($D$12/2+$Q$15),IF(AND($Q$17&lt;0,$Q$15=0,$P$41&lt;0),-$Q$17*$D$12/2,IF(AND($Q$17&lt;0,$Q$15=0,$P$41&gt;0),$Q$17*$D$12/2,0))))</f>
        <v>0</v>
      </c>
      <c r="R26" s="79">
        <f ca="1">IF(AND($R$17&lt;0,$R$15&lt;0),$R$17*($D$12/2-$R$15),IF(AND($R$17&lt;0,$R$15&gt;0),-$R$17*($D$12/2+$R$15),IF(AND($R$17&lt;0,$R$15=0,$P$41&lt;0),-$R$17*$D$12/2,IF(AND($R$17&lt;0,$R$15=0,$P$41&gt;0),$R$17*$D$12/2,0))))</f>
        <v>0</v>
      </c>
      <c r="S26" s="79">
        <f ca="1">IF(AND($S$17&lt;0,$S$15&lt;0),$S$17*($D$12/2-$S$15),IF(AND($S$17&lt;0,$S$15&gt;0),-$S$17*($D$12/2+$S$15),IF(AND($S$17&lt;0,$S$15=0,$P$41&lt;0),-$S$17*$D$12/2,IF(AND($S$17&lt;0,$S$15=0,$P$41&gt;0),$S$17*$D$12/2,0))))</f>
        <v>0</v>
      </c>
      <c r="T26" s="79">
        <f ca="1">IF(AND($T$17&lt;0,$T$15&lt;0),$T$17*($D$12/2-$T$15),IF(AND($T$17&lt;0,$T$15&gt;0),-$T$17*($D$12/2+$T$15),IF(AND($T$17&lt;0,$T$15=0,$P$41&lt;0),-$T$17*$D$12/2,IF(AND($T$17&lt;0,$T$15=0,$P$41&gt;0),$T$17*$D$12/2,0))))</f>
        <v>0</v>
      </c>
      <c r="U26" s="79">
        <f ca="1">IF(AND($U$17&lt;0,$U$15&lt;0),$U$17*($D$12/2-$U$15),IF(AND($U$17&lt;0,$U$15&gt;0),-$U$17*($D$12/2+$U$15),IF(AND($U$17&lt;0,$U$15=0,$P$41&lt;0),-$U$17*$D$12/2,IF(AND($U$17&lt;0,$U$15=0,$P$41&gt;0),$U$17*$D$12/2,0))))</f>
        <v>0</v>
      </c>
      <c r="V26" s="79">
        <f ca="1">IF(AND($V$17&lt;0,$V$15&lt;0),$V$17*($D$12/2-$V$15),IF(AND($V$17&lt;0,$V$15&gt;0),-$V$17*($D$12/2+$V$15),IF(AND($V$17&lt;0,$V$15=0,$P$41&lt;0),-$V$17*$D$12/2,IF(AND($V$17&lt;0,$V$15=0,$P$41&gt;0),$V$17*$D$12/2,0))))</f>
        <v>0</v>
      </c>
      <c r="W26" s="79">
        <f ca="1">IF(AND($W$17&lt;0,$W$15&lt;0),$W$17*($D$12/2-$W$15),IF(AND($W$17&lt;0,$W$15&gt;0),-$W$17*($D$12/2+$W$15),IF(AND($W$17&lt;0,$W$15=0,$P$41&lt;0),-$W$17*$D$12/2,IF(AND($W$17&lt;0,$W$15=0,$P$41&gt;0),$W$17*$D$12/2,0))))</f>
        <v>0</v>
      </c>
      <c r="X26" s="227">
        <v>22</v>
      </c>
      <c r="Y26" s="230" t="str">
        <f t="shared" ca="1" si="24"/>
        <v>N.A.</v>
      </c>
      <c r="Z26" s="230" t="str">
        <f t="shared" ca="1" si="25"/>
        <v>N.A.</v>
      </c>
      <c r="AA26" s="230" t="str">
        <f t="shared" ca="1" si="0"/>
        <v>N.A.</v>
      </c>
      <c r="AB26" s="230" t="str">
        <f t="shared" ca="1" si="1"/>
        <v>N.A.</v>
      </c>
      <c r="AC26" s="230" t="str">
        <f t="shared" ca="1" si="2"/>
        <v>N.A.</v>
      </c>
      <c r="AD26" s="229" t="str">
        <f t="shared" ca="1" si="3"/>
        <v>N.A.</v>
      </c>
      <c r="AE26" s="229" t="str">
        <f t="shared" ca="1" si="4"/>
        <v>N.A.</v>
      </c>
      <c r="AF26" s="229" t="str">
        <f t="shared" ca="1" si="5"/>
        <v>N.A.</v>
      </c>
      <c r="AG26" s="229" t="str">
        <f t="shared" ca="1" si="6"/>
        <v>N.A.</v>
      </c>
      <c r="AH26" s="230" t="str">
        <f t="shared" ca="1" si="7"/>
        <v>N.A.</v>
      </c>
      <c r="AI26" s="230" t="str">
        <f t="shared" ca="1" si="8"/>
        <v>N.A.</v>
      </c>
      <c r="AJ26" s="230" t="str">
        <f t="shared" ca="1" si="9"/>
        <v>N.A.</v>
      </c>
      <c r="AK26" s="230" t="str">
        <f t="shared" ca="1" si="10"/>
        <v>N.A.</v>
      </c>
      <c r="AL26" s="230" t="str">
        <f t="shared" ca="1" si="11"/>
        <v>N.A.</v>
      </c>
      <c r="AM26" s="230" t="str">
        <f t="shared" ca="1" si="12"/>
        <v>N.A.</v>
      </c>
      <c r="AN26" s="230" t="str">
        <f t="shared" ca="1" si="13"/>
        <v>N.A.</v>
      </c>
      <c r="AO26" s="230" t="str">
        <f t="shared" ca="1" si="14"/>
        <v>N.A.</v>
      </c>
      <c r="AP26" s="230" t="str">
        <f t="shared" ca="1" si="15"/>
        <v>N.A.</v>
      </c>
      <c r="AQ26" s="230" t="str">
        <f t="shared" ca="1" si="16"/>
        <v>N.A.</v>
      </c>
      <c r="AR26" s="230" t="str">
        <f t="shared" ca="1" si="17"/>
        <v>N.A.</v>
      </c>
      <c r="AS26" s="229" t="str">
        <f t="shared" ca="1" si="18"/>
        <v>N.A.</v>
      </c>
      <c r="AT26" s="229" t="str">
        <f t="shared" ca="1" si="19"/>
        <v>N.A.</v>
      </c>
      <c r="AU26" s="230" t="str">
        <f t="shared" ca="1" si="20"/>
        <v>N.A.</v>
      </c>
      <c r="AV26" s="230" t="str">
        <f t="shared" ca="1" si="21"/>
        <v>N.A.</v>
      </c>
      <c r="AW26" s="230" t="str">
        <f t="shared" ca="1" si="22"/>
        <v>N.A.</v>
      </c>
      <c r="AX26" s="230" t="str">
        <f t="shared" ca="1" si="23"/>
        <v>N.A.</v>
      </c>
      <c r="AZ26" s="139" t="s">
        <v>119</v>
      </c>
      <c r="BA26" s="112">
        <f ca="1">$C$70</f>
        <v>6.2596631781782932</v>
      </c>
      <c r="BK26" s="122" t="s">
        <v>165</v>
      </c>
      <c r="BL26" s="248">
        <f>$BA$4/2</f>
        <v>8.25</v>
      </c>
      <c r="BM26" s="249">
        <f>$BB$4/2</f>
        <v>5</v>
      </c>
      <c r="BN26" s="232"/>
      <c r="BO26" s="50"/>
      <c r="BP26" s="122"/>
    </row>
    <row r="27" spans="1:68" ht="15">
      <c r="A27" s="57">
        <v>4</v>
      </c>
      <c r="B27" s="19" t="s">
        <v>185</v>
      </c>
      <c r="C27" s="269" t="str">
        <f ca="1">SUBSTITUTE(VLOOKUP(RIGHT( CELL("имяфайла",$E$2), LEN( CELL("имяфайла",$E$2))-FIND("]", CELL("имяфайла",$E$2))),Summary!C:Z,$A27,FALSE),".",",")</f>
        <v>2,7500</v>
      </c>
      <c r="D27" s="269" t="str">
        <f ca="1">SUBSTITUTE(VLOOKUP(RIGHT( CELL("имяфайла",$E$2), LEN( CELL("имяфайла",$E$2))-FIND("]", CELL("имяфайла",$E$2))),Summary!C:Z,$A27,FALSE),".",",")</f>
        <v>2,7500</v>
      </c>
      <c r="E27" s="103"/>
      <c r="F27" s="107"/>
      <c r="G27" s="103"/>
      <c r="H27" s="107"/>
      <c r="I27" s="103"/>
      <c r="J27" s="103"/>
      <c r="K27" s="30"/>
      <c r="N27" s="58"/>
      <c r="O27" s="81" t="s">
        <v>109</v>
      </c>
      <c r="P27" s="79">
        <f ca="1">ROUND(SUM($P$25:$W$25)+SUM($P$26:$W$26),6)</f>
        <v>0</v>
      </c>
      <c r="Q27" s="82" t="s">
        <v>107</v>
      </c>
      <c r="R27" s="135"/>
      <c r="S27" s="136"/>
      <c r="T27" s="136"/>
      <c r="U27" s="136"/>
      <c r="V27" s="136"/>
      <c r="W27" s="83"/>
      <c r="X27" s="227">
        <v>23</v>
      </c>
      <c r="Y27" s="230" t="str">
        <f t="shared" ca="1" si="24"/>
        <v>N.A.</v>
      </c>
      <c r="Z27" s="230" t="str">
        <f t="shared" ca="1" si="25"/>
        <v>N.A.</v>
      </c>
      <c r="AA27" s="230" t="str">
        <f t="shared" ca="1" si="0"/>
        <v>N.A.</v>
      </c>
      <c r="AB27" s="230" t="str">
        <f t="shared" ca="1" si="1"/>
        <v>N.A.</v>
      </c>
      <c r="AC27" s="230" t="str">
        <f t="shared" ca="1" si="2"/>
        <v>N.A.</v>
      </c>
      <c r="AD27" s="229" t="str">
        <f t="shared" ca="1" si="3"/>
        <v>N.A.</v>
      </c>
      <c r="AE27" s="229" t="str">
        <f t="shared" ca="1" si="4"/>
        <v>N.A.</v>
      </c>
      <c r="AF27" s="229" t="str">
        <f t="shared" ca="1" si="5"/>
        <v>N.A.</v>
      </c>
      <c r="AG27" s="229" t="str">
        <f t="shared" ca="1" si="6"/>
        <v>N.A.</v>
      </c>
      <c r="AH27" s="230" t="str">
        <f t="shared" ca="1" si="7"/>
        <v>N.A.</v>
      </c>
      <c r="AI27" s="230" t="str">
        <f t="shared" ca="1" si="8"/>
        <v>N.A.</v>
      </c>
      <c r="AJ27" s="230" t="str">
        <f t="shared" ca="1" si="9"/>
        <v>N.A.</v>
      </c>
      <c r="AK27" s="230" t="str">
        <f t="shared" ca="1" si="10"/>
        <v>N.A.</v>
      </c>
      <c r="AL27" s="230" t="str">
        <f t="shared" ca="1" si="11"/>
        <v>N.A.</v>
      </c>
      <c r="AM27" s="230" t="str">
        <f t="shared" ca="1" si="12"/>
        <v>N.A.</v>
      </c>
      <c r="AN27" s="230" t="str">
        <f t="shared" ca="1" si="13"/>
        <v>N.A.</v>
      </c>
      <c r="AO27" s="230" t="str">
        <f t="shared" ca="1" si="14"/>
        <v>N.A.</v>
      </c>
      <c r="AP27" s="230" t="str">
        <f t="shared" ca="1" si="15"/>
        <v>N.A.</v>
      </c>
      <c r="AQ27" s="230" t="str">
        <f t="shared" ca="1" si="16"/>
        <v>N.A.</v>
      </c>
      <c r="AR27" s="230" t="str">
        <f t="shared" ca="1" si="17"/>
        <v>N.A.</v>
      </c>
      <c r="AS27" s="229" t="str">
        <f t="shared" ca="1" si="18"/>
        <v>N.A.</v>
      </c>
      <c r="AT27" s="229" t="str">
        <f t="shared" ca="1" si="19"/>
        <v>N.A.</v>
      </c>
      <c r="AU27" s="230" t="str">
        <f t="shared" ca="1" si="20"/>
        <v>N.A.</v>
      </c>
      <c r="AV27" s="230" t="str">
        <f t="shared" ca="1" si="21"/>
        <v>N.A.</v>
      </c>
      <c r="AW27" s="230" t="str">
        <f t="shared" ca="1" si="22"/>
        <v>N.A.</v>
      </c>
      <c r="AX27" s="230" t="str">
        <f t="shared" ca="1" si="23"/>
        <v>N.A.</v>
      </c>
      <c r="AZ27" s="260" t="s">
        <v>325</v>
      </c>
      <c r="BK27" s="122" t="s">
        <v>166</v>
      </c>
      <c r="BL27" s="248">
        <f>-$BA$4/2</f>
        <v>-8.25</v>
      </c>
      <c r="BM27" s="249">
        <f>$BB$4/2</f>
        <v>5</v>
      </c>
      <c r="BN27" s="232"/>
      <c r="BO27" s="50"/>
      <c r="BP27" s="122"/>
    </row>
    <row r="28" spans="1:68" ht="15">
      <c r="A28" s="57">
        <v>5</v>
      </c>
      <c r="B28" s="19" t="s">
        <v>186</v>
      </c>
      <c r="C28" s="269" t="str">
        <f ca="1">SUBSTITUTE(VLOOKUP(RIGHT( CELL("имяфайла",$E$2), LEN( CELL("имяфайла",$E$2))-FIND("]", CELL("имяфайла",$E$2))),Summary!C:Z,$A28,FALSE),".",",")</f>
        <v>1,7500</v>
      </c>
      <c r="D28" s="269" t="str">
        <f ca="1">SUBSTITUTE(VLOOKUP(RIGHT( CELL("имяфайла",$E$2), LEN( CELL("имяфайла",$E$2))-FIND("]", CELL("имяфайла",$E$2))),Summary!C:Z,$A28,FALSE),".",",")</f>
        <v>1,7500</v>
      </c>
      <c r="E28" s="103"/>
      <c r="F28" s="107"/>
      <c r="G28" s="103"/>
      <c r="H28" s="107"/>
      <c r="I28" s="103"/>
      <c r="J28" s="103"/>
      <c r="K28" s="30"/>
      <c r="N28" s="58"/>
      <c r="O28" s="85" t="s">
        <v>213</v>
      </c>
      <c r="P28" s="33">
        <f ca="1">IF($D$22&gt;=1,$P$17*$P$14,0)</f>
        <v>-133.12829062500001</v>
      </c>
      <c r="Q28" s="33">
        <f ca="1">IF($D$22&gt;=2,$Q$17*$Q$14,0)</f>
        <v>133.12829062500001</v>
      </c>
      <c r="R28" s="33">
        <f>IF($D$22&gt;=3,$R$17*$R$14,0)</f>
        <v>0</v>
      </c>
      <c r="S28" s="33">
        <f>IF($D$22&gt;=4,$S$17*$S$14,0)</f>
        <v>0</v>
      </c>
      <c r="T28" s="33">
        <f>IF($D$22&gt;=5,$T$17*$T$14,0)</f>
        <v>0</v>
      </c>
      <c r="U28" s="33">
        <f>IF($D$22&gt;=6,$U$17*$U$14,0)</f>
        <v>0</v>
      </c>
      <c r="V28" s="33">
        <f>IF($D$22&gt;=7,$V$17*$V$14,0)</f>
        <v>0</v>
      </c>
      <c r="W28" s="33">
        <f>IF($D$22=8,$W$17*$W$14,0)</f>
        <v>0</v>
      </c>
      <c r="X28" s="227">
        <v>24</v>
      </c>
      <c r="Y28" s="230" t="str">
        <f t="shared" ca="1" si="24"/>
        <v>N.A.</v>
      </c>
      <c r="Z28" s="230" t="str">
        <f t="shared" ca="1" si="25"/>
        <v>N.A.</v>
      </c>
      <c r="AA28" s="230" t="str">
        <f t="shared" ca="1" si="0"/>
        <v>N.A.</v>
      </c>
      <c r="AB28" s="230" t="str">
        <f t="shared" ca="1" si="1"/>
        <v>N.A.</v>
      </c>
      <c r="AC28" s="230" t="str">
        <f t="shared" ca="1" si="2"/>
        <v>N.A.</v>
      </c>
      <c r="AD28" s="229" t="str">
        <f t="shared" ca="1" si="3"/>
        <v>N.A.</v>
      </c>
      <c r="AE28" s="229" t="str">
        <f t="shared" ca="1" si="4"/>
        <v>N.A.</v>
      </c>
      <c r="AF28" s="229" t="str">
        <f t="shared" ca="1" si="5"/>
        <v>N.A.</v>
      </c>
      <c r="AG28" s="229" t="str">
        <f t="shared" ca="1" si="6"/>
        <v>N.A.</v>
      </c>
      <c r="AH28" s="230" t="str">
        <f t="shared" ca="1" si="7"/>
        <v>N.A.</v>
      </c>
      <c r="AI28" s="230" t="str">
        <f t="shared" ca="1" si="8"/>
        <v>N.A.</v>
      </c>
      <c r="AJ28" s="230" t="str">
        <f t="shared" ca="1" si="9"/>
        <v>N.A.</v>
      </c>
      <c r="AK28" s="230" t="str">
        <f t="shared" ca="1" si="10"/>
        <v>N.A.</v>
      </c>
      <c r="AL28" s="230" t="str">
        <f t="shared" ca="1" si="11"/>
        <v>N.A.</v>
      </c>
      <c r="AM28" s="230" t="str">
        <f t="shared" ca="1" si="12"/>
        <v>N.A.</v>
      </c>
      <c r="AN28" s="230" t="str">
        <f t="shared" ca="1" si="13"/>
        <v>N.A.</v>
      </c>
      <c r="AO28" s="230" t="str">
        <f t="shared" ca="1" si="14"/>
        <v>N.A.</v>
      </c>
      <c r="AP28" s="230" t="str">
        <f t="shared" ca="1" si="15"/>
        <v>N.A.</v>
      </c>
      <c r="AQ28" s="230" t="str">
        <f t="shared" ca="1" si="16"/>
        <v>N.A.</v>
      </c>
      <c r="AR28" s="230" t="str">
        <f t="shared" ca="1" si="17"/>
        <v>N.A.</v>
      </c>
      <c r="AS28" s="229" t="str">
        <f t="shared" ca="1" si="18"/>
        <v>N.A.</v>
      </c>
      <c r="AT28" s="229" t="str">
        <f t="shared" ca="1" si="19"/>
        <v>N.A.</v>
      </c>
      <c r="AU28" s="230" t="str">
        <f t="shared" ca="1" si="20"/>
        <v>N.A.</v>
      </c>
      <c r="AV28" s="230" t="str">
        <f t="shared" ca="1" si="21"/>
        <v>N.A.</v>
      </c>
      <c r="AW28" s="230" t="str">
        <f t="shared" ca="1" si="22"/>
        <v>N.A.</v>
      </c>
      <c r="AX28" s="230" t="str">
        <f t="shared" ca="1" si="23"/>
        <v>N.A.</v>
      </c>
      <c r="AZ28" s="47" t="s">
        <v>326</v>
      </c>
      <c r="BA28" s="265" t="str">
        <f ca="1">$C$75</f>
        <v>N.A.</v>
      </c>
      <c r="BK28" s="122" t="s">
        <v>167</v>
      </c>
      <c r="BL28" s="248">
        <f>-$BA$4/2</f>
        <v>-8.25</v>
      </c>
      <c r="BM28" s="249">
        <f>-$BB$4/2</f>
        <v>-5</v>
      </c>
      <c r="BN28" s="232"/>
      <c r="BO28" s="232"/>
      <c r="BP28" s="122"/>
    </row>
    <row r="29" spans="1:68" ht="15">
      <c r="A29" s="57">
        <v>6</v>
      </c>
      <c r="B29" s="19" t="s">
        <v>188</v>
      </c>
      <c r="C29" s="269" t="str">
        <f ca="1">SUBSTITUTE(VLOOKUP(RIGHT( CELL("имяфайла",$E$2), LEN( CELL("имяфайла",$E$2))-FIND("]", CELL("имяфайла",$E$2))),Summary!C:Z,$A29,FALSE),".",",")</f>
        <v>3,0000</v>
      </c>
      <c r="D29" s="269" t="str">
        <f ca="1">SUBSTITUTE(VLOOKUP(RIGHT( CELL("имяфайла",$E$2), LEN( CELL("имяфайла",$E$2))-FIND("]", CELL("имяфайла",$E$2))),Summary!C:Z,$A29,FALSE),".",",")</f>
        <v>3,0000</v>
      </c>
      <c r="E29" s="103"/>
      <c r="F29" s="107"/>
      <c r="G29" s="103"/>
      <c r="H29" s="107"/>
      <c r="I29" s="103"/>
      <c r="J29" s="103"/>
      <c r="K29" s="30"/>
      <c r="N29" s="58"/>
      <c r="O29" s="81" t="s">
        <v>110</v>
      </c>
      <c r="P29" s="79">
        <f ca="1">ROUND(SUM($P$28:$W$28),6)</f>
        <v>0</v>
      </c>
      <c r="Q29" s="82" t="s">
        <v>107</v>
      </c>
      <c r="R29" s="135"/>
      <c r="S29" s="136"/>
      <c r="T29" s="136"/>
      <c r="U29" s="136"/>
      <c r="V29" s="136"/>
      <c r="W29" s="83"/>
      <c r="X29" s="227">
        <v>25</v>
      </c>
      <c r="Y29" s="230" t="str">
        <f t="shared" ca="1" si="24"/>
        <v>N.A.</v>
      </c>
      <c r="Z29" s="230" t="str">
        <f t="shared" ca="1" si="25"/>
        <v>N.A.</v>
      </c>
      <c r="AA29" s="230" t="str">
        <f t="shared" ca="1" si="0"/>
        <v>N.A.</v>
      </c>
      <c r="AB29" s="230" t="str">
        <f t="shared" ca="1" si="1"/>
        <v>N.A.</v>
      </c>
      <c r="AC29" s="230" t="str">
        <f t="shared" ca="1" si="2"/>
        <v>N.A.</v>
      </c>
      <c r="AD29" s="229" t="str">
        <f t="shared" ca="1" si="3"/>
        <v>N.A.</v>
      </c>
      <c r="AE29" s="229" t="str">
        <f t="shared" ca="1" si="4"/>
        <v>N.A.</v>
      </c>
      <c r="AF29" s="229" t="str">
        <f t="shared" ca="1" si="5"/>
        <v>N.A.</v>
      </c>
      <c r="AG29" s="229" t="str">
        <f t="shared" ca="1" si="6"/>
        <v>N.A.</v>
      </c>
      <c r="AH29" s="230" t="str">
        <f t="shared" ca="1" si="7"/>
        <v>N.A.</v>
      </c>
      <c r="AI29" s="230" t="str">
        <f t="shared" ca="1" si="8"/>
        <v>N.A.</v>
      </c>
      <c r="AJ29" s="230" t="str">
        <f t="shared" ca="1" si="9"/>
        <v>N.A.</v>
      </c>
      <c r="AK29" s="230" t="str">
        <f t="shared" ca="1" si="10"/>
        <v>N.A.</v>
      </c>
      <c r="AL29" s="230" t="str">
        <f t="shared" ca="1" si="11"/>
        <v>N.A.</v>
      </c>
      <c r="AM29" s="230" t="str">
        <f t="shared" ca="1" si="12"/>
        <v>N.A.</v>
      </c>
      <c r="AN29" s="230" t="str">
        <f t="shared" ca="1" si="13"/>
        <v>N.A.</v>
      </c>
      <c r="AO29" s="230" t="str">
        <f t="shared" ca="1" si="14"/>
        <v>N.A.</v>
      </c>
      <c r="AP29" s="230" t="str">
        <f t="shared" ca="1" si="15"/>
        <v>N.A.</v>
      </c>
      <c r="AQ29" s="230" t="str">
        <f t="shared" ca="1" si="16"/>
        <v>N.A.</v>
      </c>
      <c r="AR29" s="230" t="str">
        <f t="shared" ca="1" si="17"/>
        <v>N.A.</v>
      </c>
      <c r="AS29" s="229" t="str">
        <f t="shared" ca="1" si="18"/>
        <v>N.A.</v>
      </c>
      <c r="AT29" s="229" t="str">
        <f t="shared" ca="1" si="19"/>
        <v>N.A.</v>
      </c>
      <c r="AU29" s="230" t="str">
        <f t="shared" ca="1" si="20"/>
        <v>N.A.</v>
      </c>
      <c r="AV29" s="230" t="str">
        <f t="shared" ca="1" si="21"/>
        <v>N.A.</v>
      </c>
      <c r="AW29" s="230" t="str">
        <f t="shared" ca="1" si="22"/>
        <v>N.A.</v>
      </c>
      <c r="AX29" s="230" t="str">
        <f t="shared" ca="1" si="23"/>
        <v>N.A.</v>
      </c>
      <c r="AZ29" s="47" t="s">
        <v>327</v>
      </c>
      <c r="BA29" s="112" t="str">
        <f>$C$78</f>
        <v>N.A.</v>
      </c>
      <c r="BK29" s="122" t="s">
        <v>168</v>
      </c>
      <c r="BL29" s="248">
        <f>$BA$4/2</f>
        <v>8.25</v>
      </c>
      <c r="BM29" s="249">
        <f>-$BB$4/2</f>
        <v>-5</v>
      </c>
      <c r="BN29" s="232"/>
      <c r="BO29" s="232"/>
      <c r="BP29" s="122"/>
    </row>
    <row r="30" spans="1:68" ht="15">
      <c r="A30" s="57">
        <v>10</v>
      </c>
      <c r="B30" s="19" t="s">
        <v>145</v>
      </c>
      <c r="C30" s="269" t="str">
        <f ca="1">SUBSTITUTE(VLOOKUP(RIGHT( CELL("имяфайла",$E$2), LEN( CELL("имяфайла",$E$2))-FIND("]", CELL("имяфайла",$E$2))),Summary!C:Z,$A30,FALSE),".",",")</f>
        <v>-88</v>
      </c>
      <c r="D30" s="269" t="str">
        <f ca="1">SUBSTITUTE(VLOOKUP(RIGHT( CELL("имяфайла",$E$2), LEN( CELL("имяфайла",$E$2))-FIND("]", CELL("имяфайла",$E$2))),Summary!C:Z,$A30,FALSE),".",",")</f>
        <v>-88</v>
      </c>
      <c r="E30" s="104"/>
      <c r="F30" s="108"/>
      <c r="G30" s="104"/>
      <c r="H30" s="108"/>
      <c r="I30" s="104"/>
      <c r="J30" s="104"/>
      <c r="K30" s="30"/>
      <c r="N30" s="58"/>
      <c r="O30" s="85" t="s">
        <v>249</v>
      </c>
      <c r="P30" s="33">
        <f ca="1">IF($D$22&gt;=1,$C$31*($C$29+$D$13)+$C$34,0)</f>
        <v>-86.665999999999997</v>
      </c>
      <c r="Q30" s="33">
        <f ca="1">IF($D$22&gt;=2,$D$31*($D$29+$D$13)+$D$34,0)</f>
        <v>-86.665999999999997</v>
      </c>
      <c r="R30" s="33">
        <f>IF($D$22&gt;=3,$E$31*($E$29+$D$13)+$E$34,0)</f>
        <v>0</v>
      </c>
      <c r="S30" s="33">
        <f>IF($D$22&gt;=4,$F$31*($F$29+$D$13)+$F$34,0)</f>
        <v>0</v>
      </c>
      <c r="T30" s="33">
        <f>IF($D$22&gt;=5,$G$31*($G$29+$D$13)+$G$34,0)</f>
        <v>0</v>
      </c>
      <c r="U30" s="33">
        <f>IF($D$22&gt;=6,$H$31*($H$29+$D$13)+$H$34,0)</f>
        <v>0</v>
      </c>
      <c r="V30" s="33">
        <f>IF($D$22&gt;=7,$I$31*($I$29+$D$13)+$I$34,0)</f>
        <v>0</v>
      </c>
      <c r="W30" s="33">
        <f>IF($D$22&gt;=8,$J$31*($J$29+$D$13)+$J$34,0)</f>
        <v>0</v>
      </c>
      <c r="X30" s="227">
        <v>26</v>
      </c>
      <c r="Y30" s="230" t="str">
        <f t="shared" ca="1" si="24"/>
        <v>N.A.</v>
      </c>
      <c r="Z30" s="230" t="str">
        <f t="shared" ca="1" si="25"/>
        <v>N.A.</v>
      </c>
      <c r="AA30" s="230" t="str">
        <f t="shared" ca="1" si="0"/>
        <v>N.A.</v>
      </c>
      <c r="AB30" s="230" t="str">
        <f t="shared" ca="1" si="1"/>
        <v>N.A.</v>
      </c>
      <c r="AC30" s="230" t="str">
        <f t="shared" ca="1" si="2"/>
        <v>N.A.</v>
      </c>
      <c r="AD30" s="229" t="str">
        <f t="shared" ca="1" si="3"/>
        <v>N.A.</v>
      </c>
      <c r="AE30" s="229" t="str">
        <f t="shared" ca="1" si="4"/>
        <v>N.A.</v>
      </c>
      <c r="AF30" s="229" t="str">
        <f t="shared" ca="1" si="5"/>
        <v>N.A.</v>
      </c>
      <c r="AG30" s="229" t="str">
        <f t="shared" ca="1" si="6"/>
        <v>N.A.</v>
      </c>
      <c r="AH30" s="230" t="str">
        <f t="shared" ca="1" si="7"/>
        <v>N.A.</v>
      </c>
      <c r="AI30" s="230" t="str">
        <f t="shared" ca="1" si="8"/>
        <v>N.A.</v>
      </c>
      <c r="AJ30" s="230" t="str">
        <f t="shared" ca="1" si="9"/>
        <v>N.A.</v>
      </c>
      <c r="AK30" s="230" t="str">
        <f t="shared" ca="1" si="10"/>
        <v>N.A.</v>
      </c>
      <c r="AL30" s="230" t="str">
        <f t="shared" ca="1" si="11"/>
        <v>N.A.</v>
      </c>
      <c r="AM30" s="230" t="str">
        <f t="shared" ca="1" si="12"/>
        <v>N.A.</v>
      </c>
      <c r="AN30" s="230" t="str">
        <f t="shared" ca="1" si="13"/>
        <v>N.A.</v>
      </c>
      <c r="AO30" s="230" t="str">
        <f t="shared" ca="1" si="14"/>
        <v>N.A.</v>
      </c>
      <c r="AP30" s="230" t="str">
        <f t="shared" ca="1" si="15"/>
        <v>N.A.</v>
      </c>
      <c r="AQ30" s="230" t="str">
        <f t="shared" ca="1" si="16"/>
        <v>N.A.</v>
      </c>
      <c r="AR30" s="230" t="str">
        <f t="shared" ca="1" si="17"/>
        <v>N.A.</v>
      </c>
      <c r="AS30" s="229" t="str">
        <f t="shared" ca="1" si="18"/>
        <v>N.A.</v>
      </c>
      <c r="AT30" s="229" t="str">
        <f t="shared" ca="1" si="19"/>
        <v>N.A.</v>
      </c>
      <c r="AU30" s="230" t="str">
        <f t="shared" ca="1" si="20"/>
        <v>N.A.</v>
      </c>
      <c r="AV30" s="230" t="str">
        <f t="shared" ca="1" si="21"/>
        <v>N.A.</v>
      </c>
      <c r="AW30" s="230" t="str">
        <f t="shared" ca="1" si="22"/>
        <v>N.A.</v>
      </c>
      <c r="AX30" s="230" t="str">
        <f t="shared" ca="1" si="23"/>
        <v>N.A.</v>
      </c>
      <c r="AZ30" s="262" t="s">
        <v>113</v>
      </c>
    </row>
    <row r="31" spans="1:68" ht="15">
      <c r="A31" s="57">
        <v>9</v>
      </c>
      <c r="B31" s="19" t="s">
        <v>146</v>
      </c>
      <c r="C31" s="269" t="str">
        <f ca="1">SUBSTITUTE(VLOOKUP(RIGHT( CELL("имяфайла",$E$2), LEN( CELL("имяфайла",$E$2))-FIND("]", CELL("имяфайла",$E$2))),Summary!C:Z,$A31,FALSE),".",",")</f>
        <v>-20</v>
      </c>
      <c r="D31" s="269" t="str">
        <f ca="1">SUBSTITUTE(VLOOKUP(RIGHT( CELL("имяфайла",$E$2), LEN( CELL("имяфайла",$E$2))-FIND("]", CELL("имяфайла",$E$2))),Summary!C:Z,$A31,FALSE),".",",")</f>
        <v>-20</v>
      </c>
      <c r="E31" s="104"/>
      <c r="F31" s="108"/>
      <c r="G31" s="104"/>
      <c r="H31" s="108"/>
      <c r="I31" s="104"/>
      <c r="J31" s="104"/>
      <c r="K31" s="30"/>
      <c r="L31" s="24"/>
      <c r="N31" s="58"/>
      <c r="O31" s="68" t="s">
        <v>214</v>
      </c>
      <c r="P31" s="79">
        <f ca="1">IF(AND($P$17&lt;0,$P$14&lt;0),-$P$17*($D$11/2-$P$14),IF(AND($P$17&lt;0,$P$14&gt;0),$P$17*($D$11/2+$P$14),IF(AND($P$17&lt;0,$P$14=0,$P$40&gt;0),-$P$17*$D$11/2,IF(AND($P$17&lt;0,$P$14=0,$P$40&lt;0),$P$17*$D$11/2,0))))</f>
        <v>0</v>
      </c>
      <c r="Q31" s="79">
        <f ca="1">IF(AND($Q$17&lt;0,$Q$14&lt;0),-$Q$17*($D$11/2-$Q$14),IF(AND($Q$17&lt;0,$Q$14&gt;0),$Q$17*($D$11/2+$Q$14),IF(AND($Q$17&lt;0,$Q$14=0,$P$40&gt;0),-$Q$17*$D$11/2,IF(AND($Q$17&lt;0,$Q$14=0,$P$40&lt;0),$Q$17*$D$11/2,0))))</f>
        <v>0</v>
      </c>
      <c r="R31" s="79">
        <f ca="1">IF(AND($R$17&lt;0,$R$14&lt;0),-$R$17*($D$11/2-$R$14),IF(AND($R$17&lt;0,$R$14&gt;0),$R$17*($D$11/2+$R$14),IF(AND($R$17&lt;0,$R$14=0,$P$40&gt;0),-$R$17*$D$11/2,IF(AND($R$17&lt;0,$R$14=0,$P$40&lt;0),$R$17*$D$11/2,0))))</f>
        <v>0</v>
      </c>
      <c r="S31" s="79">
        <f ca="1">IF(AND($S$17&lt;0,$S$14&lt;0),-$S$17*($D$11/2-$S$14),IF(AND($S$17&lt;0,$S$14&gt;0),$S$17*($D$11/2+$S$14),IF(AND($S$17&lt;0,$S$14=0,$P$40&gt;0),-$S$17*$D$11/2,IF(AND($S$17&lt;0,$S$14=0,$P$40&lt;0),$S$17*$D$11/2,0))))</f>
        <v>0</v>
      </c>
      <c r="T31" s="79">
        <f ca="1">IF(AND($T$17&lt;0,$T$14&lt;0),-$T$17*($D$11/2-$T$14),IF(AND($T$17&lt;0,$T$14&gt;0),$T$17*($D$11/2+$T$14),IF(AND($T$17&lt;0,$T$14=0,$P$40&gt;0),-$T$17*$D$11/2,IF(AND($T$17&lt;0,$T$14=0,$P$40&lt;0),$T$17*$D$11/2,0))))</f>
        <v>0</v>
      </c>
      <c r="U31" s="79">
        <f ca="1">IF(AND($U$17&lt;0,$U$14&lt;0),-$U$17*($D$11/2-$U$14),IF(AND($U$17&lt;0,$U$14&gt;0),$U$17*($D$11/2+$U$14),IF(AND($U$17&lt;0,$U$14=0,$P$40&gt;0),-$U$17*$D$11/2,IF(AND($U$17&lt;0,$U$14=0,$P$40&lt;0),$U$17*$D$11/2,0))))</f>
        <v>0</v>
      </c>
      <c r="V31" s="79">
        <f ca="1">IF(AND($V$17&lt;0,$V$14&lt;0),-$V$17*($D$11/2-$V$14),IF(AND($V$17&lt;0,$V$14&gt;0),$V$17*($D$11/2+$V$14),IF(AND($V$17&lt;0,$V$14=0,$P$40&gt;0),-$V$17*$D$11/2,IF(AND($V$17&lt;0,$V$14=0,$P$40&lt;0),$V$17*$D$11/2,0))))</f>
        <v>0</v>
      </c>
      <c r="W31" s="79">
        <f ca="1">IF(AND($W$17&lt;0,$W$14&lt;0),-$W$17*($D$11/2-$W$14),IF(AND($W$17&lt;0,$W$14&gt;0),$W$17*($D$11/2+$W$14),IF(AND($W$17&lt;0,$W$14=0,$P$40&gt;0),-$W$17*$D$11/2,IF(AND($W$17&lt;0,$W$14=0,$P$40&lt;0),$W$17*$D$11/2,0))))</f>
        <v>0</v>
      </c>
      <c r="X31" s="227">
        <v>27</v>
      </c>
      <c r="Y31" s="230" t="str">
        <f t="shared" ca="1" si="24"/>
        <v>N.A.</v>
      </c>
      <c r="Z31" s="230" t="str">
        <f t="shared" ca="1" si="25"/>
        <v>N.A.</v>
      </c>
      <c r="AA31" s="230" t="str">
        <f t="shared" ca="1" si="0"/>
        <v>N.A.</v>
      </c>
      <c r="AB31" s="230" t="str">
        <f t="shared" ca="1" si="1"/>
        <v>N.A.</v>
      </c>
      <c r="AC31" s="230" t="str">
        <f t="shared" ca="1" si="2"/>
        <v>N.A.</v>
      </c>
      <c r="AD31" s="229" t="str">
        <f t="shared" ca="1" si="3"/>
        <v>N.A.</v>
      </c>
      <c r="AE31" s="229" t="str">
        <f t="shared" ca="1" si="4"/>
        <v>N.A.</v>
      </c>
      <c r="AF31" s="229" t="str">
        <f t="shared" ca="1" si="5"/>
        <v>N.A.</v>
      </c>
      <c r="AG31" s="229" t="str">
        <f t="shared" ca="1" si="6"/>
        <v>N.A.</v>
      </c>
      <c r="AH31" s="230" t="str">
        <f t="shared" ca="1" si="7"/>
        <v>N.A.</v>
      </c>
      <c r="AI31" s="230" t="str">
        <f t="shared" ca="1" si="8"/>
        <v>N.A.</v>
      </c>
      <c r="AJ31" s="230" t="str">
        <f t="shared" ca="1" si="9"/>
        <v>N.A.</v>
      </c>
      <c r="AK31" s="230" t="str">
        <f t="shared" ca="1" si="10"/>
        <v>N.A.</v>
      </c>
      <c r="AL31" s="230" t="str">
        <f t="shared" ca="1" si="11"/>
        <v>N.A.</v>
      </c>
      <c r="AM31" s="230" t="str">
        <f t="shared" ca="1" si="12"/>
        <v>N.A.</v>
      </c>
      <c r="AN31" s="230" t="str">
        <f t="shared" ca="1" si="13"/>
        <v>N.A.</v>
      </c>
      <c r="AO31" s="230" t="str">
        <f t="shared" ca="1" si="14"/>
        <v>N.A.</v>
      </c>
      <c r="AP31" s="230" t="str">
        <f t="shared" ca="1" si="15"/>
        <v>N.A.</v>
      </c>
      <c r="AQ31" s="230" t="str">
        <f t="shared" ca="1" si="16"/>
        <v>N.A.</v>
      </c>
      <c r="AR31" s="230" t="str">
        <f t="shared" ca="1" si="17"/>
        <v>N.A.</v>
      </c>
      <c r="AS31" s="229" t="str">
        <f t="shared" ca="1" si="18"/>
        <v>N.A.</v>
      </c>
      <c r="AT31" s="229" t="str">
        <f t="shared" ca="1" si="19"/>
        <v>N.A.</v>
      </c>
      <c r="AU31" s="230" t="str">
        <f t="shared" ca="1" si="20"/>
        <v>N.A.</v>
      </c>
      <c r="AV31" s="230" t="str">
        <f t="shared" ca="1" si="21"/>
        <v>N.A.</v>
      </c>
      <c r="AW31" s="230" t="str">
        <f t="shared" ca="1" si="22"/>
        <v>N.A.</v>
      </c>
      <c r="AX31" s="230" t="str">
        <f t="shared" ca="1" si="23"/>
        <v>N.A.</v>
      </c>
      <c r="AZ31" s="139" t="s">
        <v>114</v>
      </c>
      <c r="BA31" s="263" t="str">
        <f ca="1">$C$83</f>
        <v>N.A.</v>
      </c>
    </row>
    <row r="32" spans="1:68">
      <c r="B32" s="19" t="s">
        <v>147</v>
      </c>
      <c r="C32" s="103">
        <v>0</v>
      </c>
      <c r="D32" s="104">
        <v>0</v>
      </c>
      <c r="E32" s="104"/>
      <c r="F32" s="108"/>
      <c r="G32" s="104"/>
      <c r="H32" s="108"/>
      <c r="I32" s="104"/>
      <c r="J32" s="104"/>
      <c r="K32" s="30"/>
      <c r="N32" s="58"/>
      <c r="O32" s="81" t="s">
        <v>111</v>
      </c>
      <c r="P32" s="79">
        <f ca="1">ROUND(SUM($P$30:$W$30)+SUM($P$31:$W$31),6)</f>
        <v>-173.33199999999999</v>
      </c>
      <c r="Q32" s="82" t="s">
        <v>107</v>
      </c>
      <c r="R32" s="135"/>
      <c r="S32" s="136"/>
      <c r="T32" s="136"/>
      <c r="U32" s="136"/>
      <c r="V32" s="136"/>
      <c r="W32" s="83"/>
      <c r="X32" s="227">
        <v>28</v>
      </c>
      <c r="Y32" s="230" t="str">
        <f t="shared" ca="1" si="24"/>
        <v>N.A.</v>
      </c>
      <c r="Z32" s="230" t="str">
        <f t="shared" ca="1" si="25"/>
        <v>N.A.</v>
      </c>
      <c r="AA32" s="230" t="str">
        <f t="shared" ca="1" si="0"/>
        <v>N.A.</v>
      </c>
      <c r="AB32" s="230" t="str">
        <f t="shared" ca="1" si="1"/>
        <v>N.A.</v>
      </c>
      <c r="AC32" s="230" t="str">
        <f t="shared" ca="1" si="2"/>
        <v>N.A.</v>
      </c>
      <c r="AD32" s="229" t="str">
        <f t="shared" ca="1" si="3"/>
        <v>N.A.</v>
      </c>
      <c r="AE32" s="229" t="str">
        <f t="shared" ca="1" si="4"/>
        <v>N.A.</v>
      </c>
      <c r="AF32" s="229" t="str">
        <f t="shared" ca="1" si="5"/>
        <v>N.A.</v>
      </c>
      <c r="AG32" s="229" t="str">
        <f t="shared" ca="1" si="6"/>
        <v>N.A.</v>
      </c>
      <c r="AH32" s="230" t="str">
        <f t="shared" ca="1" si="7"/>
        <v>N.A.</v>
      </c>
      <c r="AI32" s="230" t="str">
        <f t="shared" ca="1" si="8"/>
        <v>N.A.</v>
      </c>
      <c r="AJ32" s="230" t="str">
        <f t="shared" ca="1" si="9"/>
        <v>N.A.</v>
      </c>
      <c r="AK32" s="230" t="str">
        <f t="shared" ca="1" si="10"/>
        <v>N.A.</v>
      </c>
      <c r="AL32" s="230" t="str">
        <f t="shared" ca="1" si="11"/>
        <v>N.A.</v>
      </c>
      <c r="AM32" s="230" t="str">
        <f t="shared" ca="1" si="12"/>
        <v>N.A.</v>
      </c>
      <c r="AN32" s="230" t="str">
        <f t="shared" ca="1" si="13"/>
        <v>N.A.</v>
      </c>
      <c r="AO32" s="230" t="str">
        <f t="shared" ca="1" si="14"/>
        <v>N.A.</v>
      </c>
      <c r="AP32" s="230" t="str">
        <f t="shared" ca="1" si="15"/>
        <v>N.A.</v>
      </c>
      <c r="AQ32" s="230" t="str">
        <f t="shared" ca="1" si="16"/>
        <v>N.A.</v>
      </c>
      <c r="AR32" s="230" t="str">
        <f t="shared" ca="1" si="17"/>
        <v>N.A.</v>
      </c>
      <c r="AS32" s="229" t="str">
        <f t="shared" ca="1" si="18"/>
        <v>N.A.</v>
      </c>
      <c r="AT32" s="229" t="str">
        <f t="shared" ca="1" si="19"/>
        <v>N.A.</v>
      </c>
      <c r="AU32" s="230" t="str">
        <f t="shared" ca="1" si="20"/>
        <v>N.A.</v>
      </c>
      <c r="AV32" s="230" t="str">
        <f t="shared" ca="1" si="21"/>
        <v>N.A.</v>
      </c>
      <c r="AW32" s="230" t="str">
        <f t="shared" ca="1" si="22"/>
        <v>N.A.</v>
      </c>
      <c r="AX32" s="230" t="str">
        <f t="shared" ca="1" si="23"/>
        <v>N.A.</v>
      </c>
      <c r="AZ32" s="267" t="s">
        <v>365</v>
      </c>
      <c r="BE32" s="126"/>
    </row>
    <row r="33" spans="2:54">
      <c r="B33" s="19" t="s">
        <v>148</v>
      </c>
      <c r="C33" s="103">
        <v>0</v>
      </c>
      <c r="D33" s="104">
        <v>0</v>
      </c>
      <c r="E33" s="104"/>
      <c r="F33" s="108"/>
      <c r="G33" s="104"/>
      <c r="H33" s="108"/>
      <c r="I33" s="104"/>
      <c r="J33" s="104"/>
      <c r="K33" s="30"/>
      <c r="M33" s="83"/>
      <c r="N33" s="58"/>
      <c r="O33" s="68" t="s">
        <v>120</v>
      </c>
      <c r="P33" s="79">
        <f ca="1">IF(AND($P$17&gt;0,$P$44&gt;0),$P$17*($D$12/2+$P$15),IF(AND($P$17&gt;0,$P$44&lt;0),$P$17*($D$12/2-$P$15),0))</f>
        <v>0</v>
      </c>
      <c r="Q33" s="79">
        <f ca="1">IF(AND($Q$17&gt;0,$P$44&gt;0),$Q$17*($D$12/2+$Q$15),IF(AND($Q$17&gt;0,$P$44&lt;0),$Q$17*($D$12/2-$Q$15),0))</f>
        <v>0</v>
      </c>
      <c r="R33" s="79">
        <f ca="1">IF(AND($R$17&gt;0,$P$44&gt;0),$R$17*($D$12/2+$R$15),IF(AND($R$17&gt;0,$P$44&lt;0),$R$17*($D$12/2-$R$15),0))</f>
        <v>0</v>
      </c>
      <c r="S33" s="79">
        <f ca="1">IF(AND($S$17&gt;0,$P$44&gt;0),$S$17*($D$12/2+$S$15),IF(AND($S$17&gt;0,$P$44&lt;0),$S$17*($D$12/2-$S$15),0))</f>
        <v>0</v>
      </c>
      <c r="T33" s="79">
        <f ca="1">IF(AND($T$17&gt;0,$P$44&gt;0),$T$17*($D$12/2+$T$15),IF(AND($T$17&gt;0,$P$44&lt;0),$T$17*($D$12/2-$T$15),0))</f>
        <v>0</v>
      </c>
      <c r="U33" s="79">
        <f ca="1">IF(AND($U$17&gt;0,$P$44&gt;0),$U$17*($D$12/2+$U$15),IF(AND($U$17&gt;0,$P$44&lt;0),$U$17*($D$12/2-$U$15),0))</f>
        <v>0</v>
      </c>
      <c r="V33" s="79">
        <f ca="1">IF(AND($V$17&gt;0,$P$44&gt;0),$V$17*($D$12/2+$V$15),IF(AND($V$17&gt;0,$P$44&lt;0),$V$17*($D$12/2-$V$15),0))</f>
        <v>0</v>
      </c>
      <c r="W33" s="79">
        <f ca="1">IF(AND($W$17&gt;0,$P$44&gt;0),$W$17*($D$12/2+$W$15),IF(AND($W$17&gt;0,$P$44&lt;0),$W$17*($D$12/2-$W$15),0))</f>
        <v>0</v>
      </c>
      <c r="X33" s="227">
        <v>29</v>
      </c>
      <c r="Y33" s="230" t="str">
        <f t="shared" ca="1" si="24"/>
        <v>N.A.</v>
      </c>
      <c r="Z33" s="230" t="str">
        <f t="shared" ca="1" si="25"/>
        <v>N.A.</v>
      </c>
      <c r="AA33" s="230" t="str">
        <f t="shared" ca="1" si="0"/>
        <v>N.A.</v>
      </c>
      <c r="AB33" s="230" t="str">
        <f t="shared" ca="1" si="1"/>
        <v>N.A.</v>
      </c>
      <c r="AC33" s="230" t="str">
        <f t="shared" ca="1" si="2"/>
        <v>N.A.</v>
      </c>
      <c r="AD33" s="229" t="str">
        <f t="shared" ca="1" si="3"/>
        <v>N.A.</v>
      </c>
      <c r="AE33" s="229" t="str">
        <f t="shared" ca="1" si="4"/>
        <v>N.A.</v>
      </c>
      <c r="AF33" s="229" t="str">
        <f t="shared" ca="1" si="5"/>
        <v>N.A.</v>
      </c>
      <c r="AG33" s="229" t="str">
        <f t="shared" ca="1" si="6"/>
        <v>N.A.</v>
      </c>
      <c r="AH33" s="230" t="str">
        <f t="shared" ca="1" si="7"/>
        <v>N.A.</v>
      </c>
      <c r="AI33" s="230" t="str">
        <f t="shared" ca="1" si="8"/>
        <v>N.A.</v>
      </c>
      <c r="AJ33" s="230" t="str">
        <f t="shared" ca="1" si="9"/>
        <v>N.A.</v>
      </c>
      <c r="AK33" s="230" t="str">
        <f t="shared" ca="1" si="10"/>
        <v>N.A.</v>
      </c>
      <c r="AL33" s="230" t="str">
        <f t="shared" ca="1" si="11"/>
        <v>N.A.</v>
      </c>
      <c r="AM33" s="230" t="str">
        <f t="shared" ca="1" si="12"/>
        <v>N.A.</v>
      </c>
      <c r="AN33" s="230" t="str">
        <f t="shared" ca="1" si="13"/>
        <v>N.A.</v>
      </c>
      <c r="AO33" s="230" t="str">
        <f t="shared" ca="1" si="14"/>
        <v>N.A.</v>
      </c>
      <c r="AP33" s="230" t="str">
        <f t="shared" ca="1" si="15"/>
        <v>N.A.</v>
      </c>
      <c r="AQ33" s="230" t="str">
        <f t="shared" ca="1" si="16"/>
        <v>N.A.</v>
      </c>
      <c r="AR33" s="230" t="str">
        <f t="shared" ca="1" si="17"/>
        <v>N.A.</v>
      </c>
      <c r="AS33" s="229" t="str">
        <f t="shared" ca="1" si="18"/>
        <v>N.A.</v>
      </c>
      <c r="AT33" s="229" t="str">
        <f t="shared" ca="1" si="19"/>
        <v>N.A.</v>
      </c>
      <c r="AU33" s="230" t="str">
        <f t="shared" ca="1" si="20"/>
        <v>N.A.</v>
      </c>
      <c r="AV33" s="230" t="str">
        <f t="shared" ca="1" si="21"/>
        <v>N.A.</v>
      </c>
      <c r="AW33" s="230" t="str">
        <f t="shared" ca="1" si="22"/>
        <v>N.A.</v>
      </c>
      <c r="AX33" s="230" t="str">
        <f t="shared" ca="1" si="23"/>
        <v>N.A.</v>
      </c>
      <c r="AZ33" s="19" t="s">
        <v>178</v>
      </c>
      <c r="BA33" s="264">
        <f ca="1">$C$90</f>
        <v>100</v>
      </c>
      <c r="BB33" s="253" t="s">
        <v>152</v>
      </c>
    </row>
    <row r="34" spans="2:54">
      <c r="B34" s="19" t="s">
        <v>149</v>
      </c>
      <c r="C34" s="103">
        <v>0</v>
      </c>
      <c r="D34" s="105">
        <v>0</v>
      </c>
      <c r="E34" s="105"/>
      <c r="F34" s="109"/>
      <c r="G34" s="105"/>
      <c r="H34" s="109"/>
      <c r="I34" s="105"/>
      <c r="J34" s="105"/>
      <c r="K34" s="30"/>
      <c r="N34" s="58"/>
      <c r="O34" s="81" t="s">
        <v>116</v>
      </c>
      <c r="P34" s="79">
        <f ca="1">ROUND(SUM($P$33:$W$33)+($D$11*$D$12*$D$13*$D$14+$D$11*$D$12*$D$15*$D$16)*$D$12/2,6)</f>
        <v>157.98240000000001</v>
      </c>
      <c r="Q34" s="82" t="s">
        <v>107</v>
      </c>
      <c r="R34" s="136"/>
      <c r="S34" s="136"/>
      <c r="T34" s="136"/>
      <c r="U34" s="136"/>
      <c r="V34" s="136"/>
      <c r="W34" s="83"/>
      <c r="X34" s="227">
        <v>30</v>
      </c>
      <c r="Y34" s="230" t="str">
        <f t="shared" ca="1" si="24"/>
        <v>N.A.</v>
      </c>
      <c r="Z34" s="230" t="str">
        <f t="shared" ca="1" si="25"/>
        <v>N.A.</v>
      </c>
      <c r="AA34" s="230" t="str">
        <f t="shared" ca="1" si="0"/>
        <v>N.A.</v>
      </c>
      <c r="AB34" s="230" t="str">
        <f t="shared" ca="1" si="1"/>
        <v>N.A.</v>
      </c>
      <c r="AC34" s="230" t="str">
        <f t="shared" ca="1" si="2"/>
        <v>N.A.</v>
      </c>
      <c r="AD34" s="229" t="str">
        <f t="shared" ca="1" si="3"/>
        <v>N.A.</v>
      </c>
      <c r="AE34" s="229" t="str">
        <f t="shared" ca="1" si="4"/>
        <v>N.A.</v>
      </c>
      <c r="AF34" s="229" t="str">
        <f t="shared" ca="1" si="5"/>
        <v>N.A.</v>
      </c>
      <c r="AG34" s="229" t="str">
        <f t="shared" ca="1" si="6"/>
        <v>N.A.</v>
      </c>
      <c r="AH34" s="230" t="str">
        <f t="shared" ca="1" si="7"/>
        <v>N.A.</v>
      </c>
      <c r="AI34" s="230" t="str">
        <f t="shared" ca="1" si="8"/>
        <v>N.A.</v>
      </c>
      <c r="AJ34" s="230" t="str">
        <f t="shared" ca="1" si="9"/>
        <v>N.A.</v>
      </c>
      <c r="AK34" s="230" t="str">
        <f t="shared" ca="1" si="10"/>
        <v>N.A.</v>
      </c>
      <c r="AL34" s="230" t="str">
        <f t="shared" ca="1" si="11"/>
        <v>N.A.</v>
      </c>
      <c r="AM34" s="230" t="str">
        <f t="shared" ca="1" si="12"/>
        <v>N.A.</v>
      </c>
      <c r="AN34" s="230" t="str">
        <f t="shared" ca="1" si="13"/>
        <v>N.A.</v>
      </c>
      <c r="AO34" s="230" t="str">
        <f t="shared" ca="1" si="14"/>
        <v>N.A.</v>
      </c>
      <c r="AP34" s="230" t="str">
        <f t="shared" ca="1" si="15"/>
        <v>N.A.</v>
      </c>
      <c r="AQ34" s="230" t="str">
        <f t="shared" ca="1" si="16"/>
        <v>N.A.</v>
      </c>
      <c r="AR34" s="230" t="str">
        <f t="shared" ca="1" si="17"/>
        <v>N.A.</v>
      </c>
      <c r="AS34" s="229" t="str">
        <f t="shared" ca="1" si="18"/>
        <v>N.A.</v>
      </c>
      <c r="AT34" s="229" t="str">
        <f t="shared" ca="1" si="19"/>
        <v>N.A.</v>
      </c>
      <c r="AU34" s="230" t="str">
        <f t="shared" ca="1" si="20"/>
        <v>N.A.</v>
      </c>
      <c r="AV34" s="230" t="str">
        <f t="shared" ca="1" si="21"/>
        <v>N.A.</v>
      </c>
      <c r="AW34" s="230" t="str">
        <f t="shared" ca="1" si="22"/>
        <v>N.A.</v>
      </c>
      <c r="AX34" s="230" t="str">
        <f t="shared" ca="1" si="23"/>
        <v>N.A.</v>
      </c>
      <c r="AZ34" s="42" t="s">
        <v>364</v>
      </c>
    </row>
    <row r="35" spans="2:54">
      <c r="B35" s="23"/>
      <c r="C35" s="24"/>
      <c r="D35" s="24"/>
      <c r="E35" s="24"/>
      <c r="F35" s="24"/>
      <c r="G35" s="24"/>
      <c r="H35" s="24"/>
      <c r="I35" s="24"/>
      <c r="J35" s="24"/>
      <c r="K35" s="30"/>
      <c r="N35" s="58"/>
      <c r="O35" s="68" t="s">
        <v>121</v>
      </c>
      <c r="P35" s="79">
        <f ca="1">IF(AND($P$17&gt;0,$P$47&gt;0),$P$17*($D$11/2-$P$14),IF(AND($P$17&gt;0,$P$47&lt;0),$P$17*($D$11/2+$P$14),0))</f>
        <v>310.63267812499998</v>
      </c>
      <c r="Q35" s="79">
        <f ca="1">IF(AND($Q$17&gt;0,$P$47&gt;0),$Q$17*($D$11/2-$Q$14),IF(AND($Q$17&gt;0,$P$47&lt;0),$Q$17*($D$11/2+$Q$14),0))</f>
        <v>576.88925937500005</v>
      </c>
      <c r="R35" s="79">
        <f ca="1">IF(AND($R$17&gt;0,$P$47&gt;0),$R$17*($D$11/2-$R$14),IF(AND($R$17&gt;0,$P$47&lt;0),$R$17*($D$11/2+$R$14),0))</f>
        <v>0</v>
      </c>
      <c r="S35" s="79">
        <f ca="1">IF(AND($S$17&gt;0,$P$47&gt;0),$S$17*($D$11/2-$S$14),IF(AND($S$17&gt;0,$P$47&lt;0),$S$17*($D$11/2+$S$14),0))</f>
        <v>0</v>
      </c>
      <c r="T35" s="79">
        <f ca="1">IF(AND($T$17&gt;0,$P$47&gt;0),$T$17*($D$11/2-$T$14),IF(AND($T$17&gt;0,$P$47&lt;0),$T$17*($D$11/2+$T$14),0))</f>
        <v>0</v>
      </c>
      <c r="U35" s="79">
        <f ca="1">IF(AND($U$17&gt;0,$P$47&gt;0),$U$17*($D$11/2-$U$14),IF(AND($U$17&gt;0,$P$47&lt;0),$U$17*($D$11/2+$U$14),0))</f>
        <v>0</v>
      </c>
      <c r="V35" s="79">
        <f ca="1">IF(AND($V$17&gt;0,$P$47&gt;0),$V$17*($D$11/2-$V$14),IF(AND($V$17&gt;0,$P$47&lt;0),$V$17*($D$11/2+$V$14),0))</f>
        <v>0</v>
      </c>
      <c r="W35" s="79">
        <f ca="1">IF(AND($W$17&gt;0,$P$47&gt;0),$W$17*($D$11/2-$W$14),IF(AND($W$17&gt;0,$P$47&lt;0),$W$17*($D$11/2+$W$14),0))</f>
        <v>0</v>
      </c>
      <c r="Y35" s="60"/>
      <c r="Z35" s="60"/>
      <c r="AA35" s="40"/>
      <c r="AB35" s="40"/>
      <c r="AC35" s="40"/>
      <c r="AD35" s="41"/>
      <c r="AE35" s="41"/>
      <c r="AF35" s="41"/>
      <c r="AG35" s="41"/>
      <c r="AH35" s="40"/>
      <c r="AI35" s="40"/>
      <c r="AJ35" s="40"/>
      <c r="AK35" s="40"/>
      <c r="AL35" s="40"/>
      <c r="AM35" s="40"/>
      <c r="AN35" s="40"/>
      <c r="AO35" s="40"/>
      <c r="AP35" s="40"/>
      <c r="AQ35" s="231" t="s">
        <v>155</v>
      </c>
      <c r="AR35" s="231" t="s">
        <v>156</v>
      </c>
      <c r="AS35" s="232" t="s">
        <v>158</v>
      </c>
      <c r="AT35" s="232" t="s">
        <v>159</v>
      </c>
      <c r="AU35" s="233" t="e">
        <f ca="1">IF(LOOKUP(MIN($AS$36,$AT$36),$X$5:$X$34,$AU$5:$AU$34)&lt;0,0,LOOKUP($AS$36,$X$5:$X$34,$AU$5:$AU$34))</f>
        <v>#N/A</v>
      </c>
      <c r="AV35" s="233" t="e">
        <f ca="1">IF(LOOKUP(MIN($AS$36,$AT$36),$X$5:$X$34,$AV$5:$AV$34)&lt;0,0,LOOKUP($AS$36,$X$5:$X$34,$AV$5:$AV$34))</f>
        <v>#N/A</v>
      </c>
      <c r="AW35" s="233" t="e">
        <f ca="1">IF(LOOKUP(MIN($AS$36,$AT$36),$X$5:$X$34,$AW$5:$AW$34)&lt;0,0,LOOKUP($AS$36,$X$5:$X$34,$AW$5:$AW$34))</f>
        <v>#N/A</v>
      </c>
      <c r="AX35" s="233" t="e">
        <f ca="1">IF(LOOKUP(MIN($AS$36,$AT$36),$X$5:$X$34,$AX$5:$AX$34)&lt;0,0,LOOKUP($AS$36,$X$5:$X$34,$AX$5:$AX$34))</f>
        <v>#N/A</v>
      </c>
      <c r="AZ35" s="259" t="s">
        <v>237</v>
      </c>
      <c r="BA35" s="263">
        <f ca="1">$C$108</f>
        <v>3.6715117806999999</v>
      </c>
      <c r="BB35" s="253" t="s">
        <v>42</v>
      </c>
    </row>
    <row r="36" spans="2:54">
      <c r="B36" s="23"/>
      <c r="C36" s="24"/>
      <c r="D36" s="24"/>
      <c r="E36" s="24"/>
      <c r="F36" s="24"/>
      <c r="G36" s="24"/>
      <c r="H36" s="24"/>
      <c r="I36" s="24"/>
      <c r="J36" s="29"/>
      <c r="K36" s="30"/>
      <c r="N36" s="58"/>
      <c r="O36" s="81" t="s">
        <v>118</v>
      </c>
      <c r="P36" s="79">
        <f ca="1">ROUND(SUM($P$35:$W$35)+($D$11*$D$12*$D$13*$D$14+$D$11*$D$12*$D$15*$D$16)*$D$11/2,6)</f>
        <v>1084.9999379999999</v>
      </c>
      <c r="Q36" s="82" t="s">
        <v>107</v>
      </c>
      <c r="R36" s="136"/>
      <c r="S36" s="136"/>
      <c r="T36" s="136"/>
      <c r="U36" s="136"/>
      <c r="V36" s="77"/>
      <c r="W36" s="77"/>
      <c r="Y36" s="60"/>
      <c r="Z36" s="60"/>
      <c r="AA36" s="40"/>
      <c r="AB36" s="40"/>
      <c r="AC36" s="40"/>
      <c r="AD36" s="41"/>
      <c r="AE36" s="41"/>
      <c r="AF36" s="41"/>
      <c r="AG36" s="41"/>
      <c r="AH36" s="40"/>
      <c r="AI36" s="40"/>
      <c r="AJ36" s="40"/>
      <c r="AK36" s="40"/>
      <c r="AL36" s="40"/>
      <c r="AM36" s="40"/>
      <c r="AN36" s="40"/>
      <c r="AO36" s="40"/>
      <c r="AP36" s="40"/>
      <c r="AQ36" s="231" t="str">
        <f ca="1">IF(OR($P$91&lt;=1,$P$91="N.A."),"N.A.",IF(LOOKUP(MIN($AS$36,$AT$36),$X$5:$X$34,$AQ$5:$AQ$34)&lt;0,0,LOOKUP($AS$36,$X$5:$X$34,$AQ$5:$AQ$34)))</f>
        <v>N.A.</v>
      </c>
      <c r="AR36" s="231" t="str">
        <f ca="1">IF(OR($P$91&lt;=1,$P$91="N.A."),"N.A.",IF(LOOKUP(MIN($AS$36,$AT$36),$X$5:$X$34,$AR$5:$AR$34)&lt;0,0,LOOKUP($AS$36,$X$5:$X$34,$AR$5:$AR$34)))</f>
        <v>N.A.</v>
      </c>
      <c r="AS36" s="234" t="str">
        <f ca="1">IF(OR($P$91&lt;=1,$P$91="N.A."),"N.A.",MATCH(0,$AS$5:$AS$34,0))</f>
        <v>N.A.</v>
      </c>
      <c r="AT36" s="234" t="str">
        <f ca="1">IF(OR($P$91&lt;=1,$P$91="N.A."),"N.A.",MATCH(0,$AT$5:$AT$34,0))</f>
        <v>N.A.</v>
      </c>
      <c r="AU36" s="233" t="str">
        <f ca="1">IF(OR($P$91&lt;=1,$P$91="N.A."),"N.A.",IF(AND($P$40&gt;0,$P$41&gt;0),$AV$35,IF(AND($P$40&lt;0,$P$41&gt;0),$AW$35,IF(AND($P$40&lt;0,$P$41&lt;0),$AX$35,IF(AND($P$40&gt;0,$P$41&lt;0),$AU$35)))))</f>
        <v>N.A.</v>
      </c>
      <c r="AV36" s="233" t="str">
        <f ca="1">IF(OR($P$91&lt;=1,$P$91="N.A."),"N.A.",IF(AND($P$40&gt;0,$P$41&gt;0),$AU$35,IF(AND($P$40&lt;0,$P$41&gt;0),$AX$35,IF(AND($P$40&lt;0,$P$41&lt;0),$AW$35,IF(AND($P$40&gt;0,$P$41&lt;0),$AV$35)))))</f>
        <v>N.A.</v>
      </c>
      <c r="AW36" s="233" t="str">
        <f ca="1">IF(OR($P$91&lt;=1,$P$91="N.A."),"N.A.",IF(AND($P$40&gt;0,$P$41&gt;0),$AX$35,IF(AND($P$40&lt;0,$P$41&gt;0),$AU$35,IF(AND($P$40&lt;0,$P$41&lt;0),$AV$35,IF(AND($P$40&gt;0,$P$41&lt;0),$AW$35)))))</f>
        <v>N.A.</v>
      </c>
      <c r="AX36" s="233" t="str">
        <f ca="1">IF(OR($P$91&lt;=1,$P$91="N.A."),"N.A.",IF(AND($P$40&gt;0,$P$41&gt;0),$AW$35,IF(AND($P$40&lt;0,$P$41&gt;0),$AV$35,IF(AND($P$40&lt;0,$P$41&lt;0),$AU$35,IF(AND($P$40&gt;0,$P$41&lt;0),$AX$35)))))</f>
        <v>N.A.</v>
      </c>
    </row>
    <row r="37" spans="2:54">
      <c r="B37" s="23"/>
      <c r="C37" s="20"/>
      <c r="D37" s="20"/>
      <c r="E37" s="20"/>
      <c r="F37" s="22"/>
      <c r="G37" s="29"/>
      <c r="H37" s="53"/>
      <c r="I37" s="24"/>
      <c r="J37" s="29"/>
      <c r="K37" s="30"/>
      <c r="N37" s="58"/>
      <c r="O37" s="72" t="s">
        <v>105</v>
      </c>
      <c r="V37" s="73"/>
      <c r="W37" s="73"/>
      <c r="Y37" s="60"/>
      <c r="Z37" s="60"/>
      <c r="AA37" s="40"/>
      <c r="AB37" s="40"/>
      <c r="AC37" s="40"/>
      <c r="AD37" s="41"/>
      <c r="AE37" s="41"/>
      <c r="AF37" s="41"/>
      <c r="AG37" s="41"/>
      <c r="AH37" s="40"/>
      <c r="AI37" s="40"/>
      <c r="AJ37" s="40"/>
      <c r="AK37" s="40"/>
      <c r="AL37" s="40"/>
      <c r="AM37" s="40"/>
      <c r="AN37" s="40"/>
      <c r="AO37" s="40"/>
      <c r="AP37" s="40"/>
      <c r="AQ37" s="40"/>
      <c r="AR37" s="40"/>
      <c r="AS37" s="41"/>
      <c r="AT37" s="41"/>
      <c r="AU37" s="60"/>
      <c r="AV37" s="60"/>
      <c r="AW37" s="60"/>
      <c r="AX37" s="60"/>
    </row>
    <row r="38" spans="2:54">
      <c r="B38" s="23"/>
      <c r="C38" s="24"/>
      <c r="D38" s="24"/>
      <c r="E38" s="25"/>
      <c r="F38" s="24"/>
      <c r="G38" s="24"/>
      <c r="H38" s="24" t="s">
        <v>26</v>
      </c>
      <c r="I38" s="24"/>
      <c r="J38" s="29"/>
      <c r="K38" s="30"/>
      <c r="N38" s="58"/>
      <c r="O38" s="81" t="s">
        <v>103</v>
      </c>
      <c r="P38" s="79">
        <f ca="1">$P$11+$P$18</f>
        <v>224.999988</v>
      </c>
      <c r="Q38" s="62" t="s">
        <v>66</v>
      </c>
      <c r="R38" s="86" t="s">
        <v>106</v>
      </c>
      <c r="S38" s="40"/>
      <c r="V38" s="73"/>
      <c r="W38" s="73"/>
      <c r="Y38" s="60"/>
      <c r="Z38" s="60"/>
      <c r="AA38" s="40"/>
      <c r="AB38" s="40"/>
      <c r="AC38" s="40"/>
      <c r="AD38" s="41"/>
      <c r="AE38" s="41"/>
      <c r="AF38" s="41"/>
      <c r="AG38" s="41"/>
      <c r="AH38" s="40"/>
      <c r="AI38" s="40"/>
      <c r="AJ38" s="40"/>
      <c r="AK38" s="40"/>
      <c r="AL38" s="40"/>
      <c r="AM38" s="40"/>
      <c r="AN38" s="40"/>
      <c r="AO38" s="40"/>
      <c r="AP38" s="40"/>
      <c r="AQ38" s="40"/>
      <c r="AR38" s="40"/>
      <c r="AS38" s="41"/>
      <c r="AT38" s="41"/>
      <c r="AU38" s="60"/>
      <c r="AV38" s="60"/>
      <c r="AW38" s="60"/>
      <c r="AX38" s="60"/>
    </row>
    <row r="39" spans="2:54">
      <c r="B39" s="23"/>
      <c r="C39" s="24"/>
      <c r="D39" s="27"/>
      <c r="E39" s="25"/>
      <c r="F39" s="28"/>
      <c r="G39" s="27"/>
      <c r="H39" s="25"/>
      <c r="I39" s="24"/>
      <c r="J39" s="24"/>
      <c r="K39" s="30"/>
      <c r="N39" s="58"/>
      <c r="O39" s="72" t="s">
        <v>122</v>
      </c>
      <c r="U39" s="40"/>
      <c r="V39" s="73"/>
      <c r="W39" s="73"/>
      <c r="Y39" s="60"/>
      <c r="Z39" s="60"/>
      <c r="AA39" s="40"/>
      <c r="AB39" s="40"/>
      <c r="AC39" s="40"/>
      <c r="AD39" s="41"/>
      <c r="AE39" s="41"/>
      <c r="AF39" s="41"/>
      <c r="AG39" s="41"/>
      <c r="AH39" s="40"/>
      <c r="AI39" s="40"/>
      <c r="AJ39" s="40"/>
      <c r="AK39" s="40"/>
      <c r="AL39" s="40"/>
      <c r="AM39" s="40"/>
      <c r="AN39" s="40"/>
      <c r="AO39" s="40"/>
      <c r="AP39" s="40"/>
      <c r="AQ39" s="40"/>
      <c r="AR39" s="40"/>
      <c r="AS39" s="41"/>
      <c r="AT39" s="41"/>
      <c r="AU39" s="60"/>
      <c r="AV39" s="60"/>
      <c r="AW39" s="60"/>
      <c r="AX39" s="60"/>
    </row>
    <row r="40" spans="2:54">
      <c r="B40" s="23"/>
      <c r="C40" s="24"/>
      <c r="D40" s="29"/>
      <c r="E40" s="29"/>
      <c r="F40" s="24"/>
      <c r="G40" s="29"/>
      <c r="H40" s="29"/>
      <c r="I40" s="24"/>
      <c r="J40" s="24"/>
      <c r="K40" s="30"/>
      <c r="N40" s="58"/>
      <c r="O40" s="68" t="s">
        <v>64</v>
      </c>
      <c r="P40" s="79">
        <f ca="1">ROUND(($P$29+SUM($P$30:$W$30))/$P$38,2)</f>
        <v>-0.77</v>
      </c>
      <c r="Q40" s="62" t="s">
        <v>41</v>
      </c>
      <c r="R40" s="71"/>
      <c r="U40" s="40"/>
      <c r="V40" s="73"/>
      <c r="W40" s="73"/>
      <c r="Y40" s="60"/>
      <c r="Z40" s="60"/>
      <c r="AA40" s="40"/>
      <c r="AB40" s="40"/>
      <c r="AC40" s="40"/>
      <c r="AD40" s="41"/>
      <c r="AE40" s="41"/>
      <c r="AF40" s="41"/>
      <c r="AG40" s="41"/>
      <c r="AH40" s="40"/>
      <c r="AI40" s="40"/>
      <c r="AJ40" s="40"/>
      <c r="AK40" s="40"/>
      <c r="AL40" s="40"/>
      <c r="AM40" s="40"/>
      <c r="AN40" s="40"/>
      <c r="AO40" s="40"/>
      <c r="AP40" s="40"/>
      <c r="AQ40" s="40"/>
      <c r="AR40" s="40"/>
      <c r="AS40" s="41"/>
      <c r="AT40" s="41"/>
      <c r="AU40" s="60"/>
      <c r="AV40" s="60"/>
      <c r="AW40" s="60"/>
      <c r="AX40" s="60"/>
    </row>
    <row r="41" spans="2:54">
      <c r="B41" s="23"/>
      <c r="C41" s="24"/>
      <c r="D41" s="61"/>
      <c r="E41" s="61"/>
      <c r="F41" s="35"/>
      <c r="G41" s="61"/>
      <c r="H41" s="61"/>
      <c r="I41" s="24"/>
      <c r="J41" s="24"/>
      <c r="K41" s="30"/>
      <c r="N41" s="58"/>
      <c r="O41" s="68" t="s">
        <v>65</v>
      </c>
      <c r="P41" s="79">
        <f ca="1">ROUND(-($P$24+SUM($P$25:$W$25))/$P$38,2)</f>
        <v>0</v>
      </c>
      <c r="Q41" s="62" t="s">
        <v>41</v>
      </c>
      <c r="R41" s="76"/>
      <c r="U41" s="40"/>
      <c r="Y41" s="60"/>
      <c r="Z41" s="60"/>
      <c r="AA41" s="40"/>
      <c r="AB41" s="40"/>
      <c r="AC41" s="40"/>
      <c r="AD41" s="41"/>
      <c r="AE41" s="41"/>
      <c r="AF41" s="41"/>
      <c r="AG41" s="41"/>
      <c r="AH41" s="40"/>
      <c r="AI41" s="40"/>
      <c r="AJ41" s="40"/>
      <c r="AK41" s="40"/>
      <c r="AL41" s="40"/>
      <c r="AM41" s="40"/>
      <c r="AN41" s="40"/>
      <c r="AO41" s="40"/>
      <c r="AP41" s="40"/>
      <c r="AQ41" s="40"/>
      <c r="AR41" s="40"/>
      <c r="AS41" s="41"/>
      <c r="AT41" s="41"/>
      <c r="AU41" s="60"/>
      <c r="AV41" s="60"/>
      <c r="AW41" s="60"/>
      <c r="AX41" s="60"/>
    </row>
    <row r="42" spans="2:54">
      <c r="B42" s="23"/>
      <c r="C42" s="24"/>
      <c r="D42" s="61"/>
      <c r="E42" s="61"/>
      <c r="F42" s="35"/>
      <c r="G42" s="61"/>
      <c r="H42" s="61"/>
      <c r="I42" s="24"/>
      <c r="J42" s="24"/>
      <c r="K42" s="30"/>
      <c r="N42" s="58"/>
      <c r="O42" s="72" t="s">
        <v>115</v>
      </c>
      <c r="R42" s="40"/>
      <c r="S42" s="40"/>
      <c r="T42" s="40"/>
      <c r="V42" s="73"/>
      <c r="W42" s="73"/>
      <c r="Y42" s="60"/>
      <c r="Z42" s="60"/>
      <c r="AA42" s="40"/>
      <c r="AB42" s="40"/>
      <c r="AC42" s="40"/>
      <c r="AD42" s="41"/>
      <c r="AE42" s="41"/>
      <c r="AF42" s="41"/>
      <c r="AG42" s="41"/>
      <c r="AH42" s="40"/>
      <c r="AI42" s="40"/>
      <c r="AJ42" s="40"/>
      <c r="AK42" s="40"/>
      <c r="AL42" s="40"/>
      <c r="AM42" s="40"/>
      <c r="AN42" s="40"/>
      <c r="AO42" s="40"/>
      <c r="AP42" s="40"/>
      <c r="AQ42" s="40"/>
      <c r="AR42" s="40"/>
      <c r="AS42" s="41"/>
      <c r="AT42" s="41"/>
      <c r="AU42" s="60"/>
      <c r="AV42" s="60"/>
      <c r="AW42" s="60"/>
      <c r="AX42" s="60"/>
    </row>
    <row r="43" spans="2:54">
      <c r="B43" s="23"/>
      <c r="C43" s="24"/>
      <c r="D43" s="61"/>
      <c r="E43" s="61"/>
      <c r="F43" s="35"/>
      <c r="G43" s="61"/>
      <c r="H43" s="61"/>
      <c r="I43" s="24"/>
      <c r="J43" s="24"/>
      <c r="K43" s="189"/>
      <c r="L43" s="28"/>
      <c r="M43" s="28"/>
      <c r="N43" s="58"/>
      <c r="O43" s="81" t="s">
        <v>116</v>
      </c>
      <c r="P43" s="79">
        <f ca="1">$P$34</f>
        <v>157.98240000000001</v>
      </c>
      <c r="Q43" s="62" t="s">
        <v>107</v>
      </c>
      <c r="R43" s="76"/>
      <c r="S43" s="40"/>
      <c r="T43" s="40"/>
      <c r="U43" s="40"/>
      <c r="V43" s="73"/>
      <c r="W43" s="73"/>
      <c r="Y43" s="60"/>
      <c r="Z43" s="60"/>
      <c r="AA43" s="40"/>
      <c r="AB43" s="40"/>
      <c r="AC43" s="40"/>
      <c r="AD43" s="41"/>
      <c r="AE43" s="41"/>
      <c r="AF43" s="41"/>
      <c r="AG43" s="41"/>
      <c r="AH43" s="40"/>
      <c r="AI43" s="40"/>
      <c r="AJ43" s="40"/>
      <c r="AK43" s="40"/>
      <c r="AL43" s="40"/>
      <c r="AM43" s="40"/>
      <c r="AN43" s="40"/>
      <c r="AO43" s="40"/>
      <c r="AP43" s="40"/>
      <c r="AQ43" s="40"/>
      <c r="AR43" s="40"/>
      <c r="AS43" s="41"/>
      <c r="AT43" s="41"/>
      <c r="AU43" s="60"/>
      <c r="AV43" s="60"/>
      <c r="AW43" s="60"/>
      <c r="AX43" s="60"/>
    </row>
    <row r="44" spans="2:54">
      <c r="B44" s="23"/>
      <c r="C44" s="24"/>
      <c r="D44" s="61"/>
      <c r="E44" s="61"/>
      <c r="F44" s="35"/>
      <c r="G44" s="61"/>
      <c r="H44" s="61"/>
      <c r="I44" s="24"/>
      <c r="J44" s="24"/>
      <c r="K44" s="30"/>
      <c r="N44" s="58"/>
      <c r="O44" s="81" t="s">
        <v>109</v>
      </c>
      <c r="P44" s="79">
        <f ca="1">$P$27</f>
        <v>0</v>
      </c>
      <c r="Q44" s="62" t="s">
        <v>107</v>
      </c>
      <c r="R44" s="62"/>
      <c r="U44" s="40"/>
      <c r="V44" s="73"/>
      <c r="W44" s="73"/>
      <c r="Y44" s="60"/>
      <c r="Z44" s="60"/>
      <c r="AA44" s="40"/>
      <c r="AB44" s="40"/>
      <c r="AC44" s="40"/>
      <c r="AD44" s="41"/>
      <c r="AE44" s="41"/>
      <c r="AF44" s="41"/>
      <c r="AG44" s="41"/>
      <c r="AH44" s="40"/>
      <c r="AI44" s="40"/>
      <c r="AJ44" s="40"/>
      <c r="AK44" s="40"/>
      <c r="AL44" s="40"/>
      <c r="AM44" s="40"/>
      <c r="AN44" s="40"/>
      <c r="AO44" s="40"/>
      <c r="AP44" s="40"/>
      <c r="AQ44" s="40"/>
      <c r="AR44" s="40"/>
      <c r="AS44" s="41"/>
      <c r="AT44" s="41"/>
      <c r="AU44" s="60"/>
      <c r="AV44" s="60"/>
      <c r="AW44" s="60"/>
      <c r="AX44" s="60"/>
    </row>
    <row r="45" spans="2:54">
      <c r="B45" s="23"/>
      <c r="C45" s="24"/>
      <c r="D45" s="61"/>
      <c r="E45" s="61"/>
      <c r="F45" s="35"/>
      <c r="G45" s="61"/>
      <c r="H45" s="61"/>
      <c r="I45" s="24"/>
      <c r="J45" s="24"/>
      <c r="K45" s="30"/>
      <c r="L45" s="24"/>
      <c r="M45" s="24"/>
      <c r="N45" s="58"/>
      <c r="O45" s="68" t="s">
        <v>117</v>
      </c>
      <c r="P45" s="60" t="str">
        <f ca="1">IF(OR($P$44&gt;0,$P$44&lt;0),ABS($P$43/$P$44),"N.A.")</f>
        <v>N.A.</v>
      </c>
      <c r="Q45" s="62"/>
      <c r="R45" s="62"/>
      <c r="U45" s="40"/>
      <c r="V45" s="73"/>
      <c r="W45" s="73"/>
      <c r="Y45" s="60"/>
      <c r="Z45" s="60"/>
      <c r="AA45" s="40"/>
      <c r="AB45" s="40"/>
      <c r="AC45" s="40"/>
      <c r="AD45" s="41"/>
      <c r="AE45" s="41"/>
      <c r="AF45" s="41"/>
      <c r="AG45" s="41"/>
      <c r="AH45" s="40"/>
      <c r="AI45" s="40"/>
      <c r="AJ45" s="40"/>
      <c r="AK45" s="40"/>
      <c r="AL45" s="40"/>
      <c r="AM45" s="40"/>
      <c r="AN45" s="40"/>
      <c r="AO45" s="40"/>
      <c r="AP45" s="40"/>
      <c r="AQ45" s="40"/>
      <c r="AR45" s="40"/>
      <c r="AS45" s="41"/>
      <c r="AT45" s="41"/>
      <c r="AU45" s="60"/>
      <c r="AV45" s="60"/>
      <c r="AW45" s="60"/>
      <c r="AX45" s="60"/>
    </row>
    <row r="46" spans="2:54">
      <c r="B46" s="23"/>
      <c r="C46" s="35"/>
      <c r="D46" s="61"/>
      <c r="E46" s="61"/>
      <c r="F46" s="35"/>
      <c r="G46" s="61"/>
      <c r="H46" s="61"/>
      <c r="I46" s="24"/>
      <c r="J46" s="24"/>
      <c r="K46" s="30"/>
      <c r="L46" s="24"/>
      <c r="M46" s="24"/>
      <c r="N46" s="58"/>
      <c r="O46" s="81" t="s">
        <v>118</v>
      </c>
      <c r="P46" s="79">
        <f ca="1">$P$36</f>
        <v>1084.9999379999999</v>
      </c>
      <c r="Q46" s="62" t="s">
        <v>107</v>
      </c>
      <c r="R46" s="62"/>
      <c r="U46" s="40"/>
      <c r="V46" s="73"/>
      <c r="W46" s="73"/>
      <c r="Y46" s="60"/>
      <c r="Z46" s="60"/>
      <c r="AA46" s="40"/>
      <c r="AB46" s="40"/>
      <c r="AC46" s="40"/>
      <c r="AD46" s="41"/>
      <c r="AE46" s="41"/>
      <c r="AF46" s="41"/>
      <c r="AG46" s="41"/>
      <c r="AH46" s="40"/>
      <c r="AI46" s="40"/>
      <c r="AJ46" s="40"/>
      <c r="AK46" s="40"/>
      <c r="AL46" s="40"/>
      <c r="AM46" s="40"/>
      <c r="AN46" s="40"/>
      <c r="AO46" s="40"/>
      <c r="AP46" s="40"/>
      <c r="AQ46" s="40"/>
      <c r="AR46" s="40"/>
      <c r="AS46" s="41"/>
      <c r="AT46" s="41"/>
      <c r="AU46" s="60"/>
      <c r="AV46" s="60"/>
      <c r="AW46" s="60"/>
      <c r="AX46" s="60"/>
    </row>
    <row r="47" spans="2:54">
      <c r="B47" s="23"/>
      <c r="C47" s="28"/>
      <c r="D47" s="28"/>
      <c r="E47" s="28"/>
      <c r="F47" s="28"/>
      <c r="G47" s="28"/>
      <c r="H47" s="24"/>
      <c r="I47" s="24"/>
      <c r="J47" s="50"/>
      <c r="K47" s="30"/>
      <c r="L47" s="24"/>
      <c r="M47" s="24"/>
      <c r="N47" s="58"/>
      <c r="O47" s="81" t="s">
        <v>111</v>
      </c>
      <c r="P47" s="79">
        <f ca="1">$P$32</f>
        <v>-173.33199999999999</v>
      </c>
      <c r="Q47" s="62" t="s">
        <v>107</v>
      </c>
      <c r="R47" s="76"/>
      <c r="S47" s="40"/>
      <c r="T47" s="40"/>
      <c r="U47" s="40"/>
      <c r="V47" s="73"/>
      <c r="W47" s="73"/>
      <c r="Y47" s="60"/>
      <c r="Z47" s="60"/>
      <c r="AA47" s="40"/>
      <c r="AB47" s="40"/>
      <c r="AC47" s="40"/>
      <c r="AD47" s="41"/>
      <c r="AE47" s="41"/>
      <c r="AF47" s="41"/>
      <c r="AG47" s="41"/>
      <c r="AH47" s="40"/>
      <c r="AI47" s="40"/>
      <c r="AJ47" s="40"/>
      <c r="AK47" s="40"/>
      <c r="AL47" s="40"/>
      <c r="AM47" s="40"/>
      <c r="AN47" s="40"/>
      <c r="AO47" s="40"/>
      <c r="AP47" s="40"/>
      <c r="AQ47" s="40"/>
      <c r="AR47" s="40"/>
      <c r="AS47" s="41"/>
      <c r="AT47" s="41"/>
      <c r="AU47" s="60"/>
      <c r="AV47" s="60"/>
      <c r="AW47" s="60"/>
      <c r="AX47" s="60"/>
    </row>
    <row r="48" spans="2:54">
      <c r="B48" s="23"/>
      <c r="C48" s="29"/>
      <c r="D48" s="29"/>
      <c r="E48" s="29"/>
      <c r="F48" s="29"/>
      <c r="G48" s="29"/>
      <c r="H48" s="29"/>
      <c r="I48" s="24"/>
      <c r="J48" s="24"/>
      <c r="K48" s="30"/>
      <c r="L48" s="24"/>
      <c r="M48" s="24"/>
      <c r="N48" s="58"/>
      <c r="O48" s="68" t="s">
        <v>119</v>
      </c>
      <c r="P48" s="60">
        <f ca="1">IF(OR($P$47&gt;0,$P$47&lt;0),ABS($P$46/$P$47),"N.A.")</f>
        <v>6.2596631781782932</v>
      </c>
      <c r="Q48" s="62"/>
      <c r="R48" s="62"/>
      <c r="S48" s="40"/>
      <c r="T48" s="40"/>
      <c r="U48" s="40"/>
      <c r="V48" s="73"/>
      <c r="W48" s="73"/>
      <c r="Y48" s="60"/>
      <c r="Z48" s="60"/>
      <c r="AA48" s="40"/>
      <c r="AB48" s="40"/>
      <c r="AC48" s="40"/>
      <c r="AD48" s="41"/>
      <c r="AE48" s="41"/>
      <c r="AF48" s="41"/>
      <c r="AG48" s="41"/>
      <c r="AH48" s="40"/>
      <c r="AI48" s="40"/>
      <c r="AJ48" s="40"/>
      <c r="AK48" s="40"/>
      <c r="AL48" s="40"/>
      <c r="AM48" s="40"/>
      <c r="AN48" s="40"/>
      <c r="AO48" s="40"/>
      <c r="AP48" s="40"/>
      <c r="AQ48" s="40"/>
      <c r="AR48" s="40"/>
      <c r="AS48" s="41"/>
      <c r="AT48" s="41"/>
      <c r="AU48" s="60"/>
      <c r="AV48" s="60"/>
      <c r="AW48" s="60"/>
      <c r="AX48" s="60"/>
    </row>
    <row r="49" spans="2:57">
      <c r="B49" s="23"/>
      <c r="C49" s="24"/>
      <c r="D49" s="24"/>
      <c r="E49" s="24"/>
      <c r="F49" s="24"/>
      <c r="G49" s="24"/>
      <c r="H49" s="24"/>
      <c r="I49" s="24"/>
      <c r="J49" s="24"/>
      <c r="K49" s="30"/>
      <c r="N49" s="84"/>
      <c r="O49" s="240" t="s">
        <v>325</v>
      </c>
      <c r="P49" s="84"/>
      <c r="Y49" s="60"/>
      <c r="Z49" s="60"/>
      <c r="AA49" s="40"/>
      <c r="AB49" s="40"/>
      <c r="AC49" s="40"/>
      <c r="AD49" s="41"/>
      <c r="AE49" s="41"/>
      <c r="AF49" s="41"/>
      <c r="AG49" s="41"/>
      <c r="AH49" s="40"/>
      <c r="AI49" s="40"/>
      <c r="AJ49" s="40"/>
      <c r="AK49" s="40"/>
      <c r="AL49" s="40"/>
      <c r="AM49" s="40"/>
      <c r="AN49" s="40"/>
      <c r="AO49" s="40"/>
      <c r="AP49" s="40"/>
      <c r="AQ49" s="40"/>
      <c r="AR49" s="40"/>
      <c r="AS49" s="41"/>
      <c r="AT49" s="41"/>
      <c r="AU49" s="60"/>
      <c r="AV49" s="60"/>
      <c r="AW49" s="60"/>
      <c r="AX49" s="60"/>
    </row>
    <row r="50" spans="2:57">
      <c r="B50" s="23"/>
      <c r="C50" s="24"/>
      <c r="D50" s="24"/>
      <c r="E50" s="24"/>
      <c r="F50" s="24"/>
      <c r="G50" s="24"/>
      <c r="H50" s="24"/>
      <c r="I50" s="24"/>
      <c r="J50" s="24"/>
      <c r="K50" s="30"/>
      <c r="N50" s="219"/>
      <c r="O50" s="74" t="s">
        <v>329</v>
      </c>
      <c r="P50" s="41">
        <f ca="1">($D$13*($D$17*$D$16*($D$15+$D$13)+$D$17*$D$16*$D$15)/2)*$D$12</f>
        <v>8.0255548227799984</v>
      </c>
      <c r="Q50" s="237" t="s">
        <v>66</v>
      </c>
      <c r="Y50" s="60"/>
      <c r="Z50" s="60"/>
      <c r="AA50" s="40"/>
      <c r="AB50" s="40"/>
      <c r="AC50" s="40"/>
      <c r="AD50" s="41"/>
      <c r="AE50" s="41"/>
      <c r="AF50" s="41"/>
      <c r="AG50" s="41"/>
      <c r="AH50" s="40"/>
      <c r="AI50" s="40"/>
      <c r="AJ50" s="40"/>
      <c r="AK50" s="40"/>
      <c r="AL50" s="40"/>
      <c r="AM50" s="40"/>
      <c r="AN50" s="40"/>
      <c r="AO50" s="40"/>
      <c r="AP50" s="40"/>
      <c r="AQ50" s="40"/>
      <c r="AR50" s="40"/>
      <c r="AS50" s="41"/>
      <c r="AT50" s="41"/>
      <c r="AU50" s="60"/>
      <c r="AV50" s="60"/>
      <c r="AW50" s="60"/>
      <c r="AX50" s="60"/>
    </row>
    <row r="51" spans="2:57">
      <c r="B51" s="127"/>
      <c r="C51" s="128"/>
      <c r="D51" s="128"/>
      <c r="E51" s="24"/>
      <c r="F51" s="24"/>
      <c r="G51" s="24"/>
      <c r="H51" s="24"/>
      <c r="I51" s="24"/>
      <c r="J51" s="24"/>
      <c r="K51" s="30"/>
      <c r="N51" s="219"/>
      <c r="O51" s="74" t="s">
        <v>330</v>
      </c>
      <c r="P51" s="41">
        <f ca="1">IF($P$38&lt;=0,0,$D$18*($P$38-$P$10))</f>
        <v>60.759996640000004</v>
      </c>
      <c r="Q51" s="237" t="s">
        <v>66</v>
      </c>
      <c r="Y51" s="60"/>
      <c r="Z51" s="60"/>
      <c r="AA51" s="40"/>
      <c r="AB51" s="40"/>
      <c r="AC51" s="40"/>
      <c r="AD51" s="41"/>
      <c r="AE51" s="41"/>
      <c r="AF51" s="41"/>
      <c r="AG51" s="41"/>
      <c r="AH51" s="40"/>
      <c r="AI51" s="40"/>
      <c r="AJ51" s="40"/>
      <c r="AK51" s="40"/>
      <c r="AL51" s="40"/>
      <c r="AM51" s="40"/>
      <c r="AN51" s="40"/>
      <c r="AO51" s="40"/>
      <c r="AP51" s="40"/>
      <c r="AQ51" s="40"/>
      <c r="AR51" s="40"/>
      <c r="AS51" s="41"/>
      <c r="AT51" s="41"/>
      <c r="AU51" s="60"/>
      <c r="AV51" s="60"/>
      <c r="AW51" s="60"/>
      <c r="AX51" s="60"/>
    </row>
    <row r="52" spans="2:57">
      <c r="B52" s="127"/>
      <c r="C52" s="128"/>
      <c r="D52" s="128"/>
      <c r="E52" s="24"/>
      <c r="F52" s="24"/>
      <c r="G52" s="24"/>
      <c r="H52" s="24"/>
      <c r="I52" s="24"/>
      <c r="J52" s="24"/>
      <c r="K52" s="30"/>
      <c r="N52" s="219"/>
      <c r="O52" s="74" t="s">
        <v>326</v>
      </c>
      <c r="P52" s="41" t="str">
        <f ca="1">IF(SUM($C$31:$J$31)&lt;&gt;0,SUM($P$50:$P$51)/ABS(SUM($C$31:$J$31)),"N.A.")</f>
        <v>N.A.</v>
      </c>
      <c r="Q52" s="219"/>
      <c r="Y52" s="60"/>
      <c r="Z52" s="60"/>
      <c r="AA52" s="40"/>
      <c r="AB52" s="40"/>
      <c r="AC52" s="40"/>
      <c r="AD52" s="41"/>
      <c r="AE52" s="41"/>
      <c r="AF52" s="41"/>
      <c r="AG52" s="41"/>
      <c r="AH52" s="40"/>
      <c r="AI52" s="40"/>
      <c r="AJ52" s="40"/>
      <c r="AK52" s="40"/>
      <c r="AL52" s="40"/>
      <c r="AM52" s="40"/>
      <c r="AN52" s="40"/>
      <c r="AO52" s="40"/>
      <c r="AP52" s="40"/>
      <c r="AQ52" s="40"/>
      <c r="AR52" s="40"/>
      <c r="AS52" s="41"/>
      <c r="AT52" s="41"/>
      <c r="AU52" s="60"/>
      <c r="AV52" s="60"/>
      <c r="AW52" s="60"/>
      <c r="AX52" s="60"/>
    </row>
    <row r="53" spans="2:57">
      <c r="B53" s="23"/>
      <c r="C53" s="24"/>
      <c r="D53" s="24"/>
      <c r="E53" s="158" t="s">
        <v>247</v>
      </c>
      <c r="F53" s="158"/>
      <c r="G53" s="158"/>
      <c r="H53" s="24"/>
      <c r="I53" s="24"/>
      <c r="J53" s="24"/>
      <c r="K53" s="30"/>
      <c r="N53" s="219"/>
      <c r="O53" s="74" t="s">
        <v>331</v>
      </c>
      <c r="P53" s="41">
        <f ca="1">($D$13*($D$17*$D$16*($D$15+$D$13)+$D$17*$D$16*$D$15)/2)*$D$11</f>
        <v>10.031943528474997</v>
      </c>
      <c r="Q53" s="237" t="s">
        <v>66</v>
      </c>
      <c r="Y53" s="60"/>
      <c r="Z53" s="60"/>
      <c r="AA53" s="40"/>
      <c r="AB53" s="40"/>
      <c r="AC53" s="40"/>
      <c r="AD53" s="41"/>
      <c r="AE53" s="41"/>
      <c r="AF53" s="41"/>
      <c r="AG53" s="41"/>
      <c r="AH53" s="40"/>
      <c r="AI53" s="40"/>
      <c r="AJ53" s="40"/>
      <c r="AK53" s="40"/>
      <c r="AL53" s="40"/>
      <c r="AM53" s="40"/>
      <c r="AN53" s="40"/>
      <c r="AO53" s="40"/>
      <c r="AP53" s="40"/>
      <c r="AQ53" s="40"/>
      <c r="AR53" s="40"/>
      <c r="AS53" s="41"/>
      <c r="AT53" s="41"/>
      <c r="AU53" s="60"/>
      <c r="AV53" s="60"/>
      <c r="AW53" s="60"/>
      <c r="AX53" s="60"/>
    </row>
    <row r="54" spans="2:57">
      <c r="B54" s="23"/>
      <c r="C54" s="24"/>
      <c r="D54" s="24"/>
      <c r="E54" s="24"/>
      <c r="F54" s="24"/>
      <c r="G54" s="24"/>
      <c r="H54" s="24"/>
      <c r="I54" s="24"/>
      <c r="J54" s="24"/>
      <c r="K54" s="30"/>
      <c r="N54" s="219"/>
      <c r="O54" s="74" t="s">
        <v>332</v>
      </c>
      <c r="P54" s="41">
        <f ca="1">IF($P$38&lt;=0,0,$D$18*($P$38-$P$10))</f>
        <v>60.759996640000004</v>
      </c>
      <c r="Q54" s="237" t="s">
        <v>66</v>
      </c>
      <c r="Y54" s="60"/>
      <c r="Z54" s="60"/>
      <c r="AA54" s="40"/>
      <c r="AB54" s="40"/>
      <c r="AC54" s="40"/>
      <c r="AD54" s="41"/>
      <c r="AE54" s="41"/>
      <c r="AF54" s="41"/>
      <c r="AG54" s="41"/>
      <c r="AH54" s="40"/>
      <c r="AI54" s="40"/>
      <c r="AJ54" s="40"/>
      <c r="AK54" s="40"/>
      <c r="AL54" s="40"/>
      <c r="AM54" s="40"/>
      <c r="AN54" s="40"/>
      <c r="AO54" s="40"/>
      <c r="AP54" s="40"/>
      <c r="AQ54" s="40"/>
      <c r="AR54" s="40"/>
      <c r="AS54" s="41"/>
      <c r="AT54" s="41"/>
      <c r="AU54" s="60"/>
      <c r="AV54" s="60"/>
      <c r="AW54" s="60"/>
      <c r="AX54" s="60"/>
    </row>
    <row r="55" spans="2:57">
      <c r="B55" s="129"/>
      <c r="C55" s="130"/>
      <c r="D55" s="130"/>
      <c r="E55" s="31"/>
      <c r="F55" s="31"/>
      <c r="G55" s="31"/>
      <c r="H55" s="31"/>
      <c r="I55" s="31"/>
      <c r="J55" s="31"/>
      <c r="K55" s="266" t="s">
        <v>366</v>
      </c>
      <c r="N55" s="219"/>
      <c r="O55" s="74" t="s">
        <v>327</v>
      </c>
      <c r="P55" s="241" t="str">
        <f>IF(SUM($C$32:$J$32)&lt;&gt;0,SUM($P$53:$P$54)/ABS(SUM($C$32:$J$32)),"N.A.")</f>
        <v>N.A.</v>
      </c>
      <c r="Q55" s="219"/>
      <c r="Y55" s="60"/>
      <c r="Z55" s="60"/>
      <c r="AA55" s="40"/>
      <c r="AB55" s="40"/>
      <c r="AC55" s="40"/>
      <c r="AD55" s="41"/>
      <c r="AE55" s="41"/>
      <c r="AF55" s="41"/>
      <c r="AG55" s="41"/>
      <c r="AH55" s="40"/>
      <c r="AI55" s="40"/>
      <c r="AJ55" s="40"/>
      <c r="AK55" s="40"/>
      <c r="AL55" s="40"/>
      <c r="AM55" s="40"/>
      <c r="AN55" s="40"/>
      <c r="AO55" s="40"/>
      <c r="AP55" s="40"/>
      <c r="AQ55" s="40"/>
      <c r="AR55" s="40"/>
      <c r="AS55" s="41"/>
      <c r="AT55" s="41"/>
      <c r="AU55" s="60"/>
      <c r="AV55" s="60"/>
      <c r="AW55" s="60"/>
      <c r="AX55" s="60"/>
    </row>
    <row r="56" spans="2:57">
      <c r="B56" s="145"/>
      <c r="C56" s="146"/>
      <c r="D56" s="146"/>
      <c r="E56" s="146"/>
      <c r="F56" s="146"/>
      <c r="G56" s="146"/>
      <c r="H56" s="146"/>
      <c r="I56" s="146"/>
      <c r="J56" s="146"/>
      <c r="K56" s="26"/>
      <c r="N56" s="58"/>
      <c r="O56" s="63" t="s">
        <v>113</v>
      </c>
      <c r="R56" s="40"/>
      <c r="S56" s="40"/>
      <c r="T56" s="40"/>
      <c r="U56" s="40"/>
      <c r="Y56" s="60"/>
      <c r="Z56" s="60"/>
      <c r="AA56" s="40"/>
      <c r="AB56" s="40"/>
      <c r="AC56" s="40"/>
      <c r="AD56" s="41"/>
      <c r="AE56" s="41"/>
      <c r="AF56" s="41"/>
      <c r="AG56" s="41"/>
      <c r="AH56" s="40"/>
      <c r="AI56" s="40"/>
      <c r="AJ56" s="40"/>
      <c r="AK56" s="40"/>
      <c r="AL56" s="40"/>
      <c r="AM56" s="40"/>
      <c r="AN56" s="40"/>
      <c r="AO56" s="40"/>
      <c r="AP56" s="40"/>
      <c r="AQ56" s="40"/>
      <c r="AR56" s="40"/>
      <c r="AS56" s="41"/>
      <c r="AT56" s="41"/>
      <c r="AU56" s="60"/>
      <c r="AV56" s="60"/>
      <c r="AW56" s="60"/>
      <c r="AX56" s="60"/>
    </row>
    <row r="57" spans="2:57">
      <c r="B57" s="32" t="s">
        <v>28</v>
      </c>
      <c r="C57" s="24"/>
      <c r="D57" s="125"/>
      <c r="E57" s="24"/>
      <c r="F57" s="154" t="s">
        <v>215</v>
      </c>
      <c r="G57" s="24"/>
      <c r="H57" s="24"/>
      <c r="I57" s="24"/>
      <c r="J57" s="24"/>
      <c r="K57" s="30"/>
      <c r="N57" s="58"/>
      <c r="O57" s="81" t="s">
        <v>209</v>
      </c>
      <c r="P57" s="79">
        <f ca="1">$P$38+$P$22-$P$10</f>
        <v>216.999988</v>
      </c>
      <c r="Q57" s="62" t="s">
        <v>66</v>
      </c>
      <c r="R57" s="86" t="s">
        <v>240</v>
      </c>
      <c r="S57" s="40"/>
      <c r="T57" s="40"/>
      <c r="U57" s="40"/>
      <c r="V57" s="73"/>
      <c r="Y57" s="60"/>
      <c r="Z57" s="60"/>
      <c r="AA57" s="40"/>
      <c r="AB57" s="40"/>
      <c r="AC57" s="40"/>
      <c r="AD57" s="41"/>
      <c r="AE57" s="41"/>
      <c r="AF57" s="41"/>
      <c r="AG57" s="41"/>
      <c r="AH57" s="40"/>
      <c r="AI57" s="40"/>
      <c r="AJ57" s="40"/>
      <c r="AK57" s="40"/>
      <c r="AL57" s="40"/>
      <c r="AM57" s="40"/>
      <c r="AN57" s="40"/>
      <c r="AO57" s="40"/>
      <c r="AP57" s="40"/>
      <c r="AQ57" s="40"/>
      <c r="AR57" s="40"/>
      <c r="AS57" s="41"/>
      <c r="AT57" s="41"/>
      <c r="AU57" s="60"/>
      <c r="AV57" s="60"/>
      <c r="AW57" s="60"/>
      <c r="AX57" s="60"/>
      <c r="BE57" s="126"/>
    </row>
    <row r="58" spans="2:57">
      <c r="B58" s="23"/>
      <c r="C58" s="24"/>
      <c r="D58" s="24"/>
      <c r="E58" s="24"/>
      <c r="F58" s="24"/>
      <c r="G58" s="24"/>
      <c r="H58" s="24"/>
      <c r="I58" s="24"/>
      <c r="J58" s="24"/>
      <c r="K58" s="30"/>
      <c r="M58" s="60"/>
      <c r="N58" s="58"/>
      <c r="O58" s="81" t="s">
        <v>210</v>
      </c>
      <c r="P58" s="79">
        <f ca="1">$P$22</f>
        <v>0</v>
      </c>
      <c r="Q58" s="62" t="s">
        <v>66</v>
      </c>
      <c r="R58" s="40"/>
      <c r="S58" s="40"/>
      <c r="T58" s="40"/>
      <c r="V58" s="73"/>
      <c r="W58" s="73"/>
      <c r="Y58" s="60"/>
      <c r="Z58" s="60"/>
      <c r="AA58" s="40"/>
      <c r="AB58" s="40"/>
      <c r="AC58" s="40"/>
      <c r="AD58" s="41"/>
      <c r="AE58" s="41"/>
      <c r="AF58" s="41"/>
      <c r="AG58" s="41"/>
      <c r="AH58" s="40"/>
      <c r="AI58" s="40"/>
      <c r="AJ58" s="40"/>
      <c r="AK58" s="40"/>
      <c r="AL58" s="40"/>
      <c r="AM58" s="40"/>
      <c r="AN58" s="40"/>
      <c r="AO58" s="40"/>
      <c r="AP58" s="40"/>
      <c r="AQ58" s="40"/>
      <c r="AR58" s="40"/>
      <c r="AS58" s="41"/>
      <c r="AT58" s="41"/>
      <c r="AU58" s="60"/>
      <c r="AV58" s="60"/>
      <c r="AW58" s="60"/>
      <c r="AX58" s="60"/>
      <c r="BE58" s="126"/>
    </row>
    <row r="59" spans="2:57">
      <c r="B59" s="45" t="s">
        <v>137</v>
      </c>
      <c r="C59" s="40"/>
      <c r="D59" s="34"/>
      <c r="E59" s="24"/>
      <c r="F59" s="155" t="s">
        <v>218</v>
      </c>
      <c r="G59" s="144" t="s">
        <v>217</v>
      </c>
      <c r="H59" s="24"/>
      <c r="I59" s="24"/>
      <c r="J59" s="24"/>
      <c r="K59" s="30"/>
      <c r="N59" s="58"/>
      <c r="O59" s="87" t="s">
        <v>114</v>
      </c>
      <c r="P59" s="60" t="str">
        <f ca="1">IF($P$58&gt;0,$P$57/$P$58,"N.A.")</f>
        <v>N.A.</v>
      </c>
      <c r="Q59" s="62"/>
      <c r="R59" s="40"/>
      <c r="S59" s="40"/>
      <c r="T59" s="40"/>
      <c r="V59" s="73"/>
      <c r="W59" s="73"/>
      <c r="Y59" s="60"/>
      <c r="Z59" s="60"/>
      <c r="AA59" s="40"/>
      <c r="AB59" s="40"/>
      <c r="AC59" s="40"/>
      <c r="AD59" s="41"/>
      <c r="AE59" s="41"/>
      <c r="AF59" s="41"/>
      <c r="AG59" s="41"/>
      <c r="AH59" s="40"/>
      <c r="AI59" s="40"/>
      <c r="AJ59" s="40"/>
      <c r="AK59" s="40"/>
      <c r="AL59" s="40"/>
      <c r="AM59" s="40"/>
      <c r="AN59" s="40"/>
      <c r="AO59" s="40"/>
      <c r="AP59" s="40"/>
      <c r="AQ59" s="40"/>
      <c r="AR59" s="40"/>
      <c r="AS59" s="41"/>
      <c r="AT59" s="41"/>
      <c r="AU59" s="60"/>
      <c r="AV59" s="60"/>
      <c r="AW59" s="60"/>
      <c r="AX59" s="60"/>
    </row>
    <row r="60" spans="2:57">
      <c r="B60" s="38" t="s">
        <v>138</v>
      </c>
      <c r="C60" s="110">
        <f ca="1">-$P$38</f>
        <v>-224.999988</v>
      </c>
      <c r="D60" s="34" t="s">
        <v>66</v>
      </c>
      <c r="E60" s="24"/>
      <c r="F60" s="144"/>
      <c r="G60" s="156" t="s">
        <v>216</v>
      </c>
      <c r="H60" s="24"/>
      <c r="I60" s="24"/>
      <c r="J60" s="24"/>
      <c r="K60" s="30"/>
      <c r="N60" s="58"/>
      <c r="O60" s="72" t="s">
        <v>123</v>
      </c>
      <c r="S60" s="40"/>
      <c r="T60" s="40"/>
      <c r="U60" s="40"/>
      <c r="V60" s="73"/>
      <c r="W60" s="73"/>
      <c r="Y60" s="60"/>
      <c r="Z60" s="60"/>
      <c r="AA60" s="40"/>
      <c r="AB60" s="40"/>
      <c r="AC60" s="40"/>
      <c r="AD60" s="41"/>
      <c r="AE60" s="41"/>
      <c r="AF60" s="41"/>
      <c r="AG60" s="41"/>
      <c r="AH60" s="40"/>
      <c r="AI60" s="40"/>
      <c r="AJ60" s="40"/>
      <c r="AK60" s="40"/>
      <c r="AL60" s="40"/>
      <c r="AM60" s="40"/>
      <c r="AN60" s="40"/>
      <c r="AO60" s="40"/>
      <c r="AP60" s="40"/>
      <c r="AQ60" s="40"/>
      <c r="AR60" s="40"/>
      <c r="AS60" s="41"/>
      <c r="AT60" s="41"/>
      <c r="AU60" s="60"/>
      <c r="AV60" s="60"/>
      <c r="AW60" s="60"/>
      <c r="AX60" s="60"/>
    </row>
    <row r="61" spans="2:57">
      <c r="B61" s="36" t="s">
        <v>64</v>
      </c>
      <c r="C61" s="239">
        <f ca="1">$P$40</f>
        <v>-0.77</v>
      </c>
      <c r="D61" s="37" t="str">
        <f ca="1">IF($P$40=0,"","ft. "&amp;IF(ABS($P$40)&lt;=$D$11/6,"(&lt;= L/6)",IF(ABS($P$40)&gt;$D$11/2,"(&gt; L/2)","(&gt; L/6)")))</f>
        <v>ft. (&lt;= L/6)</v>
      </c>
      <c r="E61" s="242" t="str">
        <f ca="1">IF(ABS($P$40)&gt;$D$11/2,"ERROR!","")</f>
        <v/>
      </c>
      <c r="F61" s="24"/>
      <c r="G61" s="143"/>
      <c r="H61" s="24"/>
      <c r="I61" s="24"/>
      <c r="J61" s="24"/>
      <c r="K61" s="30"/>
      <c r="N61" s="58"/>
      <c r="O61" s="84" t="s">
        <v>128</v>
      </c>
      <c r="U61" s="40"/>
      <c r="V61" s="73"/>
      <c r="W61" s="73"/>
      <c r="Y61" s="60"/>
      <c r="Z61" s="60"/>
      <c r="AA61" s="40"/>
      <c r="AB61" s="40"/>
      <c r="AC61" s="40"/>
      <c r="AD61" s="41"/>
      <c r="AE61" s="41"/>
      <c r="AF61" s="41"/>
      <c r="AG61" s="41"/>
      <c r="AH61" s="40"/>
      <c r="AI61" s="40"/>
      <c r="AJ61" s="40"/>
      <c r="AK61" s="40"/>
      <c r="AL61" s="40"/>
      <c r="AM61" s="40"/>
      <c r="AN61" s="40"/>
      <c r="AO61" s="40"/>
      <c r="AP61" s="40"/>
      <c r="AQ61" s="40"/>
      <c r="AR61" s="40"/>
      <c r="AS61" s="41"/>
      <c r="AT61" s="41"/>
      <c r="AU61" s="60"/>
      <c r="AV61" s="60"/>
      <c r="AW61" s="60"/>
      <c r="AX61" s="60"/>
    </row>
    <row r="62" spans="2:57">
      <c r="B62" s="36" t="s">
        <v>65</v>
      </c>
      <c r="C62" s="252">
        <f ca="1">$P$41</f>
        <v>0</v>
      </c>
      <c r="D62" s="37" t="str">
        <f ca="1">IF($P$41=0,"","ft. "&amp;IF(ABS($P$41)&lt;=$D$12/6,"(&lt;= B/6)",IF(ABS($P$41)&gt;$D$12/2,"(&gt; B/2)","(&gt; B/6)")))</f>
        <v/>
      </c>
      <c r="E62" s="242" t="str">
        <f ca="1">IF(ABS($P$41)&gt;$D$12/2,"ERROR!","")</f>
        <v/>
      </c>
      <c r="F62" s="24"/>
      <c r="G62" s="24"/>
      <c r="H62" s="24"/>
      <c r="I62" s="24"/>
      <c r="J62" s="157"/>
      <c r="K62" s="30"/>
      <c r="N62" s="58"/>
      <c r="O62" s="68" t="s">
        <v>124</v>
      </c>
      <c r="P62" s="61" t="str">
        <f ca="1">IF(AND($P$40=0,$P$41=0),$P$38/($D$11*$D$12),"N.A.")</f>
        <v>N.A.</v>
      </c>
      <c r="Q62" s="62" t="s">
        <v>42</v>
      </c>
      <c r="R62" s="68" t="s">
        <v>126</v>
      </c>
      <c r="S62" s="40" t="str">
        <f ca="1">IF(AND($P$40=0,$P$41=0),$P$38/($D$11*$D$12),"N.A.")</f>
        <v>N.A.</v>
      </c>
      <c r="T62" s="62" t="s">
        <v>42</v>
      </c>
      <c r="U62" s="40"/>
      <c r="V62" s="73"/>
      <c r="W62" s="73"/>
      <c r="Y62" s="60"/>
      <c r="Z62" s="60"/>
      <c r="AA62" s="40"/>
      <c r="AB62" s="40"/>
      <c r="AC62" s="40"/>
      <c r="AD62" s="41"/>
      <c r="AE62" s="41"/>
      <c r="AF62" s="41"/>
      <c r="AG62" s="41"/>
      <c r="AH62" s="40"/>
      <c r="AI62" s="40"/>
      <c r="AJ62" s="40"/>
      <c r="AK62" s="40"/>
      <c r="AL62" s="40"/>
      <c r="AM62" s="40"/>
      <c r="AN62" s="40"/>
      <c r="AO62" s="40"/>
      <c r="AP62" s="40"/>
      <c r="AQ62" s="40"/>
      <c r="AR62" s="40"/>
      <c r="AS62" s="41"/>
      <c r="AT62" s="41"/>
      <c r="AU62" s="60"/>
      <c r="AV62" s="60"/>
      <c r="AW62" s="60"/>
      <c r="AX62" s="60"/>
    </row>
    <row r="63" spans="2:57">
      <c r="B63" s="23"/>
      <c r="C63" s="24"/>
      <c r="D63" s="24"/>
      <c r="E63" s="242"/>
      <c r="F63" s="24"/>
      <c r="G63" s="24"/>
      <c r="H63" s="24"/>
      <c r="I63" s="24"/>
      <c r="J63" s="24"/>
      <c r="K63" s="30"/>
      <c r="N63" s="58"/>
      <c r="O63" s="68" t="s">
        <v>125</v>
      </c>
      <c r="P63" s="61" t="str">
        <f ca="1">IF(AND($P$40=0,$P$41=0),$P$38/($D$11*$D$12),"N.A.")</f>
        <v>N.A.</v>
      </c>
      <c r="Q63" s="62" t="s">
        <v>42</v>
      </c>
      <c r="R63" s="68" t="s">
        <v>127</v>
      </c>
      <c r="S63" s="40" t="str">
        <f ca="1">IF(AND($P$40=0,$P$41=0),$P$38/($D$11*$D$12),"N.A.")</f>
        <v>N.A.</v>
      </c>
      <c r="T63" s="62" t="s">
        <v>42</v>
      </c>
      <c r="U63" s="40"/>
      <c r="V63" s="73"/>
      <c r="W63" s="73"/>
      <c r="Y63" s="60"/>
      <c r="Z63" s="60"/>
      <c r="AA63" s="40"/>
      <c r="AB63" s="40"/>
      <c r="AC63" s="40"/>
      <c r="AD63" s="41"/>
      <c r="AE63" s="41"/>
      <c r="AF63" s="41"/>
      <c r="AG63" s="41"/>
      <c r="AH63" s="40"/>
      <c r="AI63" s="40"/>
      <c r="AJ63" s="40"/>
      <c r="AK63" s="40"/>
      <c r="AL63" s="40"/>
      <c r="AM63" s="40"/>
      <c r="AN63" s="40"/>
      <c r="AO63" s="40"/>
      <c r="AP63" s="40"/>
      <c r="AQ63" s="40"/>
      <c r="AR63" s="40"/>
      <c r="AS63" s="41"/>
      <c r="AT63" s="41"/>
      <c r="AU63" s="60"/>
      <c r="AV63" s="60"/>
      <c r="AW63" s="60"/>
      <c r="AX63" s="60"/>
    </row>
    <row r="64" spans="2:57">
      <c r="B64" s="45" t="s">
        <v>115</v>
      </c>
      <c r="C64" s="33"/>
      <c r="D64" s="37"/>
      <c r="E64" s="24"/>
      <c r="F64" s="24"/>
      <c r="G64" s="24"/>
      <c r="H64" s="24"/>
      <c r="I64" s="24"/>
      <c r="J64" s="24"/>
      <c r="K64" s="30"/>
      <c r="N64" s="58"/>
      <c r="O64" s="68" t="s">
        <v>132</v>
      </c>
      <c r="P64" s="61" t="str">
        <f ca="1">IF(AND($P$40=0,$P$41=0),$D$11,"N.A.")</f>
        <v>N.A.</v>
      </c>
      <c r="Q64" s="62" t="s">
        <v>41</v>
      </c>
      <c r="U64" s="40"/>
      <c r="V64" s="73"/>
      <c r="W64" s="73"/>
      <c r="Y64" s="60"/>
      <c r="Z64" s="60"/>
      <c r="AA64" s="40"/>
      <c r="AB64" s="40"/>
      <c r="AC64" s="40"/>
      <c r="AD64" s="41"/>
      <c r="AE64" s="41"/>
      <c r="AF64" s="41"/>
      <c r="AG64" s="41"/>
      <c r="AH64" s="40"/>
      <c r="AI64" s="40"/>
      <c r="AJ64" s="40"/>
      <c r="AK64" s="40"/>
      <c r="AL64" s="40"/>
      <c r="AM64" s="40"/>
      <c r="AN64" s="40"/>
      <c r="AO64" s="40"/>
      <c r="AP64" s="40"/>
      <c r="AQ64" s="40"/>
      <c r="AR64" s="40"/>
      <c r="AS64" s="41"/>
      <c r="AT64" s="41"/>
      <c r="AU64" s="60"/>
      <c r="AV64" s="60"/>
      <c r="AW64" s="60"/>
      <c r="AX64" s="60"/>
    </row>
    <row r="65" spans="2:51">
      <c r="B65" s="38" t="s">
        <v>139</v>
      </c>
      <c r="C65" s="110" t="str">
        <f ca="1">IF($P$41=0,"N.A.",$P$43)</f>
        <v>N.A.</v>
      </c>
      <c r="D65" s="37" t="s">
        <v>143</v>
      </c>
      <c r="E65" s="24"/>
      <c r="F65" s="24"/>
      <c r="G65" s="24"/>
      <c r="H65" s="24"/>
      <c r="I65" s="24"/>
      <c r="J65" s="24"/>
      <c r="K65" s="30"/>
      <c r="N65" s="58"/>
      <c r="O65" s="68" t="s">
        <v>135</v>
      </c>
      <c r="P65" s="61" t="str">
        <f ca="1">IF(AND($P$40=0,$P$41=0),$D$12,"N.A.")</f>
        <v>N.A.</v>
      </c>
      <c r="Q65" s="62" t="s">
        <v>41</v>
      </c>
      <c r="U65" s="40"/>
      <c r="V65" s="73"/>
      <c r="W65" s="73"/>
      <c r="Y65" s="60"/>
      <c r="Z65" s="60"/>
      <c r="AA65" s="40"/>
      <c r="AB65" s="40"/>
      <c r="AC65" s="40"/>
      <c r="AD65" s="41"/>
      <c r="AE65" s="41"/>
      <c r="AF65" s="41"/>
      <c r="AG65" s="41"/>
      <c r="AH65" s="40"/>
      <c r="AI65" s="40"/>
      <c r="AJ65" s="40"/>
      <c r="AK65" s="40"/>
      <c r="AL65" s="40"/>
      <c r="AM65" s="40"/>
      <c r="AN65" s="40"/>
      <c r="AO65" s="40"/>
      <c r="AP65" s="40"/>
      <c r="AQ65" s="40"/>
      <c r="AR65" s="40"/>
      <c r="AS65" s="41"/>
      <c r="AT65" s="41"/>
      <c r="AU65" s="60"/>
      <c r="AV65" s="60"/>
      <c r="AW65" s="60"/>
      <c r="AX65" s="60"/>
    </row>
    <row r="66" spans="2:51">
      <c r="B66" s="38" t="s">
        <v>140</v>
      </c>
      <c r="C66" s="114" t="str">
        <f ca="1">IF($P$41=0,"N.A.",$P$44)</f>
        <v>N.A.</v>
      </c>
      <c r="D66" s="37" t="s">
        <v>143</v>
      </c>
      <c r="E66" s="24"/>
      <c r="F66" s="24"/>
      <c r="G66" s="24"/>
      <c r="H66" s="24"/>
      <c r="I66" s="24"/>
      <c r="J66" s="143"/>
      <c r="K66" s="30"/>
      <c r="N66" s="58"/>
      <c r="O66" s="68" t="s">
        <v>179</v>
      </c>
      <c r="P66" s="79" t="str">
        <f ca="1">IF(AND($P$40=0,$P$41=0),100,"N.A.")</f>
        <v>N.A.</v>
      </c>
      <c r="Q66" s="76" t="s">
        <v>152</v>
      </c>
      <c r="R66" s="62" t="s">
        <v>180</v>
      </c>
      <c r="V66" s="73"/>
      <c r="W66" s="73"/>
      <c r="Y66" s="60"/>
      <c r="Z66" s="60"/>
      <c r="AA66" s="40"/>
      <c r="AB66" s="40"/>
      <c r="AC66" s="40"/>
      <c r="AD66" s="41"/>
      <c r="AE66" s="41"/>
      <c r="AF66" s="41"/>
      <c r="AG66" s="41"/>
      <c r="AH66" s="40"/>
      <c r="AI66" s="40"/>
      <c r="AJ66" s="40"/>
      <c r="AK66" s="40"/>
      <c r="AL66" s="40"/>
      <c r="AM66" s="40"/>
      <c r="AN66" s="40"/>
      <c r="AO66" s="40"/>
      <c r="AP66" s="40"/>
      <c r="AQ66" s="40"/>
      <c r="AR66" s="40"/>
      <c r="AS66" s="41"/>
      <c r="AT66" s="41"/>
      <c r="AU66" s="60"/>
      <c r="AV66" s="60"/>
      <c r="AW66" s="60"/>
      <c r="AX66" s="60"/>
    </row>
    <row r="67" spans="2:51">
      <c r="B67" s="47" t="s">
        <v>117</v>
      </c>
      <c r="C67" s="116" t="str">
        <f ca="1">$P$45</f>
        <v>N.A.</v>
      </c>
      <c r="D67" s="48" t="str">
        <f ca="1">IF($P$45="N.A.","",IF(ABS($P$45)&gt;=1.5,"(&gt;= 1.5)",IF($P$45&lt;1,"(&lt;1.0)","(&lt; 1.5)")))</f>
        <v/>
      </c>
      <c r="E67" s="242" t="str">
        <f ca="1">IF($P$45&lt;1,"ERROR!","")</f>
        <v/>
      </c>
      <c r="F67" s="24"/>
      <c r="G67" s="24"/>
      <c r="H67" s="24"/>
      <c r="I67" s="24"/>
      <c r="J67" s="143"/>
      <c r="K67" s="30"/>
      <c r="N67" s="58"/>
      <c r="O67" s="84" t="s">
        <v>129</v>
      </c>
      <c r="Q67" s="40"/>
      <c r="R67" s="40"/>
      <c r="S67" s="40"/>
      <c r="T67" s="40"/>
      <c r="U67" s="40"/>
      <c r="V67" s="73"/>
      <c r="W67" s="73"/>
      <c r="Y67" s="60"/>
      <c r="Z67" s="60"/>
      <c r="AA67" s="40"/>
      <c r="AB67" s="40"/>
      <c r="AC67" s="40"/>
      <c r="AD67" s="41"/>
      <c r="AE67" s="41"/>
      <c r="AF67" s="41"/>
      <c r="AG67" s="41"/>
      <c r="AH67" s="40"/>
      <c r="AI67" s="40"/>
      <c r="AJ67" s="40"/>
      <c r="AK67" s="40"/>
      <c r="AL67" s="40"/>
      <c r="AM67" s="40"/>
      <c r="AN67" s="40"/>
      <c r="AO67" s="40"/>
      <c r="AP67" s="40"/>
      <c r="AQ67" s="40"/>
      <c r="AR67" s="40"/>
      <c r="AS67" s="41"/>
      <c r="AT67" s="41"/>
      <c r="AU67" s="60"/>
      <c r="AV67" s="60"/>
      <c r="AW67" s="60"/>
      <c r="AX67" s="60"/>
    </row>
    <row r="68" spans="2:51">
      <c r="B68" s="38" t="s">
        <v>141</v>
      </c>
      <c r="C68" s="114">
        <f ca="1">IF($P$40=0,"N.A.",$P$46)</f>
        <v>1084.9999379999999</v>
      </c>
      <c r="D68" s="37" t="s">
        <v>143</v>
      </c>
      <c r="E68" s="24"/>
      <c r="F68" s="24"/>
      <c r="G68" s="24"/>
      <c r="H68" s="24"/>
      <c r="I68" s="24"/>
      <c r="J68" s="24"/>
      <c r="K68" s="30"/>
      <c r="N68" s="58"/>
      <c r="O68" s="68" t="s">
        <v>130</v>
      </c>
      <c r="P68" s="61">
        <f ca="1">IF(AND($P$41=0,$P$40&lt;&gt;0),IF(ABS($P$40)&lt;=$D$11/6,$P$38/($D$11*$D$12)*(1+6*ABS($P$40)/$D$11),2*$P$38/(3*$D$12*($D$11/2-ABS($P$40)))),"N.A.")</f>
        <v>4.1118747807</v>
      </c>
      <c r="Q68" s="62" t="s">
        <v>42</v>
      </c>
      <c r="U68" s="40"/>
      <c r="V68" s="73"/>
      <c r="W68" s="73"/>
      <c r="Y68" s="60"/>
      <c r="Z68" s="60"/>
      <c r="AA68" s="40"/>
      <c r="AB68" s="40"/>
      <c r="AC68" s="40"/>
      <c r="AD68" s="41"/>
      <c r="AE68" s="41"/>
      <c r="AF68" s="41"/>
      <c r="AG68" s="41"/>
      <c r="AH68" s="40"/>
      <c r="AI68" s="40"/>
      <c r="AJ68" s="40"/>
      <c r="AK68" s="40"/>
      <c r="AL68" s="40"/>
      <c r="AM68" s="40"/>
      <c r="AN68" s="40"/>
      <c r="AO68" s="40"/>
      <c r="AP68" s="40"/>
      <c r="AQ68" s="40"/>
      <c r="AR68" s="40"/>
      <c r="AS68" s="41"/>
      <c r="AT68" s="41"/>
      <c r="AU68" s="60"/>
      <c r="AV68" s="60"/>
      <c r="AW68" s="60"/>
      <c r="AX68" s="60"/>
    </row>
    <row r="69" spans="2:51">
      <c r="B69" s="38" t="s">
        <v>142</v>
      </c>
      <c r="C69" s="114">
        <f ca="1">IF($P$40=0,"N.A.",$P$47)</f>
        <v>-173.33199999999999</v>
      </c>
      <c r="D69" s="37" t="s">
        <v>143</v>
      </c>
      <c r="E69" s="24"/>
      <c r="F69" s="24"/>
      <c r="G69" s="24"/>
      <c r="H69" s="24"/>
      <c r="I69" s="24"/>
      <c r="J69" s="24"/>
      <c r="K69" s="30"/>
      <c r="N69" s="58"/>
      <c r="O69" s="68" t="s">
        <v>131</v>
      </c>
      <c r="P69" s="61">
        <f ca="1">IF(AND($P$41=0,$P$40&lt;&gt;0),IF(ABS($P$40)&lt;=$D$11/6,$P$38/($D$11*$D$12)*(1-6*ABS($P$40)/$D$11),0),"N.A.")</f>
        <v>1.5131249193</v>
      </c>
      <c r="Q69" s="62" t="s">
        <v>42</v>
      </c>
      <c r="U69" s="40"/>
      <c r="V69" s="73"/>
      <c r="W69" s="73"/>
      <c r="Y69" s="60"/>
      <c r="Z69" s="60"/>
      <c r="AA69" s="40"/>
      <c r="AB69" s="40"/>
      <c r="AC69" s="40"/>
      <c r="AD69" s="41"/>
      <c r="AE69" s="41"/>
      <c r="AF69" s="41"/>
      <c r="AG69" s="41"/>
      <c r="AH69" s="40"/>
      <c r="AI69" s="40"/>
      <c r="AJ69" s="40"/>
      <c r="AK69" s="40"/>
      <c r="AL69" s="40"/>
      <c r="AM69" s="40"/>
      <c r="AN69" s="40"/>
      <c r="AO69" s="40"/>
      <c r="AP69" s="40"/>
      <c r="AQ69" s="40"/>
      <c r="AR69" s="40"/>
      <c r="AS69" s="41"/>
      <c r="AT69" s="41"/>
      <c r="AU69" s="60"/>
      <c r="AV69" s="60"/>
      <c r="AW69" s="60"/>
      <c r="AX69" s="60"/>
    </row>
    <row r="70" spans="2:51">
      <c r="B70" s="47" t="s">
        <v>119</v>
      </c>
      <c r="C70" s="115">
        <f ca="1">$P$48</f>
        <v>6.2596631781782932</v>
      </c>
      <c r="D70" s="48" t="str">
        <f ca="1">IF($P$48="N.A.","",IF(ABS($P$48)&gt;=1.5,"(&gt;= 1.5)",IF($P$48&lt;1,"(&lt;1.0)","(&lt; 1.5)")))</f>
        <v>(&gt;= 1.5)</v>
      </c>
      <c r="E70" s="242" t="str">
        <f ca="1">IF($P$48&lt;1,"ERROR!","")</f>
        <v/>
      </c>
      <c r="F70" s="24"/>
      <c r="G70" s="24"/>
      <c r="H70" s="24"/>
      <c r="I70" s="24"/>
      <c r="J70" s="24"/>
      <c r="K70" s="30"/>
      <c r="N70" s="58"/>
      <c r="O70" s="68" t="s">
        <v>124</v>
      </c>
      <c r="P70" s="61">
        <f ca="1">IF(AND($P$40&gt;0,$P$41=0),$P$69,IF(AND($P$40&lt;0,$P$41=0),$P$68,"N.A."))</f>
        <v>4.1118747807</v>
      </c>
      <c r="Q70" s="62" t="s">
        <v>42</v>
      </c>
      <c r="R70" s="68" t="s">
        <v>126</v>
      </c>
      <c r="S70" s="61">
        <f ca="1">IF(AND($P$40&gt;0,$P$41=0),$P$68,IF(AND($P$40&lt;0,$P$41=0),$P$69,"N.A."))</f>
        <v>1.5131249193</v>
      </c>
      <c r="T70" s="62" t="s">
        <v>42</v>
      </c>
      <c r="U70" s="40"/>
      <c r="Y70" s="60"/>
      <c r="Z70" s="60"/>
      <c r="AA70" s="40"/>
      <c r="AB70" s="40"/>
      <c r="AC70" s="40"/>
      <c r="AD70" s="41"/>
      <c r="AE70" s="41"/>
      <c r="AF70" s="41"/>
      <c r="AG70" s="41"/>
      <c r="AH70" s="40"/>
      <c r="AI70" s="40"/>
      <c r="AJ70" s="40"/>
      <c r="AK70" s="40"/>
      <c r="AL70" s="40"/>
      <c r="AM70" s="40"/>
      <c r="AN70" s="40"/>
      <c r="AO70" s="40"/>
      <c r="AP70" s="40"/>
      <c r="AQ70" s="40"/>
      <c r="AR70" s="40"/>
      <c r="AS70" s="41"/>
      <c r="AT70" s="41"/>
      <c r="AU70" s="60"/>
      <c r="AV70" s="60"/>
      <c r="AW70" s="60"/>
      <c r="AX70" s="60"/>
    </row>
    <row r="71" spans="2:51">
      <c r="B71" s="23"/>
      <c r="C71" s="24"/>
      <c r="D71" s="24"/>
      <c r="E71" s="24"/>
      <c r="F71" s="24"/>
      <c r="G71" s="24"/>
      <c r="H71" s="24"/>
      <c r="I71" s="24"/>
      <c r="J71" s="24"/>
      <c r="K71" s="30"/>
      <c r="N71" s="58"/>
      <c r="O71" s="68" t="s">
        <v>125</v>
      </c>
      <c r="P71" s="61">
        <f ca="1">IF(AND($P$40&gt;0,$P$41=0),$P$69,IF(AND($P$40&lt;0,$P$41=0),$P$68,"N.A."))</f>
        <v>4.1118747807</v>
      </c>
      <c r="Q71" s="62" t="s">
        <v>42</v>
      </c>
      <c r="R71" s="68" t="s">
        <v>127</v>
      </c>
      <c r="S71" s="61">
        <f ca="1">IF(AND($P$40&gt;0,$P$41=0),$P$68,IF(AND($P$40&lt;0,$P$41=0),$P$69,"N.A."))</f>
        <v>1.5131249193</v>
      </c>
      <c r="T71" s="62" t="s">
        <v>42</v>
      </c>
      <c r="U71" s="40"/>
      <c r="Y71" s="60"/>
      <c r="Z71" s="60"/>
      <c r="AA71" s="40"/>
      <c r="AB71" s="40"/>
      <c r="AC71" s="40"/>
      <c r="AD71" s="41"/>
      <c r="AE71" s="41"/>
      <c r="AF71" s="41"/>
      <c r="AG71" s="41"/>
      <c r="AH71" s="40"/>
      <c r="AI71" s="40"/>
      <c r="AJ71" s="40"/>
      <c r="AK71" s="40"/>
      <c r="AL71" s="40"/>
      <c r="AM71" s="40"/>
      <c r="AN71" s="40"/>
      <c r="AO71" s="40"/>
      <c r="AP71" s="40"/>
      <c r="AQ71" s="40"/>
      <c r="AR71" s="40"/>
      <c r="AS71" s="41"/>
      <c r="AT71" s="41"/>
      <c r="AU71" s="60"/>
      <c r="AV71" s="60"/>
      <c r="AW71" s="60"/>
      <c r="AX71" s="60"/>
    </row>
    <row r="72" spans="2:51">
      <c r="B72" s="45" t="s">
        <v>325</v>
      </c>
      <c r="C72" s="24"/>
      <c r="D72" s="24"/>
      <c r="E72" s="24"/>
      <c r="F72" s="155" t="s">
        <v>219</v>
      </c>
      <c r="G72" s="144" t="s">
        <v>220</v>
      </c>
      <c r="H72" s="24"/>
      <c r="I72" s="24"/>
      <c r="J72" s="24"/>
      <c r="K72" s="30"/>
      <c r="N72" s="58"/>
      <c r="O72" s="68" t="s">
        <v>132</v>
      </c>
      <c r="P72" s="61" t="str">
        <f ca="1">IF(AND($P$41=0,$P$40&lt;&gt;0),IF(ABS($P$40)&lt;=$D$11/6,$D$11,3*($D$11/2-ABS($P$40))),"N.A.")</f>
        <v>10,0000</v>
      </c>
      <c r="Q72" s="62" t="s">
        <v>41</v>
      </c>
      <c r="U72" s="40"/>
      <c r="V72" s="73"/>
      <c r="W72" s="73"/>
      <c r="Y72" s="60"/>
      <c r="Z72" s="60"/>
      <c r="AA72" s="40"/>
      <c r="AB72" s="40"/>
      <c r="AC72" s="40"/>
      <c r="AD72" s="41"/>
      <c r="AE72" s="41"/>
      <c r="AF72" s="41"/>
      <c r="AG72" s="41"/>
      <c r="AH72" s="40"/>
      <c r="AI72" s="40"/>
      <c r="AJ72" s="40"/>
      <c r="AK72" s="40"/>
      <c r="AL72" s="40"/>
      <c r="AM72" s="40"/>
      <c r="AN72" s="40"/>
      <c r="AO72" s="40"/>
      <c r="AP72" s="40"/>
      <c r="AQ72" s="40"/>
      <c r="AR72" s="40"/>
      <c r="AS72" s="41"/>
      <c r="AT72" s="41"/>
      <c r="AU72" s="60"/>
      <c r="AV72" s="60"/>
      <c r="AW72" s="60"/>
      <c r="AX72" s="60"/>
    </row>
    <row r="73" spans="2:51">
      <c r="B73" s="220" t="s">
        <v>329</v>
      </c>
      <c r="C73" s="113">
        <f ca="1">$P$50</f>
        <v>8.0255548227799984</v>
      </c>
      <c r="D73" s="34" t="s">
        <v>66</v>
      </c>
      <c r="E73" s="24"/>
      <c r="F73" s="24"/>
      <c r="G73" s="156" t="s">
        <v>221</v>
      </c>
      <c r="H73" s="24"/>
      <c r="I73" s="24"/>
      <c r="J73" s="24"/>
      <c r="K73" s="30"/>
      <c r="N73" s="58"/>
      <c r="O73" s="68" t="s">
        <v>135</v>
      </c>
      <c r="P73" s="61" t="str">
        <f ca="1">IF(AND($P$41=0,$P$40&lt;&gt;0),$D$12,"N.A.")</f>
        <v>8,0000</v>
      </c>
      <c r="Q73" s="62" t="s">
        <v>41</v>
      </c>
      <c r="U73" s="40"/>
      <c r="V73" s="73"/>
      <c r="W73" s="73"/>
      <c r="Y73" s="60"/>
      <c r="Z73" s="60"/>
      <c r="AA73" s="40"/>
      <c r="AB73" s="40"/>
      <c r="AC73" s="40"/>
      <c r="AD73" s="41"/>
      <c r="AE73" s="41"/>
      <c r="AF73" s="41"/>
      <c r="AG73" s="41"/>
      <c r="AH73" s="40"/>
      <c r="AI73" s="40"/>
      <c r="AJ73" s="40"/>
      <c r="AK73" s="40"/>
      <c r="AL73" s="40"/>
      <c r="AM73" s="40"/>
      <c r="AN73" s="40"/>
      <c r="AO73" s="40"/>
      <c r="AP73" s="40"/>
      <c r="AQ73" s="40"/>
      <c r="AR73" s="40"/>
      <c r="AS73" s="41"/>
      <c r="AT73" s="41"/>
      <c r="AU73" s="60"/>
      <c r="AV73" s="60"/>
      <c r="AW73" s="60"/>
      <c r="AX73" s="60"/>
    </row>
    <row r="74" spans="2:51">
      <c r="B74" s="220" t="s">
        <v>330</v>
      </c>
      <c r="C74" s="239">
        <f ca="1">$P$51</f>
        <v>60.759996640000004</v>
      </c>
      <c r="D74" s="34" t="s">
        <v>66</v>
      </c>
      <c r="E74" s="24"/>
      <c r="F74" s="24"/>
      <c r="G74" s="143"/>
      <c r="H74" s="24"/>
      <c r="I74" s="24"/>
      <c r="J74" s="24"/>
      <c r="K74" s="30"/>
      <c r="N74" s="58"/>
      <c r="O74" s="68" t="s">
        <v>179</v>
      </c>
      <c r="P74" s="79">
        <f ca="1">IF(AND($P$41=0,$P$40&lt;&gt;0),$P$72*$P$73/($D$11*$D$12)*100,"N.A.")</f>
        <v>100</v>
      </c>
      <c r="Q74" s="76" t="s">
        <v>152</v>
      </c>
      <c r="R74" s="62" t="s">
        <v>195</v>
      </c>
      <c r="W74" s="73"/>
      <c r="Y74" s="60"/>
      <c r="Z74" s="60"/>
      <c r="AA74" s="40"/>
      <c r="AB74" s="40"/>
      <c r="AC74" s="40"/>
      <c r="AD74" s="41"/>
      <c r="AE74" s="41"/>
      <c r="AF74" s="41"/>
      <c r="AG74" s="41"/>
      <c r="AH74" s="40"/>
      <c r="AI74" s="40"/>
      <c r="AJ74" s="40"/>
      <c r="AK74" s="40"/>
      <c r="AL74" s="40"/>
      <c r="AM74" s="40"/>
      <c r="AN74" s="40"/>
      <c r="AO74" s="40"/>
      <c r="AP74" s="40"/>
      <c r="AQ74" s="40"/>
      <c r="AR74" s="40"/>
      <c r="AS74" s="41"/>
      <c r="AT74" s="41"/>
      <c r="AU74" s="60"/>
      <c r="AV74" s="60"/>
      <c r="AW74" s="60"/>
      <c r="AX74" s="60"/>
    </row>
    <row r="75" spans="2:51">
      <c r="B75" s="47" t="s">
        <v>326</v>
      </c>
      <c r="C75" s="111" t="str">
        <f ca="1">$P$52</f>
        <v>N.A.</v>
      </c>
      <c r="D75" s="48" t="str">
        <f ca="1">IF($P$52="N.A.","",IF(ABS($P$52)&gt;=1.5,"(&gt;= 1.5)",IF($P$52&lt;1,"(&lt;1.0)","(&lt; 1.5)")))</f>
        <v/>
      </c>
      <c r="E75" s="243" t="str">
        <f ca="1">IF($P$52&lt;1,"ERROR!","")</f>
        <v/>
      </c>
      <c r="F75" s="24"/>
      <c r="G75" s="143"/>
      <c r="H75" s="24"/>
      <c r="I75" s="24"/>
      <c r="J75" s="143"/>
      <c r="K75" s="30"/>
      <c r="N75" s="58"/>
      <c r="O75" s="84" t="s">
        <v>133</v>
      </c>
      <c r="P75" s="85"/>
      <c r="Q75" s="40"/>
      <c r="R75" s="40"/>
      <c r="S75" s="40"/>
      <c r="T75" s="40"/>
      <c r="U75" s="40"/>
      <c r="V75" s="73"/>
      <c r="W75" s="73"/>
      <c r="Y75" s="60"/>
      <c r="Z75" s="60"/>
      <c r="AA75" s="40"/>
      <c r="AB75" s="40"/>
      <c r="AC75" s="40"/>
      <c r="AD75" s="41"/>
      <c r="AE75" s="41"/>
      <c r="AF75" s="41"/>
      <c r="AG75" s="41"/>
      <c r="AH75" s="40"/>
      <c r="AI75" s="40"/>
      <c r="AJ75" s="40"/>
      <c r="AK75" s="40"/>
      <c r="AL75" s="40"/>
      <c r="AM75" s="40"/>
      <c r="AN75" s="40"/>
      <c r="AO75" s="40"/>
      <c r="AP75" s="40"/>
      <c r="AQ75" s="40"/>
      <c r="AR75" s="40"/>
      <c r="AS75" s="41"/>
      <c r="AT75" s="41"/>
      <c r="AU75" s="60"/>
      <c r="AV75" s="60"/>
      <c r="AW75" s="60"/>
      <c r="AX75" s="60"/>
    </row>
    <row r="76" spans="2:51">
      <c r="B76" s="220" t="s">
        <v>328</v>
      </c>
      <c r="C76" s="239">
        <f ca="1">$P$53</f>
        <v>10.031943528474997</v>
      </c>
      <c r="D76" s="34" t="s">
        <v>66</v>
      </c>
      <c r="E76" s="242"/>
      <c r="F76" s="24"/>
      <c r="G76" s="24"/>
      <c r="H76" s="24"/>
      <c r="I76" s="24"/>
      <c r="J76" s="24"/>
      <c r="K76" s="30"/>
      <c r="N76" s="58"/>
      <c r="O76" s="68" t="s">
        <v>130</v>
      </c>
      <c r="P76" s="61" t="str">
        <f ca="1">IF(AND($P$40=0,$P$41&lt;&gt;0),IF(ABS($P$41)&lt;=$D$12/6,$P$38/($D$11*$D$12)*(1+6*ABS($P$41)/$D$12),2*$P$38/(3*$D$11*($D$12/2-ABS($P$41)))),"N.A.")</f>
        <v>N.A.</v>
      </c>
      <c r="Q76" s="62" t="s">
        <v>42</v>
      </c>
      <c r="U76" s="40"/>
      <c r="V76" s="73"/>
      <c r="W76" s="73"/>
      <c r="Y76" s="60"/>
      <c r="Z76" s="60"/>
      <c r="AA76" s="40"/>
      <c r="AB76" s="40"/>
      <c r="AC76" s="40"/>
      <c r="AD76" s="41"/>
      <c r="AE76" s="41"/>
      <c r="AF76" s="41"/>
      <c r="AG76" s="41"/>
      <c r="AH76" s="40"/>
      <c r="AI76" s="40"/>
      <c r="AJ76" s="40"/>
      <c r="AK76" s="40"/>
      <c r="AL76" s="40"/>
      <c r="AM76" s="40"/>
      <c r="AN76" s="40"/>
      <c r="AO76" s="40"/>
      <c r="AP76" s="40"/>
      <c r="AQ76" s="40"/>
      <c r="AR76" s="40"/>
      <c r="AS76" s="41"/>
      <c r="AT76" s="41"/>
      <c r="AU76" s="60"/>
      <c r="AV76" s="60"/>
      <c r="AW76" s="60"/>
      <c r="AX76" s="60"/>
    </row>
    <row r="77" spans="2:51">
      <c r="B77" s="220" t="s">
        <v>332</v>
      </c>
      <c r="C77" s="239">
        <f ca="1">$P$54</f>
        <v>60.759996640000004</v>
      </c>
      <c r="D77" s="34" t="s">
        <v>66</v>
      </c>
      <c r="E77" s="24"/>
      <c r="F77" s="24"/>
      <c r="G77" s="24"/>
      <c r="H77" s="24"/>
      <c r="I77" s="24"/>
      <c r="J77" s="24"/>
      <c r="K77" s="30"/>
      <c r="N77" s="58"/>
      <c r="O77" s="68" t="s">
        <v>131</v>
      </c>
      <c r="P77" s="61" t="str">
        <f ca="1">IF(AND($P$40=0,$P$41&lt;&gt;0),IF(ABS($P$41)&lt;=$D$12/6,$P$38/($D$11*$D$12)*(1-6*ABS($P$41)/$D$12),0),"N.A.")</f>
        <v>N.A.</v>
      </c>
      <c r="Q77" s="62" t="s">
        <v>42</v>
      </c>
      <c r="U77" s="40"/>
      <c r="V77" s="73"/>
      <c r="W77" s="73"/>
      <c r="Y77" s="60"/>
      <c r="Z77" s="60"/>
      <c r="AA77" s="40"/>
      <c r="AB77" s="40"/>
      <c r="AC77" s="40"/>
      <c r="AD77" s="41"/>
      <c r="AE77" s="41"/>
      <c r="AF77" s="41"/>
      <c r="AG77" s="41"/>
      <c r="AH77" s="40"/>
      <c r="AI77" s="40"/>
      <c r="AJ77" s="40"/>
      <c r="AK77" s="40"/>
      <c r="AL77" s="40"/>
      <c r="AM77" s="40"/>
      <c r="AN77" s="40"/>
      <c r="AO77" s="40"/>
      <c r="AP77" s="40"/>
      <c r="AQ77" s="40"/>
      <c r="AR77" s="40"/>
      <c r="AS77" s="41"/>
      <c r="AT77" s="41"/>
      <c r="AU77" s="60"/>
      <c r="AV77" s="60"/>
      <c r="AW77" s="60"/>
      <c r="AX77" s="60"/>
    </row>
    <row r="78" spans="2:51">
      <c r="B78" s="47" t="s">
        <v>327</v>
      </c>
      <c r="C78" s="112" t="str">
        <f>$P$55</f>
        <v>N.A.</v>
      </c>
      <c r="D78" s="48" t="str">
        <f>IF($P$55="N.A.","",IF(ABS($P$55)&gt;=1.5,"(&gt;= 1.5)",IF($P$55&lt;1,"(&lt;1.0)","(&lt; 1.5)")))</f>
        <v/>
      </c>
      <c r="E78" s="243" t="str">
        <f>IF($P$55&lt;1,"ERROR!","")</f>
        <v/>
      </c>
      <c r="F78" s="24"/>
      <c r="G78" s="24"/>
      <c r="H78" s="24"/>
      <c r="I78" s="24"/>
      <c r="J78" s="143"/>
      <c r="K78" s="30"/>
      <c r="N78" s="58"/>
      <c r="O78" s="68" t="s">
        <v>124</v>
      </c>
      <c r="P78" s="61" t="str">
        <f ca="1">IF(AND($P$41&gt;0,$P$40=0),$P$76,IF(AND($P$41&lt;0,$P$40=0),$P$77,"N.A."))</f>
        <v>N.A.</v>
      </c>
      <c r="Q78" s="62" t="s">
        <v>42</v>
      </c>
      <c r="R78" s="68" t="s">
        <v>126</v>
      </c>
      <c r="S78" s="61" t="str">
        <f ca="1">IF(AND($P$41&gt;0,$P$40=0),$P$76,IF(AND($P$41&lt;0,$P$40=0),$P$77,"N.A."))</f>
        <v>N.A.</v>
      </c>
      <c r="T78" s="62" t="s">
        <v>42</v>
      </c>
      <c r="U78" s="40"/>
      <c r="Y78" s="60"/>
      <c r="Z78" s="60"/>
      <c r="AA78" s="40"/>
      <c r="AB78" s="40"/>
      <c r="AC78" s="40"/>
      <c r="AD78" s="41"/>
      <c r="AE78" s="41"/>
      <c r="AF78" s="41"/>
      <c r="AG78" s="41"/>
      <c r="AH78" s="40"/>
      <c r="AI78" s="40"/>
      <c r="AJ78" s="40"/>
      <c r="AK78" s="40"/>
      <c r="AL78" s="40"/>
      <c r="AM78" s="40"/>
      <c r="AN78" s="40"/>
      <c r="AO78" s="40"/>
      <c r="AP78" s="40"/>
      <c r="AQ78" s="40"/>
      <c r="AR78" s="40"/>
      <c r="AS78" s="41"/>
      <c r="AT78" s="41"/>
      <c r="AU78" s="60"/>
      <c r="AV78" s="60"/>
      <c r="AW78" s="60"/>
      <c r="AX78" s="60"/>
    </row>
    <row r="79" spans="2:51">
      <c r="B79" s="23"/>
      <c r="C79" s="24"/>
      <c r="D79" s="24"/>
      <c r="E79" s="24"/>
      <c r="F79" s="24"/>
      <c r="G79" s="24"/>
      <c r="H79" s="24"/>
      <c r="I79" s="24"/>
      <c r="J79" s="143"/>
      <c r="K79" s="30"/>
      <c r="N79" s="58"/>
      <c r="O79" s="68" t="s">
        <v>125</v>
      </c>
      <c r="P79" s="61" t="str">
        <f ca="1">IF(AND($P$41&gt;0,$P$40=0),$P$77,IF(AND($P$41&lt;0,$P$40=0),$P$76,"N.A."))</f>
        <v>N.A.</v>
      </c>
      <c r="Q79" s="62" t="s">
        <v>42</v>
      </c>
      <c r="R79" s="68" t="s">
        <v>127</v>
      </c>
      <c r="S79" s="61" t="str">
        <f ca="1">IF(AND($P$41&gt;0,$P$40=0),$P$77,IF(AND($P$41&lt;0,$P$40=0),$P$76,"N.A."))</f>
        <v>N.A.</v>
      </c>
      <c r="T79" s="62" t="s">
        <v>42</v>
      </c>
      <c r="U79" s="40"/>
      <c r="Y79" s="60"/>
      <c r="Z79" s="60"/>
      <c r="AA79" s="40"/>
      <c r="AB79" s="40"/>
      <c r="AC79" s="40"/>
      <c r="AD79" s="41"/>
      <c r="AE79" s="41"/>
      <c r="AF79" s="41"/>
      <c r="AG79" s="41"/>
      <c r="AH79" s="40"/>
      <c r="AI79" s="40"/>
      <c r="AJ79" s="40"/>
      <c r="AK79" s="40"/>
      <c r="AL79" s="40"/>
      <c r="AM79" s="40"/>
      <c r="AN79" s="40"/>
      <c r="AO79" s="40"/>
      <c r="AP79" s="40"/>
      <c r="AQ79" s="40"/>
      <c r="AR79" s="40"/>
      <c r="AS79" s="41"/>
      <c r="AT79" s="41"/>
      <c r="AU79" s="60"/>
      <c r="AV79" s="60"/>
      <c r="AW79" s="60"/>
      <c r="AX79" s="60"/>
      <c r="AY79" s="24"/>
    </row>
    <row r="80" spans="2:51">
      <c r="B80" s="46" t="s">
        <v>113</v>
      </c>
      <c r="C80" s="41"/>
      <c r="D80" s="37"/>
      <c r="E80" s="24"/>
      <c r="F80" s="24"/>
      <c r="G80" s="24"/>
      <c r="H80" s="24"/>
      <c r="I80" s="24"/>
      <c r="J80" s="24"/>
      <c r="K80" s="30"/>
      <c r="N80" s="58"/>
      <c r="O80" s="68" t="s">
        <v>132</v>
      </c>
      <c r="P80" s="60" t="str">
        <f ca="1">IF(AND($P$40=0,$P$41&lt;&gt;0),$D$11,"N.A.")</f>
        <v>N.A.</v>
      </c>
      <c r="Q80" s="62" t="s">
        <v>41</v>
      </c>
      <c r="V80" s="73"/>
      <c r="W80" s="73"/>
      <c r="Y80" s="60"/>
      <c r="Z80" s="60"/>
      <c r="AA80" s="40"/>
      <c r="AB80" s="40"/>
      <c r="AC80" s="40"/>
      <c r="AD80" s="41"/>
      <c r="AE80" s="41"/>
      <c r="AF80" s="41"/>
      <c r="AG80" s="41"/>
      <c r="AH80" s="40"/>
      <c r="AI80" s="40"/>
      <c r="AJ80" s="40"/>
      <c r="AK80" s="40"/>
      <c r="AL80" s="40"/>
      <c r="AM80" s="40"/>
      <c r="AN80" s="40"/>
      <c r="AO80" s="40"/>
      <c r="AP80" s="40"/>
      <c r="AQ80" s="40"/>
      <c r="AR80" s="40"/>
      <c r="AS80" s="41"/>
      <c r="AT80" s="41"/>
      <c r="AU80" s="60"/>
      <c r="AV80" s="60"/>
      <c r="AW80" s="60"/>
      <c r="AX80" s="60"/>
      <c r="AY80" s="24"/>
    </row>
    <row r="81" spans="2:51">
      <c r="B81" s="38" t="s">
        <v>241</v>
      </c>
      <c r="C81" s="113">
        <f ca="1">-$P$57</f>
        <v>-216.999988</v>
      </c>
      <c r="D81" s="37" t="s">
        <v>66</v>
      </c>
      <c r="E81" s="24"/>
      <c r="F81" s="24"/>
      <c r="G81" s="24"/>
      <c r="H81" s="24"/>
      <c r="I81" s="24"/>
      <c r="J81" s="24"/>
      <c r="K81" s="30"/>
      <c r="N81" s="58"/>
      <c r="O81" s="68" t="s">
        <v>135</v>
      </c>
      <c r="P81" s="61" t="str">
        <f ca="1">IF(AND($P$40=0,$P$41&lt;&gt;0),IF(ABS($P$41)&lt;=$D$12/6,$D$12,3*($D$12/2-ABS($P$41))),"N.A.")</f>
        <v>N.A.</v>
      </c>
      <c r="Q81" s="62" t="s">
        <v>41</v>
      </c>
      <c r="U81" s="40"/>
      <c r="V81" s="73"/>
      <c r="W81" s="73"/>
      <c r="Y81" s="60"/>
      <c r="Z81" s="60"/>
      <c r="AA81" s="40"/>
      <c r="AB81" s="40"/>
      <c r="AC81" s="40"/>
      <c r="AD81" s="41"/>
      <c r="AE81" s="41"/>
      <c r="AF81" s="41"/>
      <c r="AG81" s="41"/>
      <c r="AH81" s="40"/>
      <c r="AI81" s="40"/>
      <c r="AJ81" s="40"/>
      <c r="AK81" s="40"/>
      <c r="AL81" s="40"/>
      <c r="AM81" s="40"/>
      <c r="AN81" s="40"/>
      <c r="AO81" s="40"/>
      <c r="AP81" s="40"/>
      <c r="AQ81" s="40"/>
      <c r="AR81" s="40"/>
      <c r="AS81" s="41"/>
      <c r="AT81" s="41"/>
      <c r="AU81" s="60"/>
      <c r="AV81" s="60"/>
      <c r="AW81" s="60"/>
      <c r="AX81" s="60"/>
      <c r="AY81" s="24"/>
    </row>
    <row r="82" spans="2:51">
      <c r="B82" s="38" t="s">
        <v>242</v>
      </c>
      <c r="C82" s="114">
        <f ca="1">$P$58</f>
        <v>0</v>
      </c>
      <c r="D82" s="48" t="s">
        <v>66</v>
      </c>
      <c r="E82" s="24"/>
      <c r="F82" s="24"/>
      <c r="G82" s="24"/>
      <c r="H82" s="24"/>
      <c r="I82" s="24"/>
      <c r="J82" s="24"/>
      <c r="K82" s="30"/>
      <c r="N82" s="58"/>
      <c r="O82" s="68" t="s">
        <v>179</v>
      </c>
      <c r="P82" s="58" t="str">
        <f ca="1">IF(AND($P$40=0,$P$41&lt;&gt;0),$P$80*$P$81/($D$11*$D$12)*100,"N.A.")</f>
        <v>N.A.</v>
      </c>
      <c r="Q82" s="76" t="s">
        <v>152</v>
      </c>
      <c r="R82" s="62" t="s">
        <v>195</v>
      </c>
      <c r="W82" s="73"/>
      <c r="Y82" s="60"/>
      <c r="Z82" s="60"/>
      <c r="AA82" s="40"/>
      <c r="AB82" s="40"/>
      <c r="AC82" s="40"/>
      <c r="AD82" s="41"/>
      <c r="AE82" s="41"/>
      <c r="AF82" s="41"/>
      <c r="AG82" s="41"/>
      <c r="AH82" s="40"/>
      <c r="AI82" s="40"/>
      <c r="AJ82" s="40"/>
      <c r="AK82" s="40"/>
      <c r="AL82" s="40"/>
      <c r="AM82" s="40"/>
      <c r="AN82" s="40"/>
      <c r="AO82" s="40"/>
      <c r="AP82" s="40"/>
      <c r="AQ82" s="40"/>
      <c r="AR82" s="40"/>
      <c r="AS82" s="41"/>
      <c r="AT82" s="41"/>
      <c r="AU82" s="60"/>
      <c r="AV82" s="60"/>
      <c r="AW82" s="60"/>
      <c r="AX82" s="60"/>
      <c r="AY82" s="24"/>
    </row>
    <row r="83" spans="2:51">
      <c r="B83" s="47" t="s">
        <v>114</v>
      </c>
      <c r="C83" s="115" t="str">
        <f ca="1">$P$59</f>
        <v>N.A.</v>
      </c>
      <c r="D83" s="48" t="str">
        <f ca="1">IF($P$59="N.A.","",IF(ABS($P$59)&gt;=1.5,"(&gt;= 1.5)",IF($P$59&lt;1,"(&lt;1.0)","(&lt; 1.5)")))</f>
        <v/>
      </c>
      <c r="E83" s="243" t="str">
        <f ca="1">IF($P$59&lt;1,"ERROR!","")</f>
        <v/>
      </c>
      <c r="F83" s="24"/>
      <c r="G83" s="24"/>
      <c r="H83" s="24"/>
      <c r="I83" s="24"/>
      <c r="J83" s="24"/>
      <c r="K83" s="30"/>
      <c r="N83" s="58"/>
      <c r="O83" s="84" t="s">
        <v>134</v>
      </c>
      <c r="P83" s="85"/>
      <c r="Q83" s="40"/>
      <c r="R83" s="40"/>
      <c r="S83" s="40"/>
      <c r="T83" s="40"/>
      <c r="U83" s="40"/>
      <c r="V83" s="73"/>
      <c r="W83" s="73"/>
      <c r="Y83" s="60"/>
      <c r="Z83" s="60"/>
      <c r="AA83" s="40"/>
      <c r="AB83" s="40"/>
      <c r="AC83" s="40"/>
      <c r="AD83" s="41"/>
      <c r="AE83" s="41"/>
      <c r="AF83" s="41"/>
      <c r="AG83" s="41"/>
      <c r="AH83" s="40"/>
      <c r="AI83" s="40"/>
      <c r="AJ83" s="40"/>
      <c r="AK83" s="40"/>
      <c r="AL83" s="40"/>
      <c r="AM83" s="40"/>
      <c r="AN83" s="40"/>
      <c r="AO83" s="40"/>
      <c r="AP83" s="40"/>
      <c r="AQ83" s="40"/>
      <c r="AR83" s="40"/>
      <c r="AS83" s="41"/>
      <c r="AT83" s="41"/>
      <c r="AU83" s="60"/>
      <c r="AV83" s="60"/>
      <c r="AW83" s="60"/>
      <c r="AX83" s="60"/>
      <c r="AY83" s="24"/>
    </row>
    <row r="84" spans="2:51">
      <c r="B84" s="23"/>
      <c r="C84" s="24"/>
      <c r="D84" s="24"/>
      <c r="E84" s="24"/>
      <c r="F84" s="24"/>
      <c r="G84" s="24"/>
      <c r="H84" s="24"/>
      <c r="I84" s="24"/>
      <c r="J84" s="24"/>
      <c r="K84" s="30"/>
      <c r="N84" s="58"/>
      <c r="O84" s="68" t="s">
        <v>67</v>
      </c>
      <c r="P84" s="60" t="str">
        <f ca="1">IF(AND($P$40&lt;&gt;0,$P$41&lt;&gt;0),(ABS(6*$P$40/$D$11)+ABS(6*$P$41/$D$12)),"N.A.")</f>
        <v>N.A.</v>
      </c>
      <c r="Q84" s="88" t="str">
        <f ca="1">IF(AND($P$40&lt;&gt;0,$P$41&lt;&gt;0),"ABS(6*ex/L)+ABS(6*ey/B)"&amp;IF($P$84&lt;=1," &lt;= 1.0"," &gt; 1.0"),"")</f>
        <v/>
      </c>
      <c r="R84" s="76"/>
      <c r="T84" s="40"/>
      <c r="U84" s="40"/>
      <c r="V84" s="73"/>
      <c r="W84" s="73"/>
      <c r="Y84" s="60"/>
      <c r="Z84" s="60"/>
      <c r="AA84" s="40"/>
      <c r="AB84" s="40"/>
      <c r="AC84" s="40"/>
      <c r="AD84" s="41"/>
      <c r="AE84" s="41"/>
      <c r="AF84" s="41"/>
      <c r="AG84" s="41"/>
      <c r="AH84" s="40"/>
      <c r="AI84" s="40"/>
      <c r="AJ84" s="40"/>
      <c r="AK84" s="40"/>
      <c r="AL84" s="40"/>
      <c r="AM84" s="40"/>
      <c r="AN84" s="40"/>
      <c r="AO84" s="40"/>
      <c r="AP84" s="40"/>
      <c r="AQ84" s="40"/>
      <c r="AR84" s="40"/>
      <c r="AS84" s="41"/>
      <c r="AT84" s="41"/>
      <c r="AU84" s="60"/>
      <c r="AV84" s="60"/>
      <c r="AW84" s="60"/>
      <c r="AX84" s="60"/>
      <c r="AY84" s="24"/>
    </row>
    <row r="85" spans="2:51">
      <c r="B85" s="32" t="s">
        <v>181</v>
      </c>
      <c r="C85" s="33"/>
      <c r="D85" s="33"/>
      <c r="E85" s="24"/>
      <c r="F85" s="155" t="s">
        <v>222</v>
      </c>
      <c r="G85" s="144" t="s">
        <v>220</v>
      </c>
      <c r="H85" s="24"/>
      <c r="I85" s="24"/>
      <c r="J85" s="24"/>
      <c r="K85" s="30"/>
      <c r="O85" s="68" t="s">
        <v>124</v>
      </c>
      <c r="P85" s="61" t="str">
        <f ca="1">IF(AND($P$40&lt;&gt;0,$P$41&lt;&gt;0),IF($P$84&lt;=1,$P$38/($D$11*$D$12)*(1-6*$P$40/$D$11+6*$P$41/$D$12),"N.A."),"N.A.")</f>
        <v>N.A.</v>
      </c>
      <c r="Q85" s="62" t="s">
        <v>42</v>
      </c>
      <c r="R85" s="68" t="s">
        <v>126</v>
      </c>
      <c r="S85" s="61" t="str">
        <f ca="1">IF(AND($P$40&lt;&gt;0,$P$41&lt;&gt;0),IF($P$84&lt;=1,$P$38/($D$11*$D$12)*(1+6*$P$40/$D$11+6*$P$41/$D$12),"N.A."),"N.A.")</f>
        <v>N.A.</v>
      </c>
      <c r="T85" s="62" t="s">
        <v>42</v>
      </c>
      <c r="U85" s="40"/>
      <c r="V85" s="73"/>
      <c r="W85" s="73"/>
      <c r="Y85" s="60"/>
      <c r="Z85" s="60"/>
      <c r="AA85" s="40"/>
      <c r="AB85" s="40"/>
      <c r="AC85" s="40"/>
      <c r="AD85" s="41"/>
      <c r="AE85" s="41"/>
      <c r="AF85" s="41"/>
      <c r="AG85" s="41"/>
      <c r="AH85" s="40"/>
      <c r="AI85" s="40"/>
      <c r="AJ85" s="40"/>
      <c r="AK85" s="40"/>
      <c r="AL85" s="40"/>
      <c r="AM85" s="40"/>
      <c r="AN85" s="40"/>
      <c r="AO85" s="40"/>
      <c r="AP85" s="40"/>
      <c r="AQ85" s="40"/>
      <c r="AR85" s="40"/>
      <c r="AS85" s="41"/>
      <c r="AT85" s="41"/>
      <c r="AU85" s="60"/>
      <c r="AV85" s="60"/>
      <c r="AW85" s="60"/>
      <c r="AX85" s="60"/>
      <c r="AY85" s="24"/>
    </row>
    <row r="86" spans="2:51">
      <c r="B86" s="147" t="s">
        <v>182</v>
      </c>
      <c r="C86" s="117" t="str">
        <f ca="1">IF(AND($P$40&lt;&gt;0,$P$41&lt;&gt;0,ABS(6*$P$40/$D$11)+ABS(6*$P$41/$D$12)&gt;1),$P$94,"N.A.")</f>
        <v>N.A.</v>
      </c>
      <c r="D86" s="49" t="s">
        <v>41</v>
      </c>
      <c r="E86" s="24"/>
      <c r="F86" s="24"/>
      <c r="G86" s="156" t="s">
        <v>223</v>
      </c>
      <c r="H86" s="24"/>
      <c r="I86" s="24"/>
      <c r="J86" s="24"/>
      <c r="K86" s="30"/>
      <c r="O86" s="68" t="s">
        <v>125</v>
      </c>
      <c r="P86" s="61" t="str">
        <f ca="1">IF(AND($P$40&lt;&gt;0,$P$41&lt;&gt;0),IF($P$84&lt;=1,$P$38/($D$11*$D$12)*(1-6*$P$40/$D$11+6*-$P$41/$D$12),"N.A."),"N.A.")</f>
        <v>N.A.</v>
      </c>
      <c r="Q86" s="62" t="s">
        <v>42</v>
      </c>
      <c r="R86" s="68" t="s">
        <v>127</v>
      </c>
      <c r="S86" s="61" t="str">
        <f ca="1">IF(AND($P$40&lt;&gt;0,$P$41&lt;&gt;0),IF($P$84&lt;=1,$P$38/($D$11*$D$12)*(1+6*$P$40/$D$11+6*-$P$41/$D$12),"N.A."),"N.A.")</f>
        <v>N.A.</v>
      </c>
      <c r="T86" s="62" t="s">
        <v>42</v>
      </c>
      <c r="U86" s="40"/>
      <c r="V86" s="73"/>
      <c r="Y86" s="60"/>
      <c r="Z86" s="60"/>
      <c r="AA86" s="40"/>
      <c r="AB86" s="40"/>
      <c r="AC86" s="40"/>
      <c r="AD86" s="41"/>
      <c r="AE86" s="41"/>
      <c r="AF86" s="41"/>
      <c r="AG86" s="41"/>
      <c r="AH86" s="40"/>
      <c r="AI86" s="40"/>
      <c r="AJ86" s="40"/>
      <c r="AK86" s="40"/>
      <c r="AL86" s="40"/>
      <c r="AM86" s="40"/>
      <c r="AN86" s="40"/>
      <c r="AO86" s="40"/>
      <c r="AP86" s="40"/>
      <c r="AQ86" s="40"/>
      <c r="AR86" s="40"/>
      <c r="AS86" s="41"/>
      <c r="AT86" s="41"/>
      <c r="AU86" s="60"/>
      <c r="AV86" s="60"/>
      <c r="AW86" s="60"/>
      <c r="AX86" s="60"/>
      <c r="AY86" s="24"/>
    </row>
    <row r="87" spans="2:51">
      <c r="B87" s="147" t="s">
        <v>183</v>
      </c>
      <c r="C87" s="116" t="str">
        <f ca="1">IF(AND($P$40&lt;&gt;0,$P$41&lt;&gt;0,ABS(6*$P$40/$D$11)+ABS(6*$P$41/$D$12)&gt;1),$P$95,"N.A.")</f>
        <v>N.A.</v>
      </c>
      <c r="D87" s="49" t="s">
        <v>41</v>
      </c>
      <c r="E87" s="24"/>
      <c r="F87" s="24"/>
      <c r="G87" s="143"/>
      <c r="H87" s="24"/>
      <c r="I87" s="24"/>
      <c r="J87" s="24"/>
      <c r="K87" s="30"/>
      <c r="O87" s="68" t="s">
        <v>132</v>
      </c>
      <c r="P87" s="61" t="str">
        <f ca="1">IF(AND($P$40&lt;&gt;0,$P$41&lt;&gt;0),IF($P$84&lt;=1,$D$11,"N.A."),"N.A.")</f>
        <v>N.A.</v>
      </c>
      <c r="Q87" s="62" t="s">
        <v>41</v>
      </c>
      <c r="R87" s="40"/>
      <c r="S87" s="40"/>
      <c r="T87" s="40"/>
      <c r="U87" s="40"/>
      <c r="V87" s="73"/>
      <c r="Y87" s="60"/>
      <c r="Z87" s="60"/>
      <c r="AA87" s="40"/>
      <c r="AB87" s="40"/>
      <c r="AC87" s="40"/>
      <c r="AD87" s="41"/>
      <c r="AE87" s="41"/>
      <c r="AF87" s="41"/>
      <c r="AG87" s="41"/>
      <c r="AH87" s="40"/>
      <c r="AI87" s="40"/>
      <c r="AJ87" s="40"/>
      <c r="AK87" s="40"/>
      <c r="AL87" s="40"/>
      <c r="AM87" s="40"/>
      <c r="AN87" s="40"/>
      <c r="AO87" s="40"/>
      <c r="AP87" s="40"/>
      <c r="AQ87" s="40"/>
      <c r="AR87" s="40"/>
      <c r="AS87" s="41"/>
      <c r="AT87" s="41"/>
      <c r="AU87" s="60"/>
      <c r="AV87" s="60"/>
      <c r="AW87" s="60"/>
      <c r="AX87" s="60"/>
      <c r="AY87" s="24"/>
    </row>
    <row r="88" spans="2:51">
      <c r="B88" s="147" t="str">
        <f ca="1">IF(AND($P$40=0,$P$41=0),"Brg. Lx =",IF(AND($P$40&lt;&gt;0,$P$41=0),"Brg. Lx =",IF(AND($P$40=0,$P$41&lt;&gt;0),"Brg. Lx =",IF(AND($P$40&lt;&gt;0,$P$41&lt;&gt;0,ABS(6*$P$40/$D$11)+ABS(6*$P$41/$D$12)&lt;=1),"Brg. Lx =",IF(AND($P$40&lt;&gt;0,$P$41&lt;&gt;0,ABS(6*$P$40/$D$11)+ABS(6*$P$41/$D$12)&gt;1),$O$96)))))</f>
        <v>Brg. Lx =</v>
      </c>
      <c r="C88" s="116" t="str">
        <f ca="1">IF(AND($P$40=0,$P$41=0),$P$64,IF(AND($P$40&lt;&gt;0,$P$41=0),$P$72,IF(AND($P$40=0,$P$41&lt;&gt;0),$P$80,IF(AND($P$40&lt;&gt;0,$P$41&lt;&gt;0,ABS(6*$P$40/$D$11)+ABS(6*$P$41/$D$12)&lt;=1),$P$87,IF(AND($P$40&lt;&gt;0,$P$41&lt;&gt;0,ABS(6*$P$40/$D$11)+ABS(6*$P$41/$D$12)&gt;1),$P$96)))))</f>
        <v>10,0000</v>
      </c>
      <c r="D88" s="49" t="s">
        <v>41</v>
      </c>
      <c r="E88" s="24"/>
      <c r="F88" s="24"/>
      <c r="G88" s="143"/>
      <c r="H88" s="24"/>
      <c r="I88" s="24"/>
      <c r="J88" s="143"/>
      <c r="K88" s="30"/>
      <c r="M88" s="119"/>
      <c r="O88" s="68" t="s">
        <v>135</v>
      </c>
      <c r="P88" s="61" t="str">
        <f ca="1">IF(AND($P$40&lt;&gt;0,$P$41&lt;&gt;0),IF($P$84&lt;=1,$D$12,"N.A."),"N.A.")</f>
        <v>N.A.</v>
      </c>
      <c r="Q88" s="62" t="s">
        <v>41</v>
      </c>
      <c r="S88" s="40"/>
      <c r="T88" s="40"/>
      <c r="U88" s="40"/>
      <c r="Y88" s="60"/>
      <c r="Z88" s="60"/>
      <c r="AA88" s="40"/>
      <c r="AB88" s="40"/>
      <c r="AC88" s="40"/>
      <c r="AD88" s="41"/>
      <c r="AE88" s="41"/>
      <c r="AF88" s="41"/>
      <c r="AG88" s="41"/>
      <c r="AH88" s="40"/>
      <c r="AI88" s="40"/>
      <c r="AJ88" s="40"/>
      <c r="AK88" s="40"/>
      <c r="AL88" s="40"/>
      <c r="AM88" s="40"/>
      <c r="AN88" s="40"/>
      <c r="AO88" s="40"/>
      <c r="AP88" s="40"/>
      <c r="AQ88" s="40"/>
      <c r="AR88" s="40"/>
      <c r="AS88" s="41"/>
      <c r="AT88" s="41"/>
      <c r="AU88" s="60"/>
      <c r="AV88" s="60"/>
      <c r="AW88" s="60"/>
      <c r="AX88" s="60"/>
      <c r="AY88" s="24"/>
    </row>
    <row r="89" spans="2:51">
      <c r="B89" s="147" t="str">
        <f ca="1">IF(AND($P$40=0,$P$41=0),"Brg. Ly =",IF(AND($P$40&lt;&gt;0,$P$41=0),"Brg. Ly =",IF(AND($P$40=0,$P$41&lt;&gt;0),"Brg. Ly =",IF(AND($P$40&lt;&gt;0,$P$41&lt;&gt;0,ABS(6*$P$40/$D$11)+ABS(6*$P$41/$D$12)&lt;=1),"Brg. Ly =",IF(AND($P$40&lt;&gt;0,$P$41&lt;&gt;0,ABS(6*$P$40/$D$11)+ABS(6*$P$41/$D$12)&gt;1),$O$97)))))</f>
        <v>Brg. Ly =</v>
      </c>
      <c r="C89" s="116" t="str">
        <f ca="1">IF(AND($P$40=0,$P$41=0),$P$65,IF(AND($P$40&lt;&gt;0,$P$41=0),$P$73,IF(AND($P$40=0,$P$41&lt;&gt;0),$P$81,IF(AND($P$40&lt;&gt;0,$P$41&lt;&gt;0,ABS(6*$P$40/$D$11)+ABS(6*$P$41/$D$12)&lt;=1),$P$88,IF(AND($P$40&lt;&gt;0,$P$41&lt;&gt;0,ABS(6*$P$40/$D$11)+ABS(6*$P$41/$D$12)&gt;1),$P$97)))))</f>
        <v>8,0000</v>
      </c>
      <c r="D89" s="49" t="s">
        <v>41</v>
      </c>
      <c r="E89" s="24"/>
      <c r="F89" s="24"/>
      <c r="G89" s="24"/>
      <c r="H89" s="24"/>
      <c r="I89" s="24"/>
      <c r="J89" s="24"/>
      <c r="K89" s="30"/>
      <c r="M89" s="119"/>
      <c r="O89" s="68" t="s">
        <v>179</v>
      </c>
      <c r="P89" s="61" t="str">
        <f ca="1">IF(AND($P$40&lt;&gt;0,$P$41&lt;&gt;0),IF($P$84&lt;=1,100,"N.A."),"N.A.")</f>
        <v>N.A.</v>
      </c>
      <c r="Q89" s="76" t="s">
        <v>152</v>
      </c>
      <c r="R89" s="62" t="s">
        <v>180</v>
      </c>
      <c r="Y89" s="60"/>
      <c r="Z89" s="60"/>
      <c r="AA89" s="40"/>
      <c r="AB89" s="40"/>
      <c r="AC89" s="40"/>
      <c r="AD89" s="41"/>
      <c r="AE89" s="41"/>
      <c r="AF89" s="41"/>
      <c r="AG89" s="41"/>
      <c r="AH89" s="40"/>
      <c r="AI89" s="40"/>
      <c r="AJ89" s="40"/>
      <c r="AK89" s="40"/>
      <c r="AL89" s="40"/>
      <c r="AM89" s="40"/>
      <c r="AN89" s="40"/>
      <c r="AO89" s="40"/>
      <c r="AP89" s="40"/>
      <c r="AQ89" s="40"/>
      <c r="AR89" s="40"/>
      <c r="AS89" s="41"/>
      <c r="AT89" s="41"/>
      <c r="AU89" s="60"/>
      <c r="AV89" s="60"/>
      <c r="AW89" s="60"/>
      <c r="AX89" s="60"/>
      <c r="AY89" s="24"/>
    </row>
    <row r="90" spans="2:51">
      <c r="B90" s="19" t="s">
        <v>178</v>
      </c>
      <c r="C90" s="114">
        <f ca="1">MAX($P$66,$P$74,$P$82,$P$89,$P$98)</f>
        <v>100</v>
      </c>
      <c r="D90" s="48" t="s">
        <v>152</v>
      </c>
      <c r="E90" s="24"/>
      <c r="F90" s="24"/>
      <c r="G90" s="24"/>
      <c r="H90" s="24"/>
      <c r="I90" s="24"/>
      <c r="J90" s="24"/>
      <c r="K90" s="30"/>
      <c r="M90" s="120"/>
      <c r="O90" s="84" t="s">
        <v>136</v>
      </c>
      <c r="P90" s="68"/>
      <c r="Q90" s="58"/>
      <c r="R90" s="71"/>
      <c r="S90" s="40"/>
      <c r="T90" s="40"/>
      <c r="Y90" s="60"/>
      <c r="Z90" s="60"/>
      <c r="AA90" s="40"/>
      <c r="AB90" s="40"/>
      <c r="AC90" s="40"/>
      <c r="AD90" s="41"/>
      <c r="AE90" s="41"/>
      <c r="AF90" s="41"/>
      <c r="AG90" s="41"/>
      <c r="AH90" s="40"/>
      <c r="AI90" s="40"/>
      <c r="AJ90" s="40"/>
      <c r="AK90" s="40"/>
      <c r="AL90" s="40"/>
      <c r="AM90" s="40"/>
      <c r="AN90" s="40"/>
      <c r="AO90" s="40"/>
      <c r="AP90" s="40"/>
      <c r="AQ90" s="40"/>
      <c r="AR90" s="40"/>
      <c r="AS90" s="41"/>
      <c r="AT90" s="41"/>
      <c r="AU90" s="60"/>
      <c r="AV90" s="60"/>
      <c r="AW90" s="60"/>
      <c r="AX90" s="60"/>
      <c r="AY90" s="24"/>
    </row>
    <row r="91" spans="2:51">
      <c r="B91" s="19" t="s">
        <v>337</v>
      </c>
      <c r="C91" s="246" t="str">
        <f ca="1">$P$99</f>
        <v>N.A.</v>
      </c>
      <c r="D91" s="48" t="str">
        <f ca="1">IF(AND($P$40&lt;&gt;0,$P$41&lt;&gt;0),"6*ex/L + 6*ey/B = "&amp;ROUND($P$91,3),"")</f>
        <v/>
      </c>
      <c r="E91" s="24"/>
      <c r="F91" s="24"/>
      <c r="G91" s="24"/>
      <c r="H91" s="24"/>
      <c r="I91" s="24"/>
      <c r="J91" s="24"/>
      <c r="K91" s="30"/>
      <c r="M91" s="120"/>
      <c r="N91" s="64"/>
      <c r="O91" s="68" t="s">
        <v>67</v>
      </c>
      <c r="P91" s="60" t="str">
        <f ca="1">IF(AND($P$40&lt;&gt;0,$P$41&lt;&gt;0),(ABS(6*$P$40/$D$11)+ABS(6*$P$41/$D$12)),"N.A.")</f>
        <v>N.A.</v>
      </c>
      <c r="Q91" s="88" t="str">
        <f ca="1">IF(AND($P$40&lt;&gt;0,$P$41&lt;&gt;0),"ABS(6*ex/L)+ABS(6*ey/B)"&amp;IF($P$91&lt;=1," &lt;= 1.0"," &gt; 1.0"),"")</f>
        <v/>
      </c>
      <c r="R91" s="76"/>
      <c r="S91" s="64"/>
      <c r="T91" s="61"/>
      <c r="U91" s="64"/>
      <c r="V91" s="64"/>
      <c r="Y91" s="60"/>
      <c r="Z91" s="60"/>
      <c r="AA91" s="40"/>
      <c r="AB91" s="40"/>
      <c r="AC91" s="40"/>
      <c r="AD91" s="41"/>
      <c r="AE91" s="41"/>
      <c r="AF91" s="41"/>
      <c r="AG91" s="41"/>
      <c r="AH91" s="40"/>
      <c r="AI91" s="40"/>
      <c r="AJ91" s="40"/>
      <c r="AK91" s="40"/>
      <c r="AL91" s="40"/>
      <c r="AM91" s="40"/>
      <c r="AN91" s="40"/>
      <c r="AO91" s="40"/>
      <c r="AP91" s="40"/>
      <c r="AQ91" s="40"/>
      <c r="AR91" s="40"/>
      <c r="AS91" s="41"/>
      <c r="AT91" s="41"/>
      <c r="AU91" s="60"/>
      <c r="AV91" s="60"/>
      <c r="AW91" s="60"/>
      <c r="AX91" s="60"/>
      <c r="AY91" s="24"/>
    </row>
    <row r="92" spans="2:51">
      <c r="B92" s="23"/>
      <c r="C92" s="24"/>
      <c r="D92" s="24"/>
      <c r="E92" s="24"/>
      <c r="F92" s="24"/>
      <c r="G92" s="24"/>
      <c r="H92" s="24"/>
      <c r="I92" s="24"/>
      <c r="J92" s="143"/>
      <c r="K92" s="30"/>
      <c r="M92" s="119"/>
      <c r="N92" s="64"/>
      <c r="O92" s="68" t="s">
        <v>124</v>
      </c>
      <c r="P92" s="61" t="str">
        <f ca="1">IF(AND($P$40&lt;&gt;0,$P$41&lt;&gt;0),IF($P$91&gt;1,$AW$36,"N.A."),"N.A.")</f>
        <v>N.A.</v>
      </c>
      <c r="Q92" s="62" t="s">
        <v>42</v>
      </c>
      <c r="R92" s="68" t="s">
        <v>126</v>
      </c>
      <c r="S92" s="61" t="str">
        <f ca="1">IF(AND($P$40&lt;&gt;0,$P$41&lt;&gt;0),IF($P$91&gt;1,$AV$36,"N.A."),"N.A.")</f>
        <v>N.A.</v>
      </c>
      <c r="T92" s="62" t="s">
        <v>42</v>
      </c>
      <c r="U92" s="64"/>
      <c r="V92" s="64"/>
      <c r="Y92" s="60"/>
      <c r="Z92" s="60"/>
      <c r="AA92" s="40"/>
      <c r="AB92" s="40"/>
      <c r="AC92" s="40"/>
      <c r="AD92" s="41"/>
      <c r="AE92" s="41"/>
      <c r="AF92" s="41"/>
      <c r="AG92" s="41"/>
      <c r="AH92" s="40"/>
      <c r="AI92" s="40"/>
      <c r="AJ92" s="40"/>
      <c r="AK92" s="40"/>
      <c r="AL92" s="40"/>
      <c r="AM92" s="40"/>
      <c r="AN92" s="40"/>
      <c r="AO92" s="40"/>
      <c r="AP92" s="40"/>
      <c r="AQ92" s="40"/>
      <c r="AR92" s="40"/>
      <c r="AS92" s="41"/>
      <c r="AT92" s="41"/>
      <c r="AU92" s="60"/>
      <c r="AV92" s="60"/>
      <c r="AW92" s="60"/>
      <c r="AX92" s="60"/>
      <c r="AY92" s="24"/>
    </row>
    <row r="93" spans="2:51">
      <c r="B93" s="32" t="s">
        <v>169</v>
      </c>
      <c r="C93" s="33"/>
      <c r="D93" s="33"/>
      <c r="E93" s="24"/>
      <c r="F93" s="24"/>
      <c r="G93" s="24"/>
      <c r="H93" s="24"/>
      <c r="I93" s="24"/>
      <c r="J93" s="143"/>
      <c r="K93" s="30"/>
      <c r="M93" s="119"/>
      <c r="N93" s="64"/>
      <c r="O93" s="68" t="s">
        <v>125</v>
      </c>
      <c r="P93" s="61" t="str">
        <f ca="1">IF(AND($P$40&lt;&gt;0,$P$41&lt;&gt;0),IF($P$91&gt;1,$AX$36,"N.A."),"N.A.")</f>
        <v>N.A.</v>
      </c>
      <c r="Q93" s="62" t="s">
        <v>42</v>
      </c>
      <c r="R93" s="68" t="s">
        <v>127</v>
      </c>
      <c r="S93" s="61" t="str">
        <f ca="1">IF(AND($P$40&lt;&gt;0,$P$41&lt;&gt;0),IF($P$91&gt;1,$AU$36,"N.A."),"N.A.")</f>
        <v>N.A.</v>
      </c>
      <c r="T93" s="62" t="s">
        <v>42</v>
      </c>
      <c r="U93" s="64"/>
      <c r="V93" s="64"/>
      <c r="Y93" s="60"/>
      <c r="Z93" s="60"/>
      <c r="AA93" s="40"/>
      <c r="AB93" s="40"/>
      <c r="AC93" s="40"/>
      <c r="AD93" s="41"/>
      <c r="AE93" s="41"/>
      <c r="AF93" s="41"/>
      <c r="AG93" s="41"/>
      <c r="AH93" s="40"/>
      <c r="AI93" s="40"/>
      <c r="AJ93" s="40"/>
      <c r="AK93" s="40"/>
      <c r="AL93" s="40"/>
      <c r="AM93" s="40"/>
      <c r="AN93" s="40"/>
      <c r="AO93" s="40"/>
      <c r="AP93" s="40"/>
      <c r="AQ93" s="40"/>
      <c r="AR93" s="40"/>
      <c r="AS93" s="41"/>
      <c r="AT93" s="41"/>
      <c r="AU93" s="60"/>
      <c r="AV93" s="60"/>
      <c r="AW93" s="60"/>
      <c r="AX93" s="60"/>
      <c r="AY93" s="24"/>
    </row>
    <row r="94" spans="2:51">
      <c r="B94" s="19" t="s">
        <v>367</v>
      </c>
      <c r="C94" s="117">
        <f ca="1">IF(AND($P$40=0,$P$41=0),$S$63,IF(AND($P$40&lt;&gt;0,$P$41=0),$S$71,IF(AND($P$40=0,$P$41&lt;&gt;0),$S$79,IF(AND($P$40&lt;&gt;0,$P$41&lt;&gt;0,ABS(6*$P$40/$D$11)+ABS(6*$P$41/$D$12)&lt;=1),$S$86,IF(AND($P$40&lt;&gt;0,$P$41&lt;&gt;0,ABS(6*$P$40/$D$11)+ABS(6*$P$41/$D$12)&gt;1),$S$93)))))</f>
        <v>1.5131249193</v>
      </c>
      <c r="D94" s="49" t="s">
        <v>42</v>
      </c>
      <c r="E94" s="97"/>
      <c r="F94" s="24"/>
      <c r="G94" s="24"/>
      <c r="H94" s="24"/>
      <c r="I94" s="24"/>
      <c r="J94" s="24"/>
      <c r="K94" s="30"/>
      <c r="M94" s="120"/>
      <c r="O94" s="68" t="s">
        <v>153</v>
      </c>
      <c r="P94" s="61" t="str">
        <f ca="1">IF(AND($P$40&lt;&gt;0,$P$41&lt;&gt;0),IF($P$91&gt;1,$AQ$36,"N.A."),"N.A.")</f>
        <v>N.A.</v>
      </c>
      <c r="Q94" s="62" t="s">
        <v>41</v>
      </c>
      <c r="R94" s="61"/>
      <c r="S94" s="61"/>
      <c r="T94" s="61"/>
      <c r="U94" s="64"/>
      <c r="V94" s="64"/>
      <c r="Y94" s="60"/>
      <c r="Z94" s="60"/>
      <c r="AA94" s="40"/>
      <c r="AB94" s="40"/>
      <c r="AC94" s="40"/>
      <c r="AD94" s="41"/>
      <c r="AE94" s="41"/>
      <c r="AF94" s="41"/>
      <c r="AG94" s="41"/>
      <c r="AH94" s="40"/>
      <c r="AI94" s="40"/>
      <c r="AJ94" s="40"/>
      <c r="AK94" s="40"/>
      <c r="AL94" s="40"/>
      <c r="AM94" s="40"/>
      <c r="AN94" s="40"/>
      <c r="AO94" s="40"/>
      <c r="AP94" s="40"/>
      <c r="AQ94" s="40"/>
      <c r="AR94" s="40"/>
      <c r="AS94" s="41"/>
      <c r="AT94" s="41"/>
      <c r="AU94" s="60"/>
      <c r="AV94" s="60"/>
      <c r="AW94" s="60"/>
      <c r="AX94" s="60"/>
      <c r="AY94" s="24"/>
    </row>
    <row r="95" spans="2:51">
      <c r="B95" s="19" t="s">
        <v>368</v>
      </c>
      <c r="C95" s="116">
        <f ca="1">IF(AND($P$40=0,$P$41=0),$S$62,IF(AND($P$40&lt;&gt;0,$P$41=0),$S$70,IF(AND($P$40=0,$P$41&lt;&gt;0),$S$78,IF(AND($P$40&lt;&gt;0,$P$41&lt;&gt;0,ABS(6*$P$40/$D$11)+ABS(6*$P$41/$D$12)&lt;=1),$S$85,IF(AND($P$40&lt;&gt;0,$P$41&lt;&gt;0,ABS(6*$P$40/$D$11)+ABS(6*$P$41/$D$12)&gt;1),$S$92)))))</f>
        <v>1.5131249193</v>
      </c>
      <c r="D95" s="49" t="s">
        <v>42</v>
      </c>
      <c r="E95" s="97"/>
      <c r="F95" s="24"/>
      <c r="G95" s="24"/>
      <c r="H95" s="24"/>
      <c r="I95" s="24"/>
      <c r="J95" s="24"/>
      <c r="K95" s="30"/>
      <c r="M95" s="120"/>
      <c r="O95" s="68" t="s">
        <v>154</v>
      </c>
      <c r="P95" s="61" t="str">
        <f ca="1">IF(AND($P$40&lt;&gt;0,$P$41&lt;&gt;0),IF($P$91&gt;1,$AR$36,"N.A."),"N.A.")</f>
        <v>N.A.</v>
      </c>
      <c r="Q95" s="62" t="s">
        <v>41</v>
      </c>
      <c r="R95" s="64"/>
      <c r="S95" s="61"/>
      <c r="T95" s="61"/>
      <c r="U95" s="64"/>
      <c r="V95" s="64"/>
      <c r="Y95" s="60"/>
      <c r="Z95" s="60"/>
      <c r="AA95" s="40"/>
      <c r="AB95" s="40"/>
      <c r="AC95" s="40"/>
      <c r="AD95" s="41"/>
      <c r="AE95" s="41"/>
      <c r="AF95" s="41"/>
      <c r="AG95" s="41"/>
      <c r="AH95" s="40"/>
      <c r="AI95" s="40"/>
      <c r="AJ95" s="40"/>
      <c r="AK95" s="40"/>
      <c r="AL95" s="40"/>
      <c r="AM95" s="40"/>
      <c r="AN95" s="40"/>
      <c r="AO95" s="40"/>
      <c r="AP95" s="40"/>
      <c r="AQ95" s="40"/>
      <c r="AR95" s="40"/>
      <c r="AS95" s="41"/>
      <c r="AT95" s="41"/>
      <c r="AU95" s="60"/>
      <c r="AV95" s="60"/>
      <c r="AW95" s="60"/>
      <c r="AX95" s="60"/>
      <c r="AY95" s="24"/>
    </row>
    <row r="96" spans="2:51">
      <c r="B96" s="19" t="s">
        <v>369</v>
      </c>
      <c r="C96" s="116">
        <f ca="1">IF(AND($P$40=0,$P$41=0),$P$62,IF(AND($P$40&lt;&gt;0,$P$41=0),$P$70,IF(AND($P$40=0,$P$41&lt;&gt;0),$P$78,IF(AND($P$40&lt;&gt;0,$P$41&lt;&gt;0,ABS(6*$P$40/$D$11)+ABS(6*$P$41/$D$12)&lt;=1),$P$85,IF(AND($P$40&lt;&gt;0,$P$41&lt;&gt;0,ABS(6*$P$40/$D$11)+ABS(6*$P$41/$D$12)&gt;1),$P$92)))))</f>
        <v>4.1118747807</v>
      </c>
      <c r="D96" s="49" t="s">
        <v>42</v>
      </c>
      <c r="E96" s="97"/>
      <c r="F96" s="24"/>
      <c r="G96" s="24"/>
      <c r="H96" s="24"/>
      <c r="I96" s="24"/>
      <c r="J96" s="24"/>
      <c r="K96" s="30"/>
      <c r="M96" s="119"/>
      <c r="O96" s="131" t="str">
        <f ca="1">IF(AND($P$94&gt;$D$11,$P$95&gt;$D$12),$O$101,IF(AND($P$94&gt;$D$11,$P$95&lt;=$D$12),$O$105,IF(AND($P$94&lt;=$D$11,$P$95&gt;$D$12),$O$109,IF(AND($P$94&lt;=$D$11,$P$95&lt;=$D$12),$O$113))))</f>
        <v>Brg. Lx =</v>
      </c>
      <c r="P96" s="60" t="str">
        <f ca="1">IF(AND($P$94&gt;$D$11,$P$95&gt;$D$12),$P$101,IF(AND($P$94&gt;$D$11,$P$95&lt;=$D$12),$P$105,IF(AND($P$94&lt;=$D$11,$P$95&gt;$D$12),$P$109,IF(AND($P$94&lt;=$D$11,$P$95&lt;=$D$12),$P$113))))</f>
        <v>N.A.</v>
      </c>
      <c r="Q96" s="62" t="s">
        <v>41</v>
      </c>
      <c r="R96" s="88" t="str">
        <f ca="1">IF(AND($P$94&gt;$D$11,$P$95&gt;$D$12),$R$101,IF(AND($P$94&gt;$D$11,$P$95&lt;=$D$12),$R$105,IF(AND($P$94&lt;=$D$11,$P$95&gt;$D$12),$R$109,IF(AND($P$94&lt;=$D$11,$P$95&lt;=$D$12),$R$113))))</f>
        <v>Brg. Lx = (dy-B)*(dx/dy)</v>
      </c>
      <c r="Y96" s="60"/>
      <c r="Z96" s="60"/>
      <c r="AA96" s="40"/>
      <c r="AB96" s="40"/>
      <c r="AC96" s="40"/>
      <c r="AD96" s="41"/>
      <c r="AE96" s="41"/>
      <c r="AF96" s="41"/>
      <c r="AG96" s="41"/>
      <c r="AH96" s="40"/>
      <c r="AI96" s="40"/>
      <c r="AJ96" s="40"/>
      <c r="AK96" s="40"/>
      <c r="AL96" s="40"/>
      <c r="AM96" s="40"/>
      <c r="AN96" s="40"/>
      <c r="AO96" s="40"/>
      <c r="AP96" s="40"/>
      <c r="AQ96" s="40"/>
      <c r="AR96" s="40"/>
      <c r="AS96" s="41"/>
      <c r="AT96" s="41"/>
      <c r="AU96" s="60"/>
      <c r="AV96" s="60"/>
      <c r="AW96" s="60"/>
      <c r="AX96" s="60"/>
      <c r="AY96" s="24"/>
    </row>
    <row r="97" spans="2:51">
      <c r="B97" s="148" t="s">
        <v>370</v>
      </c>
      <c r="C97" s="115">
        <f ca="1">IF(AND($P$40=0,$P$41=0),$P$63,IF(AND($P$40&lt;&gt;0,$P$41=0),$P$71,IF(AND($P$40=0,$P$41&lt;&gt;0),$P$79,IF(AND($P$40&lt;&gt;0,$P$41&lt;&gt;0,ABS(6*$P$40/$D$11)+ABS(6*$P$41/$D$12)&lt;=1),$P$86,IF(AND($P$40&lt;&gt;0,$P$41&lt;&gt;0,ABS(6*$P$40/$D$11)+ABS(6*$P$41/$D$12)&gt;1),$P$93)))))</f>
        <v>4.1118747807</v>
      </c>
      <c r="D97" s="49" t="s">
        <v>42</v>
      </c>
      <c r="E97" s="97"/>
      <c r="F97" s="24"/>
      <c r="G97" s="24"/>
      <c r="H97" s="24"/>
      <c r="I97" s="24"/>
      <c r="J97" s="24"/>
      <c r="K97" s="30"/>
      <c r="M97" s="119"/>
      <c r="O97" s="131" t="str">
        <f ca="1">IF(AND($P$94&gt;$D$11,$P$95&gt;$D$12),$O$102,IF(AND($P$94&gt;$D$11,$P$95&lt;=$D$12),$O$106,IF(AND($P$94&lt;=$D$11,$P$95&gt;$D$12),$O$110,IF(AND($P$94&lt;=$D$11,$P$95&lt;=$D$12),$O$114))))</f>
        <v>Brg. Ly =</v>
      </c>
      <c r="P97" s="60" t="str">
        <f ca="1">IF(AND($P$94&gt;$D$11,$P$95&gt;$D$12),$P$102,IF(AND($P$94&gt;$D$11,$P$95&lt;=$D$12),$P$106,IF(AND($P$94&lt;=$D$11,$P$95&gt;$D$12),$P$110,IF(AND($P$94&lt;=$D$11,$P$95&lt;=$D$12),$P$114))))</f>
        <v>N.A.</v>
      </c>
      <c r="Q97" s="62" t="s">
        <v>41</v>
      </c>
      <c r="R97" s="88" t="str">
        <f ca="1">IF(AND($P$94&gt;$D$11,$P$95&gt;$D$12),$R$102,IF(AND($P$94&gt;$D$11,$P$95&lt;=$D$12),$R$106,IF(AND($P$94&lt;=$D$11,$P$95&gt;$D$12),$R$110,IF(AND($P$94&lt;=$D$11,$P$95&lt;=$D$12),$R$114))))</f>
        <v>Brg. Ly = (dx-L)*(dy/dx)</v>
      </c>
      <c r="Y97" s="60"/>
      <c r="Z97" s="60"/>
      <c r="AA97" s="40"/>
      <c r="AB97" s="40"/>
      <c r="AC97" s="40"/>
      <c r="AD97" s="41"/>
      <c r="AE97" s="41"/>
      <c r="AF97" s="41"/>
      <c r="AG97" s="41"/>
      <c r="AH97" s="40"/>
      <c r="AI97" s="40"/>
      <c r="AJ97" s="40"/>
      <c r="AK97" s="40"/>
      <c r="AL97" s="40"/>
      <c r="AM97" s="40"/>
      <c r="AN97" s="40"/>
      <c r="AO97" s="40"/>
      <c r="AP97" s="40"/>
      <c r="AQ97" s="40"/>
      <c r="AR97" s="40"/>
      <c r="AS97" s="41"/>
      <c r="AT97" s="41"/>
      <c r="AU97" s="60"/>
      <c r="AV97" s="60"/>
      <c r="AW97" s="60"/>
      <c r="AX97" s="60"/>
      <c r="AY97" s="24"/>
    </row>
    <row r="98" spans="2:51">
      <c r="B98" s="23"/>
      <c r="C98" s="24"/>
      <c r="D98" s="24"/>
      <c r="E98" s="24"/>
      <c r="F98" s="155" t="s">
        <v>224</v>
      </c>
      <c r="G98" s="144" t="s">
        <v>225</v>
      </c>
      <c r="H98" s="24"/>
      <c r="I98" s="24"/>
      <c r="J98" s="24"/>
      <c r="K98" s="30"/>
      <c r="M98" s="120"/>
      <c r="O98" s="68" t="s">
        <v>179</v>
      </c>
      <c r="P98" s="79" t="str">
        <f ca="1">IF(AND($P$94&gt;$D$11,$P$95&gt;$D$12),$P$103,IF(AND($P$94&gt;$D$11,$P$95&lt;=$D$12),$P$107,IF(AND($P$94&lt;=$D$11,$P$95&gt;$D$12),$P$111,IF(AND($P$94&lt;=$D$11,$P$95&lt;=$D$12),$P$115))))</f>
        <v>N.A.</v>
      </c>
      <c r="Q98" s="76" t="s">
        <v>152</v>
      </c>
      <c r="R98" s="88" t="str">
        <f ca="1">IF(AND($P$94&gt;$D$11,$P$95&gt;$D$12),$R$103,IF(AND($P$94&gt;$D$11,$P$95&lt;=$D$12),$R$107,IF(AND($P$94&lt;=$D$11,$P$95&gt;$D$12),$R$111,IF(AND($P$94&lt;=$D$11,$P$95&lt;=$D$12),$R$115))))</f>
        <v>% Brg. Area = (L*B-(L-Lx)*(B-Ly)/2)/(L*B)*100</v>
      </c>
      <c r="Y98" s="60"/>
      <c r="Z98" s="60"/>
      <c r="AA98" s="40"/>
      <c r="AB98" s="40"/>
      <c r="AC98" s="40"/>
      <c r="AD98" s="41"/>
      <c r="AE98" s="41"/>
      <c r="AF98" s="41"/>
      <c r="AG98" s="41"/>
      <c r="AH98" s="40"/>
      <c r="AI98" s="40"/>
      <c r="AJ98" s="40"/>
      <c r="AK98" s="40"/>
      <c r="AL98" s="40"/>
      <c r="AM98" s="40"/>
      <c r="AN98" s="40"/>
      <c r="AO98" s="40"/>
      <c r="AP98" s="40"/>
      <c r="AQ98" s="40"/>
      <c r="AR98" s="40"/>
      <c r="AS98" s="41"/>
      <c r="AT98" s="41"/>
      <c r="AU98" s="60"/>
      <c r="AV98" s="60"/>
      <c r="AW98" s="60"/>
      <c r="AX98" s="60"/>
      <c r="AY98" s="24"/>
    </row>
    <row r="99" spans="2:51">
      <c r="B99" s="23"/>
      <c r="C99" s="24"/>
      <c r="D99" s="24"/>
      <c r="E99" s="24"/>
      <c r="F99" s="24"/>
      <c r="G99" s="156" t="s">
        <v>226</v>
      </c>
      <c r="H99" s="24"/>
      <c r="I99" s="24"/>
      <c r="J99" s="24"/>
      <c r="K99" s="30"/>
      <c r="M99" s="120"/>
      <c r="O99" s="87" t="s">
        <v>337</v>
      </c>
      <c r="P99" s="58" t="str">
        <f ca="1">IF(AND($P$40&lt;&gt;0,$P$41&lt;&gt;0,$P$91&gt;1),IF(AND($P$94&gt;$D$11,$P$95&gt;$D$12),"Case 1",IF(AND($P$94&gt;$D$11,$P$95&lt;=$D$12),"Case 2",IF(AND($P$94&lt;=$D$11,$P$95&gt;$D$12),"Case 3",IF(AND($P$94&lt;=$D$11,$P$95&lt;=$D$12),"Case 4")))),"N.A.")</f>
        <v>N.A.</v>
      </c>
      <c r="Q99" s="244"/>
      <c r="R99" s="62" t="str">
        <f ca="1">IF(AND($P$40&lt;&gt;0,$P$41&lt;&gt;0),"ABS(6*ex/L)+(ABS(6*ey/B) = "&amp;ROUND($P$91,3),"")</f>
        <v/>
      </c>
      <c r="Y99" s="60"/>
      <c r="Z99" s="60"/>
      <c r="AA99" s="40"/>
      <c r="AB99" s="40"/>
      <c r="AC99" s="40"/>
      <c r="AD99" s="41"/>
      <c r="AE99" s="41"/>
      <c r="AF99" s="41"/>
      <c r="AG99" s="41"/>
      <c r="AH99" s="40"/>
      <c r="AI99" s="40"/>
      <c r="AJ99" s="40"/>
      <c r="AK99" s="40"/>
      <c r="AL99" s="40"/>
      <c r="AM99" s="40"/>
      <c r="AN99" s="40"/>
      <c r="AO99" s="40"/>
      <c r="AP99" s="40"/>
      <c r="AQ99" s="40"/>
      <c r="AR99" s="40"/>
      <c r="AS99" s="41"/>
      <c r="AT99" s="41"/>
      <c r="AU99" s="60"/>
      <c r="AV99" s="60"/>
      <c r="AW99" s="60"/>
      <c r="AX99" s="60"/>
      <c r="AY99" s="24"/>
    </row>
    <row r="100" spans="2:51">
      <c r="B100" s="149"/>
      <c r="C100" s="122" t="str">
        <f ca="1">"P3="&amp;ROUND($C$96,3)&amp;" ksf               "</f>
        <v xml:space="preserve">P3=4,112 ksf               </v>
      </c>
      <c r="D100" s="24"/>
      <c r="E100" s="50" t="str">
        <f ca="1">"P2="&amp;ROUND($C$95,3)&amp;" ksf"</f>
        <v>P2=1,513 ksf</v>
      </c>
      <c r="F100" s="24"/>
      <c r="G100" s="143"/>
      <c r="H100" s="24"/>
      <c r="I100" s="24"/>
      <c r="J100" s="24"/>
      <c r="K100" s="30"/>
      <c r="M100" s="119"/>
      <c r="O100" s="132" t="s">
        <v>199</v>
      </c>
      <c r="P100" s="68"/>
      <c r="Q100" s="58"/>
      <c r="R100" s="76"/>
      <c r="Y100" s="60"/>
      <c r="Z100" s="60"/>
      <c r="AA100" s="40"/>
      <c r="AB100" s="40"/>
      <c r="AC100" s="40"/>
      <c r="AD100" s="41"/>
      <c r="AE100" s="41"/>
      <c r="AF100" s="41"/>
      <c r="AG100" s="41"/>
      <c r="AH100" s="40"/>
      <c r="AI100" s="40"/>
      <c r="AJ100" s="40"/>
      <c r="AK100" s="40"/>
      <c r="AL100" s="40"/>
      <c r="AM100" s="40"/>
      <c r="AN100" s="40"/>
      <c r="AO100" s="40"/>
      <c r="AP100" s="40"/>
      <c r="AQ100" s="40"/>
      <c r="AR100" s="40"/>
      <c r="AS100" s="41"/>
      <c r="AT100" s="41"/>
      <c r="AU100" s="60"/>
      <c r="AV100" s="60"/>
      <c r="AW100" s="60"/>
      <c r="AX100" s="60"/>
      <c r="AY100" s="24"/>
    </row>
    <row r="101" spans="2:51">
      <c r="B101" s="150"/>
      <c r="C101" s="123"/>
      <c r="D101" s="24"/>
      <c r="E101" s="24"/>
      <c r="F101" s="24"/>
      <c r="G101" s="157"/>
      <c r="H101" s="24"/>
      <c r="I101" s="24"/>
      <c r="J101" s="143"/>
      <c r="K101" s="30"/>
      <c r="M101" s="119"/>
      <c r="O101" s="68" t="s">
        <v>132</v>
      </c>
      <c r="P101" s="61" t="str">
        <f ca="1">IF(AND($P$40&lt;&gt;0,$P$41&lt;&gt;0),IF(AND($P$94&gt;$D$11,$P$95&gt;$D$12),IF($P$91&gt;1,($P$95-$D$12)*($P$94/$P$95),"N.A."),"N.A."),"N.A.")</f>
        <v>N.A.</v>
      </c>
      <c r="Q101" s="62" t="s">
        <v>41</v>
      </c>
      <c r="R101" s="62" t="s">
        <v>196</v>
      </c>
      <c r="S101" s="64"/>
      <c r="T101" s="64"/>
      <c r="U101" s="64"/>
      <c r="V101" s="64"/>
      <c r="W101" s="84"/>
      <c r="Y101" s="60"/>
      <c r="Z101" s="60"/>
      <c r="AA101" s="40"/>
      <c r="AB101" s="40"/>
      <c r="AC101" s="40"/>
      <c r="AD101" s="41"/>
      <c r="AE101" s="41"/>
      <c r="AF101" s="41"/>
      <c r="AG101" s="41"/>
      <c r="AH101" s="40"/>
      <c r="AI101" s="40"/>
      <c r="AJ101" s="40"/>
      <c r="AK101" s="40"/>
      <c r="AL101" s="40"/>
      <c r="AM101" s="40"/>
      <c r="AN101" s="40"/>
      <c r="AO101" s="40"/>
      <c r="AP101" s="40"/>
      <c r="AQ101" s="40"/>
      <c r="AR101" s="40"/>
      <c r="AS101" s="41"/>
      <c r="AT101" s="41"/>
      <c r="AU101" s="60"/>
      <c r="AV101" s="60"/>
      <c r="AW101" s="60"/>
      <c r="AX101" s="60"/>
      <c r="AY101" s="24"/>
    </row>
    <row r="102" spans="2:51">
      <c r="B102" s="151"/>
      <c r="C102" s="24"/>
      <c r="D102" s="124"/>
      <c r="E102" s="24"/>
      <c r="F102" s="24"/>
      <c r="G102" s="24"/>
      <c r="H102" s="24"/>
      <c r="I102" s="24"/>
      <c r="J102" s="24"/>
      <c r="K102" s="30"/>
      <c r="O102" s="68" t="s">
        <v>135</v>
      </c>
      <c r="P102" s="61" t="str">
        <f ca="1">IF(AND($P$40&lt;&gt;0,$P$41&lt;&gt;0),IF(AND($P$94&gt;$D$11,$P$95&gt;$D$12),IF($P$91&gt;1,($P$94-$D$11)*($P$95/$P$94),"N.A."),"N.A."),"N.A.")</f>
        <v>N.A.</v>
      </c>
      <c r="Q102" s="62" t="s">
        <v>41</v>
      </c>
      <c r="R102" s="62" t="s">
        <v>197</v>
      </c>
      <c r="S102" s="64"/>
      <c r="T102" s="64"/>
      <c r="U102" s="64"/>
      <c r="V102" s="64"/>
      <c r="W102" s="84"/>
      <c r="AY102" s="24"/>
    </row>
    <row r="103" spans="2:51">
      <c r="B103" s="152" t="str">
        <f ca="1">"P4="&amp;ROUND($C$97,3)&amp;" ksf"</f>
        <v>P4=4,112 ksf</v>
      </c>
      <c r="C103" s="48"/>
      <c r="D103" s="118" t="str">
        <f ca="1">"         P1="&amp;ROUND($C$94,3)&amp;" ksf"</f>
        <v xml:space="preserve">         P1=1,513 ksf</v>
      </c>
      <c r="E103" s="50"/>
      <c r="F103" s="24"/>
      <c r="G103" s="24"/>
      <c r="H103" s="24"/>
      <c r="I103" s="24"/>
      <c r="J103" s="24"/>
      <c r="K103" s="30"/>
      <c r="O103" s="68" t="s">
        <v>179</v>
      </c>
      <c r="P103" s="79" t="str">
        <f ca="1">IF(AND($P$40&lt;&gt;0,$P$41&lt;&gt;0),IF(AND($P$94&gt;$D$11,$P$95&gt;$D$12),IF($P$91&gt;1,($D$11*$D$12-($D$11-$P$101)*($D$12-$P$102)/2)/($D$11*$D$12)*100,"N.A."),"N.A."),"N.A.")</f>
        <v>N.A.</v>
      </c>
      <c r="Q103" s="76" t="s">
        <v>152</v>
      </c>
      <c r="R103" s="62" t="s">
        <v>348</v>
      </c>
      <c r="S103" s="64"/>
      <c r="T103" s="64"/>
      <c r="U103" s="64"/>
      <c r="V103" s="64"/>
      <c r="W103" s="84"/>
      <c r="AY103" s="24"/>
    </row>
    <row r="104" spans="2:51">
      <c r="B104" s="23"/>
      <c r="C104" s="51" t="s">
        <v>184</v>
      </c>
      <c r="D104" s="52"/>
      <c r="E104" s="24"/>
      <c r="F104" s="24"/>
      <c r="G104" s="24"/>
      <c r="H104" s="24"/>
      <c r="I104" s="24"/>
      <c r="J104" s="143"/>
      <c r="K104" s="30"/>
      <c r="O104" s="132" t="s">
        <v>200</v>
      </c>
      <c r="P104" s="61"/>
      <c r="Q104" s="76"/>
      <c r="R104" s="76"/>
      <c r="W104" s="84"/>
      <c r="AY104" s="24"/>
    </row>
    <row r="105" spans="2:51">
      <c r="B105" s="159"/>
      <c r="C105" s="160"/>
      <c r="D105" s="160"/>
      <c r="E105" s="161"/>
      <c r="F105" s="24"/>
      <c r="G105" s="24"/>
      <c r="H105" s="24"/>
      <c r="I105" s="24"/>
      <c r="J105" s="143"/>
      <c r="K105" s="30"/>
      <c r="O105" s="68" t="s">
        <v>170</v>
      </c>
      <c r="P105" s="61" t="str">
        <f ca="1">IF(AND($P$40&lt;&gt;0,$P$41&lt;&gt;0),IF(AND($P$94&gt;$D$11,$P$95&lt;=$D$12),IF($P$91&gt;1,($P$94-$D$11)*($P$95/$P$94),"N.A."),"N.A."),"N.A.")</f>
        <v>N.A.</v>
      </c>
      <c r="Q105" s="62" t="s">
        <v>41</v>
      </c>
      <c r="R105" s="76" t="s">
        <v>198</v>
      </c>
      <c r="S105" s="64"/>
      <c r="T105" s="64"/>
      <c r="U105" s="64"/>
      <c r="V105" s="64"/>
      <c r="W105" s="84"/>
      <c r="AY105" s="24"/>
    </row>
    <row r="106" spans="2:51">
      <c r="B106" s="44" t="s">
        <v>236</v>
      </c>
      <c r="C106" s="197"/>
      <c r="D106" s="197"/>
      <c r="E106" s="161"/>
      <c r="F106" s="24"/>
      <c r="G106" s="24"/>
      <c r="H106" s="24"/>
      <c r="I106" s="24"/>
      <c r="J106" s="24"/>
      <c r="K106" s="30"/>
      <c r="O106" s="68" t="s">
        <v>171</v>
      </c>
      <c r="P106" s="61" t="str">
        <f ca="1">IF(AND($P$40&lt;&gt;0,$P$41&lt;&gt;0),IF(AND($P$94&gt;$D$11,$P$95&lt;=$D$12),IF($P$91&gt;1,$P$95,"N.A."),"N.A."),"N.A.")</f>
        <v>N.A.</v>
      </c>
      <c r="Q106" s="62" t="s">
        <v>41</v>
      </c>
      <c r="R106" s="76" t="s">
        <v>172</v>
      </c>
      <c r="S106" s="64"/>
      <c r="T106" s="64"/>
      <c r="U106" s="64"/>
      <c r="V106" s="64"/>
      <c r="W106" s="84"/>
      <c r="AY106" s="24"/>
    </row>
    <row r="107" spans="2:51">
      <c r="B107" s="196" t="s">
        <v>237</v>
      </c>
      <c r="C107" s="24" t="s">
        <v>238</v>
      </c>
      <c r="D107" s="24"/>
      <c r="E107" s="197"/>
      <c r="F107" s="24"/>
      <c r="G107" s="24"/>
      <c r="H107" s="24"/>
      <c r="I107" s="24"/>
      <c r="J107" s="24"/>
      <c r="K107" s="30"/>
      <c r="O107" s="68" t="s">
        <v>179</v>
      </c>
      <c r="P107" s="33" t="str">
        <f ca="1">IF(AND($P$40&lt;&gt;0,$P$41&lt;&gt;0),IF(AND($P$94&gt;$D$11,$P$95&lt;=$D$12),IF($P$91&gt;1,($D$11*($P$106+$P$105)/2)/($D$11*$D$12)*100,"N.A."),"N.A."),"N.A.")</f>
        <v>N.A.</v>
      </c>
      <c r="Q107" s="76" t="s">
        <v>152</v>
      </c>
      <c r="R107" s="62" t="s">
        <v>351</v>
      </c>
      <c r="S107" s="64"/>
      <c r="T107" s="64"/>
      <c r="U107" s="64"/>
      <c r="V107" s="64"/>
      <c r="W107" s="84"/>
      <c r="AY107" s="24"/>
    </row>
    <row r="108" spans="2:51">
      <c r="B108" s="196" t="s">
        <v>237</v>
      </c>
      <c r="C108" s="198">
        <f ca="1">IF(MAX($C$94:$C$97)-($D$15+$D$13)*$D$16&lt;0,0,MAX($C$94:$C$97)-($D$15+$D$13)*$D$16)</f>
        <v>3.6715117806999999</v>
      </c>
      <c r="D108" s="49" t="s">
        <v>42</v>
      </c>
      <c r="E108" s="162"/>
      <c r="F108" s="24"/>
      <c r="G108" s="24"/>
      <c r="H108" s="24"/>
      <c r="I108" s="24"/>
      <c r="J108" s="24"/>
      <c r="K108" s="30"/>
      <c r="O108" s="132" t="s">
        <v>201</v>
      </c>
      <c r="P108" s="61"/>
      <c r="Q108" s="76"/>
      <c r="R108" s="76"/>
      <c r="W108" s="84"/>
      <c r="AY108" s="24"/>
    </row>
    <row r="109" spans="2:51">
      <c r="B109" s="23"/>
      <c r="C109" s="24"/>
      <c r="D109" s="24"/>
      <c r="E109" s="24"/>
      <c r="F109" s="24"/>
      <c r="G109" s="24"/>
      <c r="H109" s="24"/>
      <c r="I109" s="24"/>
      <c r="J109" s="24"/>
      <c r="K109" s="30"/>
      <c r="O109" s="68" t="s">
        <v>173</v>
      </c>
      <c r="P109" s="61" t="str">
        <f ca="1">IF(AND($P$40&lt;&gt;0,$P$41&lt;&gt;0),IF(AND($P$94&lt;=$D$11,$P$95&gt;$D$12),IF($P$91&gt;1,($P$95-$D$12)*($P$94/$P$95),"N.A."),"N.A."),"N.A.")</f>
        <v>N.A.</v>
      </c>
      <c r="Q109" s="62" t="s">
        <v>41</v>
      </c>
      <c r="R109" s="76" t="s">
        <v>203</v>
      </c>
      <c r="T109" s="90"/>
      <c r="AY109" s="24"/>
    </row>
    <row r="110" spans="2:51">
      <c r="B110" s="163"/>
      <c r="C110" s="164"/>
      <c r="D110" s="164"/>
      <c r="E110" s="164"/>
      <c r="F110" s="31"/>
      <c r="G110" s="31"/>
      <c r="H110" s="31"/>
      <c r="I110" s="31"/>
      <c r="J110" s="31"/>
      <c r="K110" s="121"/>
      <c r="O110" s="68" t="s">
        <v>174</v>
      </c>
      <c r="P110" s="61" t="str">
        <f ca="1">IF(AND($P$40&lt;&gt;0,$P$41&lt;&gt;0),IF(AND($P$94&lt;=$D$11,$P$95&gt;$D$12),IF($P$91&gt;1,$P$94,"N.A."),"N.A."),"N.A.")</f>
        <v>N.A.</v>
      </c>
      <c r="Q110" s="62" t="s">
        <v>41</v>
      </c>
      <c r="R110" s="76" t="s">
        <v>175</v>
      </c>
      <c r="T110" s="70"/>
      <c r="U110" s="33"/>
      <c r="AY110" s="24"/>
    </row>
    <row r="111" spans="2:51">
      <c r="O111" s="68" t="s">
        <v>179</v>
      </c>
      <c r="P111" s="33" t="str">
        <f ca="1">IF(AND($P$40&lt;&gt;0,$P$41&lt;&gt;0),IF(AND($P$94&lt;=$D$11,$P$95&gt;$D$12),IF($P$91&gt;1,($D$12*($P$110+$P$109)/2)/($D$11*$D$12)*100,"N.A."),"N.A."),"N.A.")</f>
        <v>N.A.</v>
      </c>
      <c r="Q111" s="76" t="s">
        <v>152</v>
      </c>
      <c r="R111" s="62" t="s">
        <v>350</v>
      </c>
      <c r="T111" s="70"/>
      <c r="U111" s="33"/>
    </row>
    <row r="112" spans="2:51">
      <c r="J112" s="97"/>
      <c r="O112" s="132" t="s">
        <v>202</v>
      </c>
      <c r="P112" s="61"/>
      <c r="Q112" s="76"/>
      <c r="R112" s="76"/>
      <c r="T112" s="70"/>
      <c r="U112" s="33"/>
    </row>
    <row r="113" spans="2:21">
      <c r="J113" s="138"/>
      <c r="O113" s="68" t="s">
        <v>132</v>
      </c>
      <c r="P113" s="61" t="str">
        <f ca="1">IF(AND($P$40&lt;&gt;0,$P$41&lt;&gt;0),IF(AND($P$94&lt;=$D$11,$P$95&lt;=$D$12),IF($P$91&gt;1,$P$94,"N.A."),"N.A."),"N.A.")</f>
        <v>N.A.</v>
      </c>
      <c r="Q113" s="62" t="s">
        <v>41</v>
      </c>
      <c r="R113" s="76" t="s">
        <v>176</v>
      </c>
      <c r="T113" s="70"/>
      <c r="U113" s="77"/>
    </row>
    <row r="114" spans="2:21">
      <c r="J114" s="138"/>
      <c r="O114" s="68" t="s">
        <v>135</v>
      </c>
      <c r="P114" s="61" t="str">
        <f ca="1">IF(AND($P$40&lt;&gt;0,$P$41&lt;&gt;0),IF(AND($P$94&lt;=$D$11,$P$95&lt;=$D$12),IF($P$91&gt;1,$P$95,"N.A."),"N.A."),"N.A.")</f>
        <v>N.A.</v>
      </c>
      <c r="Q114" s="62" t="s">
        <v>41</v>
      </c>
      <c r="R114" s="76" t="s">
        <v>177</v>
      </c>
      <c r="T114" s="70"/>
      <c r="U114" s="77"/>
    </row>
    <row r="115" spans="2:21">
      <c r="J115" s="138"/>
      <c r="O115" s="68" t="s">
        <v>179</v>
      </c>
      <c r="P115" s="33" t="str">
        <f ca="1">IF(AND($P$40&lt;&gt;0,$P$41&lt;&gt;0),IF(AND($P$94&lt;=$D$11,$P$95&lt;=$D$12),IF($P$91&gt;1,($P$94*$P$95/2)/($D$11*$D$12)*100,"N.A."),"N.A."),"N.A.")</f>
        <v>N.A.</v>
      </c>
      <c r="Q115" s="76" t="s">
        <v>152</v>
      </c>
      <c r="R115" s="62" t="s">
        <v>349</v>
      </c>
      <c r="T115" s="70"/>
      <c r="U115" s="41"/>
    </row>
    <row r="116" spans="2:21">
      <c r="J116" s="138"/>
      <c r="P116" s="85"/>
      <c r="Q116" s="40"/>
      <c r="R116" s="40"/>
    </row>
    <row r="117" spans="2:21">
      <c r="J117" s="99"/>
    </row>
    <row r="118" spans="2:21">
      <c r="J118" s="89"/>
    </row>
    <row r="119" spans="2:21">
      <c r="J119" s="97"/>
    </row>
    <row r="120" spans="2:21">
      <c r="B120" s="138"/>
      <c r="I120" s="89"/>
      <c r="J120" s="100"/>
      <c r="P120" s="68"/>
      <c r="Q120" s="61"/>
      <c r="R120" s="40"/>
    </row>
    <row r="121" spans="2:21">
      <c r="B121" s="138"/>
      <c r="I121" s="89"/>
      <c r="J121" s="100"/>
      <c r="P121" s="85"/>
      <c r="Q121" s="40"/>
      <c r="R121" s="40"/>
    </row>
    <row r="122" spans="2:21">
      <c r="B122" s="138"/>
      <c r="I122" s="139"/>
      <c r="J122" s="97"/>
      <c r="P122" s="85"/>
      <c r="Q122" s="40"/>
      <c r="R122" s="40"/>
    </row>
    <row r="123" spans="2:21">
      <c r="B123" s="138"/>
      <c r="I123" s="22"/>
      <c r="J123" s="97"/>
      <c r="P123" s="85"/>
      <c r="Q123" s="40"/>
      <c r="R123" s="40"/>
    </row>
    <row r="124" spans="2:21">
      <c r="B124" s="138"/>
      <c r="I124" s="140"/>
      <c r="J124" s="97"/>
      <c r="P124" s="85"/>
      <c r="Q124" s="40"/>
      <c r="R124" s="40"/>
    </row>
    <row r="125" spans="2:21">
      <c r="B125" s="138"/>
      <c r="I125" s="140"/>
      <c r="J125" s="97"/>
      <c r="P125" s="85"/>
      <c r="Q125" s="40"/>
      <c r="R125" s="40"/>
    </row>
    <row r="126" spans="2:21">
      <c r="B126" s="138"/>
      <c r="I126" s="22"/>
      <c r="J126" s="97"/>
      <c r="P126" s="85"/>
      <c r="Q126" s="40"/>
      <c r="R126" s="40"/>
    </row>
    <row r="127" spans="2:21">
      <c r="B127" s="97"/>
      <c r="I127" s="22"/>
      <c r="J127" s="97"/>
      <c r="P127" s="85"/>
      <c r="Q127" s="40"/>
      <c r="R127" s="40"/>
    </row>
    <row r="128" spans="2:21">
      <c r="B128" s="97"/>
      <c r="I128" s="22"/>
      <c r="J128" s="101"/>
      <c r="P128" s="85"/>
      <c r="Q128" s="40"/>
      <c r="R128" s="40"/>
    </row>
    <row r="129" spans="2:18">
      <c r="B129" s="97"/>
      <c r="I129" s="22"/>
      <c r="J129" s="98"/>
      <c r="P129" s="85"/>
      <c r="Q129" s="40"/>
      <c r="R129" s="40"/>
    </row>
    <row r="130" spans="2:18">
      <c r="B130" s="97"/>
      <c r="I130" s="22"/>
      <c r="J130" s="91"/>
      <c r="P130" s="85"/>
      <c r="Q130" s="40"/>
      <c r="R130" s="40"/>
    </row>
    <row r="131" spans="2:18">
      <c r="B131" s="97"/>
      <c r="I131" s="137"/>
      <c r="J131" s="97"/>
      <c r="P131" s="85"/>
      <c r="Q131" s="40"/>
      <c r="R131" s="40"/>
    </row>
    <row r="132" spans="2:18">
      <c r="B132" s="97"/>
      <c r="I132" s="89"/>
      <c r="J132" s="97"/>
      <c r="P132" s="85"/>
      <c r="Q132" s="40"/>
      <c r="R132" s="40"/>
    </row>
    <row r="133" spans="2:18">
      <c r="B133" s="54"/>
      <c r="I133" s="91"/>
      <c r="J133" s="97"/>
      <c r="P133" s="85"/>
      <c r="Q133" s="40"/>
      <c r="R133" s="40"/>
    </row>
    <row r="134" spans="2:18">
      <c r="B134" s="97"/>
      <c r="I134" s="22"/>
      <c r="J134" s="97"/>
      <c r="P134" s="85"/>
      <c r="Q134" s="40"/>
      <c r="R134" s="40"/>
    </row>
    <row r="135" spans="2:18">
      <c r="B135" s="97"/>
      <c r="I135" s="22"/>
      <c r="J135" s="101"/>
      <c r="P135" s="85"/>
      <c r="Q135" s="40"/>
      <c r="R135" s="40"/>
    </row>
    <row r="136" spans="2:18">
      <c r="B136" s="97"/>
      <c r="I136" s="22"/>
      <c r="J136" s="98"/>
      <c r="P136" s="85"/>
      <c r="Q136" s="40"/>
    </row>
    <row r="137" spans="2:18">
      <c r="B137" s="97"/>
      <c r="I137" s="22"/>
      <c r="J137" s="91"/>
      <c r="P137" s="85"/>
      <c r="Q137" s="40"/>
    </row>
    <row r="138" spans="2:18">
      <c r="B138" s="55"/>
      <c r="I138" s="137"/>
      <c r="P138" s="85"/>
      <c r="Q138" s="40"/>
    </row>
    <row r="139" spans="2:18">
      <c r="B139" s="97"/>
      <c r="I139" s="89"/>
      <c r="P139" s="85"/>
      <c r="Q139" s="40"/>
      <c r="R139" s="40"/>
    </row>
    <row r="140" spans="2:18">
      <c r="B140" s="97"/>
      <c r="I140" s="91"/>
    </row>
    <row r="141" spans="2:18">
      <c r="B141" s="97"/>
      <c r="I141" s="91"/>
      <c r="P141" s="68"/>
      <c r="Q141" s="58"/>
      <c r="R141" s="71"/>
    </row>
    <row r="142" spans="2:18">
      <c r="B142" s="97"/>
      <c r="I142" s="91"/>
      <c r="P142" s="68"/>
      <c r="Q142" s="58"/>
      <c r="R142" s="76"/>
    </row>
    <row r="143" spans="2:18">
      <c r="B143" s="97"/>
      <c r="I143" s="91"/>
      <c r="P143" s="68"/>
      <c r="Q143" s="58"/>
      <c r="R143" s="76"/>
    </row>
    <row r="144" spans="2:18">
      <c r="B144" s="97"/>
      <c r="I144" s="91"/>
      <c r="P144" s="85"/>
      <c r="Q144" s="58"/>
      <c r="R144" s="71"/>
    </row>
    <row r="145" spans="2:18">
      <c r="B145" s="97"/>
      <c r="I145" s="91"/>
      <c r="P145" s="85"/>
      <c r="Q145" s="40"/>
      <c r="R145" s="40"/>
    </row>
    <row r="146" spans="2:18">
      <c r="B146" s="97"/>
      <c r="I146" s="91"/>
    </row>
    <row r="147" spans="2:18">
      <c r="P147" s="68"/>
      <c r="Q147" s="58"/>
      <c r="R147" s="71"/>
    </row>
    <row r="148" spans="2:18">
      <c r="P148" s="68"/>
      <c r="Q148" s="58"/>
      <c r="R148" s="76"/>
    </row>
    <row r="149" spans="2:18">
      <c r="P149" s="68"/>
      <c r="Q149" s="58"/>
      <c r="R149" s="76"/>
    </row>
    <row r="150" spans="2:18">
      <c r="P150" s="85"/>
      <c r="Q150" s="58"/>
      <c r="R150" s="71"/>
    </row>
    <row r="152" spans="2:18">
      <c r="P152" s="68"/>
      <c r="Q152" s="61"/>
      <c r="R152" s="40"/>
    </row>
    <row r="153" spans="2:18">
      <c r="P153" s="85"/>
      <c r="Q153" s="40"/>
      <c r="R153" s="40"/>
    </row>
    <row r="154" spans="2:18">
      <c r="P154" s="85"/>
      <c r="Q154" s="40"/>
      <c r="R154" s="40"/>
    </row>
    <row r="155" spans="2:18">
      <c r="P155" s="85"/>
      <c r="Q155" s="40"/>
      <c r="R155" s="40"/>
    </row>
    <row r="156" spans="2:18">
      <c r="P156" s="85"/>
      <c r="Q156" s="40"/>
      <c r="R156" s="40"/>
    </row>
    <row r="157" spans="2:18">
      <c r="P157" s="85"/>
      <c r="Q157" s="40"/>
      <c r="R157" s="40"/>
    </row>
    <row r="158" spans="2:18">
      <c r="P158" s="85"/>
      <c r="Q158" s="40"/>
      <c r="R158" s="40"/>
    </row>
    <row r="159" spans="2:18">
      <c r="P159" s="85"/>
      <c r="Q159" s="40"/>
      <c r="R159" s="40"/>
    </row>
    <row r="160" spans="2:18">
      <c r="P160" s="85"/>
      <c r="Q160" s="40"/>
      <c r="R160" s="40"/>
    </row>
    <row r="161" spans="16:18">
      <c r="P161" s="85"/>
      <c r="Q161" s="40"/>
      <c r="R161" s="40"/>
    </row>
    <row r="162" spans="16:18">
      <c r="P162" s="85"/>
      <c r="Q162" s="40"/>
      <c r="R162" s="40"/>
    </row>
    <row r="163" spans="16:18">
      <c r="P163" s="85"/>
      <c r="Q163" s="40"/>
      <c r="R163" s="40"/>
    </row>
    <row r="164" spans="16:18">
      <c r="P164" s="85"/>
      <c r="Q164" s="40"/>
      <c r="R164" s="40"/>
    </row>
    <row r="165" spans="16:18">
      <c r="P165" s="85"/>
      <c r="Q165" s="40"/>
      <c r="R165" s="40"/>
    </row>
    <row r="166" spans="16:18">
      <c r="P166" s="85"/>
      <c r="Q166" s="40"/>
      <c r="R166" s="40"/>
    </row>
    <row r="167" spans="16:18">
      <c r="P167" s="85"/>
      <c r="Q167" s="40"/>
      <c r="R167" s="40"/>
    </row>
    <row r="168" spans="16:18">
      <c r="P168" s="85"/>
      <c r="Q168" s="40"/>
      <c r="R168" s="40"/>
    </row>
    <row r="169" spans="16:18">
      <c r="P169" s="85"/>
      <c r="Q169" s="40"/>
    </row>
    <row r="170" spans="16:18">
      <c r="P170" s="85"/>
      <c r="Q170" s="40"/>
    </row>
    <row r="171" spans="16:18">
      <c r="P171" s="85"/>
      <c r="Q171" s="40"/>
    </row>
    <row r="172" spans="16:18">
      <c r="P172" s="85"/>
      <c r="Q172" s="40"/>
      <c r="R172" s="40"/>
    </row>
    <row r="174" spans="16:18">
      <c r="P174" s="68"/>
      <c r="Q174" s="58"/>
      <c r="R174" s="71"/>
    </row>
    <row r="175" spans="16:18">
      <c r="P175" s="68"/>
      <c r="Q175" s="58"/>
      <c r="R175" s="76"/>
    </row>
    <row r="176" spans="16:18">
      <c r="P176" s="68"/>
      <c r="Q176" s="58"/>
      <c r="R176" s="76"/>
    </row>
    <row r="177" spans="16:18">
      <c r="P177" s="85"/>
      <c r="Q177" s="58"/>
      <c r="R177" s="71"/>
    </row>
    <row r="178" spans="16:18">
      <c r="P178" s="85"/>
      <c r="Q178" s="40"/>
      <c r="R178" s="40"/>
    </row>
    <row r="180" spans="16:18">
      <c r="P180" s="68"/>
      <c r="Q180" s="58"/>
      <c r="R180" s="71"/>
    </row>
    <row r="181" spans="16:18">
      <c r="P181" s="68"/>
      <c r="Q181" s="58"/>
      <c r="R181" s="76"/>
    </row>
    <row r="182" spans="16:18">
      <c r="P182" s="68"/>
      <c r="Q182" s="58"/>
      <c r="R182" s="76"/>
    </row>
    <row r="183" spans="16:18">
      <c r="P183" s="85"/>
      <c r="Q183" s="58"/>
      <c r="R183" s="71"/>
    </row>
    <row r="185" spans="16:18">
      <c r="P185" s="68"/>
      <c r="Q185" s="61"/>
      <c r="R185" s="40"/>
    </row>
    <row r="186" spans="16:18">
      <c r="P186" s="85"/>
      <c r="Q186" s="40"/>
      <c r="R186" s="40"/>
    </row>
    <row r="187" spans="16:18">
      <c r="P187" s="85"/>
      <c r="Q187" s="40"/>
      <c r="R187" s="40"/>
    </row>
    <row r="188" spans="16:18">
      <c r="P188" s="85"/>
      <c r="Q188" s="40"/>
      <c r="R188" s="40"/>
    </row>
    <row r="189" spans="16:18">
      <c r="P189" s="85"/>
      <c r="Q189" s="40"/>
      <c r="R189" s="40"/>
    </row>
    <row r="190" spans="16:18">
      <c r="P190" s="85"/>
      <c r="Q190" s="40"/>
      <c r="R190" s="40"/>
    </row>
    <row r="191" spans="16:18">
      <c r="P191" s="85"/>
      <c r="Q191" s="40"/>
      <c r="R191" s="40"/>
    </row>
    <row r="192" spans="16:18">
      <c r="P192" s="85"/>
      <c r="Q192" s="40"/>
      <c r="R192" s="40"/>
    </row>
    <row r="193" spans="16:18">
      <c r="P193" s="85"/>
      <c r="Q193" s="40"/>
      <c r="R193" s="40"/>
    </row>
    <row r="194" spans="16:18">
      <c r="P194" s="85"/>
      <c r="Q194" s="40"/>
      <c r="R194" s="40"/>
    </row>
    <row r="195" spans="16:18">
      <c r="P195" s="85"/>
      <c r="Q195" s="40"/>
      <c r="R195" s="40"/>
    </row>
    <row r="196" spans="16:18">
      <c r="P196" s="85"/>
      <c r="Q196" s="40"/>
      <c r="R196" s="40"/>
    </row>
    <row r="197" spans="16:18">
      <c r="P197" s="85"/>
      <c r="Q197" s="40"/>
      <c r="R197" s="40"/>
    </row>
    <row r="198" spans="16:18">
      <c r="P198" s="85"/>
      <c r="Q198" s="40"/>
      <c r="R198" s="40"/>
    </row>
    <row r="199" spans="16:18">
      <c r="P199" s="85"/>
      <c r="Q199" s="40"/>
      <c r="R199" s="40"/>
    </row>
    <row r="200" spans="16:18">
      <c r="P200" s="85"/>
      <c r="Q200" s="40"/>
      <c r="R200" s="40"/>
    </row>
    <row r="201" spans="16:18">
      <c r="P201" s="85"/>
      <c r="Q201" s="40"/>
      <c r="R201" s="40"/>
    </row>
    <row r="202" spans="16:18">
      <c r="P202" s="85"/>
      <c r="Q202" s="40"/>
    </row>
    <row r="203" spans="16:18">
      <c r="P203" s="85"/>
      <c r="Q203" s="40"/>
    </row>
    <row r="204" spans="16:18">
      <c r="P204" s="85"/>
      <c r="Q204" s="40"/>
    </row>
    <row r="205" spans="16:18">
      <c r="P205" s="85"/>
      <c r="Q205" s="40"/>
      <c r="R205" s="40"/>
    </row>
    <row r="207" spans="16:18">
      <c r="P207" s="68"/>
      <c r="Q207" s="58"/>
      <c r="R207" s="71"/>
    </row>
    <row r="208" spans="16:18">
      <c r="P208" s="68"/>
      <c r="Q208" s="58"/>
      <c r="R208" s="76"/>
    </row>
    <row r="209" spans="16:18">
      <c r="P209" s="68"/>
      <c r="Q209" s="58"/>
      <c r="R209" s="76"/>
    </row>
    <row r="210" spans="16:18">
      <c r="P210" s="85"/>
      <c r="Q210" s="58"/>
      <c r="R210" s="71"/>
    </row>
    <row r="211" spans="16:18">
      <c r="P211" s="85"/>
      <c r="Q211" s="40"/>
      <c r="R211" s="40"/>
    </row>
    <row r="213" spans="16:18">
      <c r="P213" s="68"/>
      <c r="Q213" s="58"/>
      <c r="R213" s="71"/>
    </row>
    <row r="214" spans="16:18">
      <c r="P214" s="68"/>
      <c r="Q214" s="58"/>
      <c r="R214" s="76"/>
    </row>
    <row r="215" spans="16:18">
      <c r="P215" s="68"/>
      <c r="Q215" s="58"/>
      <c r="R215" s="76"/>
    </row>
    <row r="216" spans="16:18">
      <c r="P216" s="85"/>
      <c r="Q216" s="58"/>
      <c r="R216" s="71"/>
    </row>
    <row r="218" spans="16:18">
      <c r="P218" s="68"/>
      <c r="Q218" s="61"/>
      <c r="R218" s="40"/>
    </row>
    <row r="219" spans="16:18">
      <c r="P219" s="85"/>
      <c r="Q219" s="40"/>
      <c r="R219" s="40"/>
    </row>
    <row r="220" spans="16:18">
      <c r="P220" s="85"/>
      <c r="Q220" s="40"/>
      <c r="R220" s="40"/>
    </row>
    <row r="221" spans="16:18">
      <c r="P221" s="85"/>
      <c r="Q221" s="40"/>
      <c r="R221" s="40"/>
    </row>
    <row r="222" spans="16:18">
      <c r="P222" s="85"/>
      <c r="Q222" s="40"/>
      <c r="R222" s="40"/>
    </row>
    <row r="223" spans="16:18">
      <c r="P223" s="85"/>
      <c r="Q223" s="40"/>
      <c r="R223" s="40"/>
    </row>
    <row r="224" spans="16:18">
      <c r="P224" s="85"/>
      <c r="Q224" s="40"/>
      <c r="R224" s="40"/>
    </row>
    <row r="225" spans="16:18">
      <c r="P225" s="85"/>
      <c r="Q225" s="40"/>
      <c r="R225" s="40"/>
    </row>
    <row r="226" spans="16:18">
      <c r="P226" s="85"/>
      <c r="Q226" s="40"/>
      <c r="R226" s="40"/>
    </row>
    <row r="227" spans="16:18">
      <c r="P227" s="85"/>
      <c r="Q227" s="40"/>
      <c r="R227" s="40"/>
    </row>
    <row r="228" spans="16:18">
      <c r="P228" s="85"/>
      <c r="Q228" s="40"/>
      <c r="R228" s="40"/>
    </row>
    <row r="229" spans="16:18">
      <c r="P229" s="85"/>
      <c r="Q229" s="40"/>
      <c r="R229" s="40"/>
    </row>
    <row r="230" spans="16:18">
      <c r="P230" s="85"/>
      <c r="Q230" s="40"/>
      <c r="R230" s="40"/>
    </row>
    <row r="231" spans="16:18">
      <c r="P231" s="85"/>
      <c r="Q231" s="40"/>
      <c r="R231" s="40"/>
    </row>
    <row r="232" spans="16:18">
      <c r="P232" s="85"/>
      <c r="Q232" s="40"/>
      <c r="R232" s="40"/>
    </row>
    <row r="233" spans="16:18">
      <c r="P233" s="85"/>
      <c r="Q233" s="40"/>
      <c r="R233" s="40"/>
    </row>
    <row r="234" spans="16:18">
      <c r="P234" s="85"/>
      <c r="Q234" s="40"/>
      <c r="R234" s="40"/>
    </row>
    <row r="235" spans="16:18">
      <c r="P235" s="85"/>
      <c r="Q235" s="40"/>
    </row>
    <row r="236" spans="16:18">
      <c r="P236" s="85"/>
      <c r="Q236" s="40"/>
    </row>
    <row r="237" spans="16:18">
      <c r="P237" s="85"/>
      <c r="Q237" s="40"/>
    </row>
    <row r="238" spans="16:18">
      <c r="P238" s="85"/>
      <c r="Q238" s="40"/>
      <c r="R238" s="40"/>
    </row>
    <row r="240" spans="16:18">
      <c r="P240" s="68"/>
      <c r="Q240" s="58"/>
      <c r="R240" s="71"/>
    </row>
    <row r="241" spans="16:18">
      <c r="P241" s="68"/>
      <c r="Q241" s="58"/>
      <c r="R241" s="76"/>
    </row>
    <row r="242" spans="16:18">
      <c r="P242" s="68"/>
      <c r="Q242" s="58"/>
      <c r="R242" s="76"/>
    </row>
    <row r="243" spans="16:18">
      <c r="P243" s="85"/>
      <c r="Q243" s="58"/>
      <c r="R243" s="71"/>
    </row>
    <row r="244" spans="16:18">
      <c r="P244" s="85"/>
      <c r="Q244" s="40"/>
      <c r="R244" s="40"/>
    </row>
    <row r="246" spans="16:18">
      <c r="P246" s="68"/>
      <c r="Q246" s="58"/>
      <c r="R246" s="71"/>
    </row>
    <row r="247" spans="16:18">
      <c r="P247" s="68"/>
      <c r="Q247" s="58"/>
      <c r="R247" s="76"/>
    </row>
    <row r="248" spans="16:18">
      <c r="P248" s="68"/>
      <c r="Q248" s="58"/>
      <c r="R248" s="76"/>
    </row>
    <row r="249" spans="16:18">
      <c r="P249" s="85"/>
      <c r="Q249" s="58"/>
      <c r="R249" s="71"/>
    </row>
    <row r="251" spans="16:18">
      <c r="P251" s="68"/>
      <c r="Q251" s="61"/>
      <c r="R251" s="40"/>
    </row>
    <row r="252" spans="16:18">
      <c r="P252" s="85"/>
      <c r="Q252" s="40"/>
      <c r="R252" s="40"/>
    </row>
    <row r="253" spans="16:18">
      <c r="P253" s="85"/>
      <c r="Q253" s="40"/>
      <c r="R253" s="40"/>
    </row>
    <row r="254" spans="16:18">
      <c r="P254" s="85"/>
      <c r="Q254" s="40"/>
      <c r="R254" s="40"/>
    </row>
    <row r="255" spans="16:18">
      <c r="P255" s="85"/>
      <c r="Q255" s="40"/>
      <c r="R255" s="40"/>
    </row>
    <row r="256" spans="16:18">
      <c r="P256" s="85"/>
      <c r="Q256" s="40"/>
      <c r="R256" s="40"/>
    </row>
    <row r="257" spans="16:18">
      <c r="P257" s="85"/>
      <c r="Q257" s="40"/>
      <c r="R257" s="40"/>
    </row>
    <row r="258" spans="16:18">
      <c r="P258" s="85"/>
      <c r="Q258" s="40"/>
      <c r="R258" s="40"/>
    </row>
    <row r="259" spans="16:18">
      <c r="P259" s="85"/>
      <c r="Q259" s="40"/>
      <c r="R259" s="40"/>
    </row>
    <row r="260" spans="16:18">
      <c r="P260" s="85"/>
      <c r="Q260" s="40"/>
      <c r="R260" s="40"/>
    </row>
    <row r="261" spans="16:18">
      <c r="P261" s="85"/>
      <c r="Q261" s="40"/>
      <c r="R261" s="40"/>
    </row>
    <row r="262" spans="16:18">
      <c r="P262" s="85"/>
      <c r="Q262" s="40"/>
      <c r="R262" s="40"/>
    </row>
    <row r="263" spans="16:18">
      <c r="P263" s="85"/>
      <c r="Q263" s="40"/>
      <c r="R263" s="40"/>
    </row>
    <row r="264" spans="16:18">
      <c r="P264" s="85"/>
      <c r="Q264" s="40"/>
      <c r="R264" s="40"/>
    </row>
    <row r="265" spans="16:18">
      <c r="P265" s="85"/>
      <c r="Q265" s="40"/>
      <c r="R265" s="40"/>
    </row>
    <row r="266" spans="16:18">
      <c r="P266" s="85"/>
      <c r="Q266" s="40"/>
      <c r="R266" s="40"/>
    </row>
    <row r="267" spans="16:18">
      <c r="P267" s="85"/>
      <c r="Q267" s="40"/>
      <c r="R267" s="40"/>
    </row>
    <row r="268" spans="16:18">
      <c r="P268" s="85"/>
      <c r="Q268" s="40"/>
    </row>
    <row r="269" spans="16:18">
      <c r="P269" s="85"/>
      <c r="Q269" s="40"/>
    </row>
    <row r="270" spans="16:18">
      <c r="P270" s="85"/>
      <c r="Q270" s="40"/>
    </row>
    <row r="271" spans="16:18">
      <c r="P271" s="85"/>
      <c r="Q271" s="40"/>
      <c r="R271" s="40"/>
    </row>
    <row r="273" spans="16:18">
      <c r="P273" s="68"/>
      <c r="Q273" s="58"/>
      <c r="R273" s="71"/>
    </row>
    <row r="274" spans="16:18">
      <c r="P274" s="68"/>
      <c r="Q274" s="58"/>
      <c r="R274" s="76"/>
    </row>
    <row r="275" spans="16:18">
      <c r="P275" s="68"/>
      <c r="Q275" s="58"/>
      <c r="R275" s="76"/>
    </row>
    <row r="276" spans="16:18">
      <c r="P276" s="85"/>
      <c r="Q276" s="58"/>
      <c r="R276" s="71"/>
    </row>
    <row r="277" spans="16:18">
      <c r="P277" s="85"/>
      <c r="Q277" s="40"/>
      <c r="R277" s="40"/>
    </row>
    <row r="279" spans="16:18">
      <c r="P279" s="68"/>
      <c r="Q279" s="58"/>
      <c r="R279" s="71"/>
    </row>
    <row r="280" spans="16:18">
      <c r="P280" s="68"/>
      <c r="Q280" s="58"/>
      <c r="R280" s="76"/>
    </row>
    <row r="281" spans="16:18">
      <c r="P281" s="68"/>
      <c r="Q281" s="58"/>
      <c r="R281" s="76"/>
    </row>
    <row r="282" spans="16:18">
      <c r="P282" s="85"/>
      <c r="Q282" s="58"/>
      <c r="R282" s="71"/>
    </row>
    <row r="284" spans="16:18">
      <c r="P284" s="68"/>
      <c r="Q284" s="61"/>
      <c r="R284" s="40"/>
    </row>
    <row r="285" spans="16:18">
      <c r="P285" s="85"/>
      <c r="Q285" s="40"/>
      <c r="R285" s="40"/>
    </row>
    <row r="286" spans="16:18">
      <c r="P286" s="85"/>
      <c r="Q286" s="40"/>
      <c r="R286" s="40"/>
    </row>
    <row r="287" spans="16:18">
      <c r="P287" s="85"/>
      <c r="Q287" s="40"/>
      <c r="R287" s="40"/>
    </row>
    <row r="288" spans="16:18">
      <c r="P288" s="85"/>
      <c r="Q288" s="40"/>
      <c r="R288" s="40"/>
    </row>
    <row r="289" spans="16:18">
      <c r="P289" s="85"/>
      <c r="Q289" s="40"/>
      <c r="R289" s="40"/>
    </row>
    <row r="290" spans="16:18">
      <c r="P290" s="85"/>
      <c r="Q290" s="40"/>
      <c r="R290" s="40"/>
    </row>
    <row r="291" spans="16:18">
      <c r="P291" s="85"/>
      <c r="Q291" s="40"/>
      <c r="R291" s="40"/>
    </row>
    <row r="292" spans="16:18">
      <c r="P292" s="85"/>
      <c r="Q292" s="40"/>
      <c r="R292" s="40"/>
    </row>
    <row r="293" spans="16:18">
      <c r="P293" s="85"/>
      <c r="Q293" s="40"/>
      <c r="R293" s="40"/>
    </row>
    <row r="294" spans="16:18">
      <c r="P294" s="85"/>
      <c r="Q294" s="40"/>
      <c r="R294" s="40"/>
    </row>
    <row r="295" spans="16:18">
      <c r="P295" s="85"/>
      <c r="Q295" s="40"/>
      <c r="R295" s="40"/>
    </row>
    <row r="296" spans="16:18">
      <c r="P296" s="85"/>
      <c r="Q296" s="40"/>
      <c r="R296" s="40"/>
    </row>
    <row r="297" spans="16:18">
      <c r="P297" s="85"/>
      <c r="Q297" s="40"/>
      <c r="R297" s="40"/>
    </row>
    <row r="298" spans="16:18">
      <c r="P298" s="85"/>
      <c r="Q298" s="40"/>
      <c r="R298" s="40"/>
    </row>
    <row r="299" spans="16:18">
      <c r="P299" s="85"/>
      <c r="Q299" s="40"/>
      <c r="R299" s="40"/>
    </row>
    <row r="300" spans="16:18">
      <c r="P300" s="85"/>
      <c r="Q300" s="40"/>
      <c r="R300" s="40"/>
    </row>
    <row r="301" spans="16:18">
      <c r="P301" s="85"/>
      <c r="Q301" s="40"/>
    </row>
    <row r="302" spans="16:18">
      <c r="P302" s="85"/>
      <c r="Q302" s="40"/>
    </row>
    <row r="303" spans="16:18">
      <c r="P303" s="85"/>
      <c r="Q303" s="40"/>
    </row>
    <row r="304" spans="16:18">
      <c r="P304" s="85"/>
      <c r="Q304" s="40"/>
      <c r="R304" s="40"/>
    </row>
    <row r="306" spans="16:18">
      <c r="P306" s="68"/>
      <c r="Q306" s="58"/>
      <c r="R306" s="71"/>
    </row>
    <row r="307" spans="16:18">
      <c r="P307" s="68"/>
      <c r="Q307" s="58"/>
      <c r="R307" s="76"/>
    </row>
    <row r="308" spans="16:18">
      <c r="P308" s="68"/>
      <c r="Q308" s="58"/>
      <c r="R308" s="76"/>
    </row>
    <row r="309" spans="16:18">
      <c r="P309" s="85"/>
      <c r="Q309" s="58"/>
      <c r="R309" s="71"/>
    </row>
    <row r="310" spans="16:18">
      <c r="P310" s="85"/>
      <c r="Q310" s="40"/>
      <c r="R310" s="40"/>
    </row>
    <row r="312" spans="16:18">
      <c r="P312" s="68"/>
      <c r="Q312" s="58"/>
      <c r="R312" s="71"/>
    </row>
    <row r="313" spans="16:18">
      <c r="P313" s="68"/>
      <c r="Q313" s="58"/>
      <c r="R313" s="76"/>
    </row>
    <row r="314" spans="16:18">
      <c r="P314" s="68"/>
      <c r="Q314" s="58"/>
      <c r="R314" s="76"/>
    </row>
    <row r="315" spans="16:18">
      <c r="P315" s="85"/>
      <c r="Q315" s="58"/>
      <c r="R315" s="71"/>
    </row>
    <row r="317" spans="16:18">
      <c r="P317" s="68"/>
      <c r="Q317" s="61"/>
      <c r="R317" s="40"/>
    </row>
    <row r="318" spans="16:18">
      <c r="P318" s="85"/>
      <c r="Q318" s="40"/>
      <c r="R318" s="40"/>
    </row>
    <row r="319" spans="16:18">
      <c r="P319" s="85"/>
      <c r="Q319" s="40"/>
      <c r="R319" s="40"/>
    </row>
    <row r="320" spans="16:18">
      <c r="P320" s="85"/>
      <c r="Q320" s="40"/>
      <c r="R320" s="40"/>
    </row>
    <row r="321" spans="16:18">
      <c r="P321" s="85"/>
      <c r="Q321" s="40"/>
      <c r="R321" s="40"/>
    </row>
    <row r="322" spans="16:18">
      <c r="P322" s="85"/>
      <c r="Q322" s="40"/>
      <c r="R322" s="40"/>
    </row>
    <row r="323" spans="16:18">
      <c r="P323" s="85"/>
      <c r="Q323" s="40"/>
      <c r="R323" s="40"/>
    </row>
    <row r="324" spans="16:18">
      <c r="P324" s="85"/>
      <c r="Q324" s="40"/>
      <c r="R324" s="40"/>
    </row>
    <row r="325" spans="16:18">
      <c r="P325" s="85"/>
      <c r="Q325" s="40"/>
      <c r="R325" s="40"/>
    </row>
    <row r="326" spans="16:18">
      <c r="P326" s="85"/>
      <c r="Q326" s="40"/>
      <c r="R326" s="40"/>
    </row>
    <row r="327" spans="16:18">
      <c r="P327" s="85"/>
      <c r="Q327" s="40"/>
      <c r="R327" s="40"/>
    </row>
    <row r="328" spans="16:18">
      <c r="P328" s="85"/>
      <c r="Q328" s="40"/>
      <c r="R328" s="40"/>
    </row>
    <row r="329" spans="16:18">
      <c r="P329" s="85"/>
      <c r="Q329" s="40"/>
      <c r="R329" s="40"/>
    </row>
    <row r="330" spans="16:18">
      <c r="P330" s="85"/>
      <c r="Q330" s="40"/>
      <c r="R330" s="40"/>
    </row>
    <row r="331" spans="16:18">
      <c r="P331" s="85"/>
      <c r="Q331" s="40"/>
      <c r="R331" s="40"/>
    </row>
    <row r="332" spans="16:18">
      <c r="P332" s="85"/>
      <c r="Q332" s="40"/>
      <c r="R332" s="40"/>
    </row>
    <row r="333" spans="16:18">
      <c r="P333" s="85"/>
      <c r="Q333" s="40"/>
      <c r="R333" s="40"/>
    </row>
    <row r="334" spans="16:18">
      <c r="P334" s="85"/>
      <c r="Q334" s="40"/>
    </row>
    <row r="335" spans="16:18">
      <c r="P335" s="85"/>
      <c r="Q335" s="40"/>
    </row>
    <row r="336" spans="16:18">
      <c r="P336" s="85"/>
      <c r="Q336" s="40"/>
    </row>
    <row r="337" spans="16:18">
      <c r="P337" s="85"/>
      <c r="Q337" s="40"/>
      <c r="R337" s="40"/>
    </row>
    <row r="339" spans="16:18">
      <c r="P339" s="68"/>
      <c r="Q339" s="58"/>
      <c r="R339" s="71"/>
    </row>
    <row r="340" spans="16:18">
      <c r="P340" s="68"/>
      <c r="Q340" s="58"/>
      <c r="R340" s="76"/>
    </row>
    <row r="341" spans="16:18">
      <c r="P341" s="68"/>
      <c r="Q341" s="58"/>
      <c r="R341" s="76"/>
    </row>
    <row r="342" spans="16:18">
      <c r="P342" s="85"/>
      <c r="Q342" s="58"/>
      <c r="R342" s="71"/>
    </row>
    <row r="343" spans="16:18">
      <c r="P343" s="85"/>
      <c r="Q343" s="40"/>
      <c r="R343" s="40"/>
    </row>
    <row r="345" spans="16:18">
      <c r="P345" s="68"/>
      <c r="Q345" s="58"/>
      <c r="R345" s="71"/>
    </row>
    <row r="346" spans="16:18">
      <c r="P346" s="68"/>
      <c r="Q346" s="58"/>
      <c r="R346" s="76"/>
    </row>
    <row r="347" spans="16:18">
      <c r="P347" s="68"/>
      <c r="Q347" s="58"/>
      <c r="R347" s="76"/>
    </row>
    <row r="348" spans="16:18">
      <c r="P348" s="85"/>
      <c r="Q348" s="58"/>
      <c r="R348" s="71"/>
    </row>
    <row r="350" spans="16:18">
      <c r="P350" s="68"/>
      <c r="Q350" s="61"/>
      <c r="R350" s="40"/>
    </row>
    <row r="351" spans="16:18">
      <c r="P351" s="85"/>
      <c r="Q351" s="40"/>
      <c r="R351" s="40"/>
    </row>
    <row r="352" spans="16:18">
      <c r="P352" s="85"/>
      <c r="Q352" s="40"/>
      <c r="R352" s="40"/>
    </row>
    <row r="353" spans="16:18">
      <c r="P353" s="85"/>
      <c r="Q353" s="40"/>
      <c r="R353" s="40"/>
    </row>
    <row r="354" spans="16:18">
      <c r="P354" s="85"/>
      <c r="Q354" s="40"/>
      <c r="R354" s="40"/>
    </row>
    <row r="355" spans="16:18">
      <c r="P355" s="85"/>
      <c r="Q355" s="40"/>
      <c r="R355" s="40"/>
    </row>
    <row r="356" spans="16:18">
      <c r="P356" s="85"/>
      <c r="Q356" s="40"/>
      <c r="R356" s="40"/>
    </row>
    <row r="357" spans="16:18">
      <c r="P357" s="85"/>
      <c r="Q357" s="40"/>
      <c r="R357" s="40"/>
    </row>
    <row r="358" spans="16:18">
      <c r="P358" s="85"/>
      <c r="Q358" s="40"/>
      <c r="R358" s="40"/>
    </row>
    <row r="359" spans="16:18">
      <c r="P359" s="85"/>
      <c r="Q359" s="40"/>
      <c r="R359" s="40"/>
    </row>
    <row r="360" spans="16:18">
      <c r="P360" s="85"/>
      <c r="Q360" s="40"/>
      <c r="R360" s="40"/>
    </row>
    <row r="361" spans="16:18">
      <c r="P361" s="85"/>
      <c r="Q361" s="40"/>
      <c r="R361" s="40"/>
    </row>
    <row r="362" spans="16:18">
      <c r="P362" s="85"/>
      <c r="Q362" s="40"/>
      <c r="R362" s="40"/>
    </row>
    <row r="363" spans="16:18">
      <c r="P363" s="85"/>
      <c r="Q363" s="40"/>
      <c r="R363" s="40"/>
    </row>
    <row r="364" spans="16:18">
      <c r="P364" s="85"/>
      <c r="Q364" s="40"/>
      <c r="R364" s="40"/>
    </row>
    <row r="365" spans="16:18">
      <c r="P365" s="85"/>
      <c r="Q365" s="40"/>
      <c r="R365" s="40"/>
    </row>
    <row r="366" spans="16:18">
      <c r="P366" s="85"/>
      <c r="Q366" s="40"/>
      <c r="R366" s="40"/>
    </row>
    <row r="367" spans="16:18">
      <c r="P367" s="85"/>
      <c r="Q367" s="40"/>
    </row>
    <row r="368" spans="16:18">
      <c r="P368" s="85"/>
      <c r="Q368" s="40"/>
    </row>
    <row r="369" spans="16:18">
      <c r="P369" s="85"/>
      <c r="Q369" s="40"/>
    </row>
    <row r="370" spans="16:18">
      <c r="P370" s="85"/>
      <c r="Q370" s="40"/>
      <c r="R370" s="40"/>
    </row>
    <row r="372" spans="16:18">
      <c r="P372" s="68"/>
      <c r="Q372" s="58"/>
      <c r="R372" s="71"/>
    </row>
    <row r="373" spans="16:18">
      <c r="P373" s="68"/>
      <c r="Q373" s="58"/>
      <c r="R373" s="76"/>
    </row>
    <row r="374" spans="16:18">
      <c r="P374" s="68"/>
      <c r="Q374" s="58"/>
      <c r="R374" s="76"/>
    </row>
    <row r="375" spans="16:18">
      <c r="P375" s="85"/>
      <c r="Q375" s="58"/>
      <c r="R375" s="71"/>
    </row>
    <row r="376" spans="16:18">
      <c r="P376" s="85"/>
      <c r="Q376" s="40"/>
      <c r="R376" s="40"/>
    </row>
    <row r="378" spans="16:18">
      <c r="P378" s="68"/>
      <c r="Q378" s="58"/>
      <c r="R378" s="71"/>
    </row>
    <row r="379" spans="16:18">
      <c r="P379" s="68"/>
      <c r="Q379" s="58"/>
      <c r="R379" s="76"/>
    </row>
    <row r="380" spans="16:18">
      <c r="P380" s="68"/>
      <c r="Q380" s="58"/>
      <c r="R380" s="76"/>
    </row>
    <row r="381" spans="16:18">
      <c r="P381" s="85"/>
      <c r="Q381" s="58"/>
      <c r="R381" s="71"/>
    </row>
    <row r="383" spans="16:18">
      <c r="P383" s="68"/>
      <c r="Q383" s="61"/>
      <c r="R383" s="40"/>
    </row>
    <row r="384" spans="16:18">
      <c r="P384" s="85"/>
      <c r="Q384" s="40"/>
      <c r="R384" s="40"/>
    </row>
    <row r="385" spans="16:18">
      <c r="P385" s="85"/>
      <c r="Q385" s="40"/>
      <c r="R385" s="40"/>
    </row>
    <row r="386" spans="16:18">
      <c r="P386" s="85"/>
      <c r="Q386" s="40"/>
      <c r="R386" s="40"/>
    </row>
    <row r="387" spans="16:18">
      <c r="P387" s="85"/>
      <c r="Q387" s="40"/>
      <c r="R387" s="40"/>
    </row>
    <row r="388" spans="16:18">
      <c r="P388" s="85"/>
      <c r="Q388" s="40"/>
      <c r="R388" s="40"/>
    </row>
    <row r="389" spans="16:18">
      <c r="P389" s="85"/>
      <c r="Q389" s="40"/>
      <c r="R389" s="40"/>
    </row>
    <row r="390" spans="16:18">
      <c r="P390" s="85"/>
      <c r="Q390" s="40"/>
      <c r="R390" s="40"/>
    </row>
    <row r="391" spans="16:18">
      <c r="P391" s="85"/>
      <c r="Q391" s="40"/>
      <c r="R391" s="40"/>
    </row>
    <row r="392" spans="16:18">
      <c r="P392" s="85"/>
      <c r="Q392" s="40"/>
      <c r="R392" s="40"/>
    </row>
    <row r="393" spans="16:18">
      <c r="P393" s="85"/>
      <c r="Q393" s="40"/>
      <c r="R393" s="40"/>
    </row>
    <row r="394" spans="16:18">
      <c r="P394" s="85"/>
      <c r="Q394" s="40"/>
      <c r="R394" s="40"/>
    </row>
    <row r="395" spans="16:18">
      <c r="P395" s="85"/>
      <c r="Q395" s="40"/>
      <c r="R395" s="40"/>
    </row>
    <row r="396" spans="16:18">
      <c r="P396" s="85"/>
      <c r="Q396" s="40"/>
      <c r="R396" s="40"/>
    </row>
    <row r="397" spans="16:18">
      <c r="P397" s="85"/>
      <c r="Q397" s="40"/>
      <c r="R397" s="40"/>
    </row>
    <row r="398" spans="16:18">
      <c r="P398" s="85"/>
      <c r="Q398" s="40"/>
      <c r="R398" s="40"/>
    </row>
    <row r="399" spans="16:18">
      <c r="P399" s="85"/>
      <c r="Q399" s="40"/>
      <c r="R399" s="40"/>
    </row>
    <row r="400" spans="16:18">
      <c r="P400" s="85"/>
      <c r="Q400" s="40"/>
    </row>
    <row r="401" spans="16:18">
      <c r="P401" s="85"/>
      <c r="Q401" s="40"/>
    </row>
    <row r="402" spans="16:18">
      <c r="P402" s="85"/>
      <c r="Q402" s="40"/>
    </row>
    <row r="403" spans="16:18">
      <c r="P403" s="85"/>
      <c r="Q403" s="40"/>
      <c r="R403" s="40"/>
    </row>
    <row r="405" spans="16:18">
      <c r="P405" s="68"/>
      <c r="Q405" s="58"/>
      <c r="R405" s="71"/>
    </row>
    <row r="406" spans="16:18">
      <c r="P406" s="68"/>
      <c r="Q406" s="58"/>
      <c r="R406" s="76"/>
    </row>
    <row r="407" spans="16:18">
      <c r="P407" s="68"/>
      <c r="Q407" s="58"/>
      <c r="R407" s="76"/>
    </row>
    <row r="408" spans="16:18">
      <c r="P408" s="85"/>
      <c r="Q408" s="58"/>
      <c r="R408" s="71"/>
    </row>
    <row r="409" spans="16:18">
      <c r="P409" s="85"/>
      <c r="Q409" s="40"/>
      <c r="R409" s="40"/>
    </row>
    <row r="411" spans="16:18">
      <c r="P411" s="68"/>
      <c r="Q411" s="58"/>
      <c r="R411" s="71"/>
    </row>
    <row r="412" spans="16:18">
      <c r="P412" s="68"/>
      <c r="Q412" s="58"/>
      <c r="R412" s="76"/>
    </row>
    <row r="413" spans="16:18">
      <c r="P413" s="68"/>
      <c r="Q413" s="58"/>
      <c r="R413" s="76"/>
    </row>
    <row r="414" spans="16:18">
      <c r="P414" s="85"/>
      <c r="Q414" s="58"/>
      <c r="R414" s="71"/>
    </row>
    <row r="416" spans="16:18">
      <c r="P416" s="68"/>
      <c r="Q416" s="61"/>
      <c r="R416" s="40"/>
    </row>
    <row r="417" spans="16:18">
      <c r="P417" s="85"/>
      <c r="Q417" s="40"/>
      <c r="R417" s="40"/>
    </row>
    <row r="418" spans="16:18">
      <c r="P418" s="85"/>
      <c r="Q418" s="40"/>
      <c r="R418" s="40"/>
    </row>
    <row r="419" spans="16:18">
      <c r="P419" s="85"/>
      <c r="Q419" s="40"/>
      <c r="R419" s="40"/>
    </row>
    <row r="420" spans="16:18">
      <c r="P420" s="85"/>
      <c r="Q420" s="40"/>
      <c r="R420" s="40"/>
    </row>
    <row r="421" spans="16:18">
      <c r="P421" s="85"/>
      <c r="Q421" s="40"/>
      <c r="R421" s="40"/>
    </row>
    <row r="422" spans="16:18">
      <c r="P422" s="85"/>
      <c r="Q422" s="40"/>
      <c r="R422" s="40"/>
    </row>
    <row r="423" spans="16:18">
      <c r="P423" s="85"/>
      <c r="Q423" s="40"/>
      <c r="R423" s="40"/>
    </row>
    <row r="424" spans="16:18">
      <c r="P424" s="85"/>
      <c r="Q424" s="40"/>
      <c r="R424" s="40"/>
    </row>
    <row r="425" spans="16:18">
      <c r="P425" s="85"/>
      <c r="Q425" s="40"/>
      <c r="R425" s="40"/>
    </row>
    <row r="426" spans="16:18">
      <c r="P426" s="85"/>
      <c r="Q426" s="40"/>
      <c r="R426" s="40"/>
    </row>
    <row r="427" spans="16:18">
      <c r="P427" s="85"/>
      <c r="Q427" s="40"/>
      <c r="R427" s="40"/>
    </row>
    <row r="428" spans="16:18">
      <c r="P428" s="85"/>
      <c r="Q428" s="40"/>
      <c r="R428" s="40"/>
    </row>
    <row r="429" spans="16:18">
      <c r="P429" s="85"/>
      <c r="Q429" s="40"/>
      <c r="R429" s="40"/>
    </row>
    <row r="430" spans="16:18">
      <c r="P430" s="85"/>
      <c r="Q430" s="40"/>
      <c r="R430" s="40"/>
    </row>
    <row r="431" spans="16:18">
      <c r="P431" s="85"/>
      <c r="Q431" s="40"/>
      <c r="R431" s="40"/>
    </row>
    <row r="432" spans="16:18">
      <c r="P432" s="85"/>
      <c r="Q432" s="40"/>
      <c r="R432" s="40"/>
    </row>
    <row r="433" spans="16:18">
      <c r="P433" s="85"/>
      <c r="Q433" s="40"/>
    </row>
    <row r="434" spans="16:18">
      <c r="P434" s="85"/>
      <c r="Q434" s="40"/>
    </row>
    <row r="435" spans="16:18">
      <c r="P435" s="85"/>
      <c r="Q435" s="40"/>
    </row>
    <row r="436" spans="16:18">
      <c r="P436" s="85"/>
      <c r="Q436" s="40"/>
      <c r="R436" s="40"/>
    </row>
    <row r="438" spans="16:18">
      <c r="P438" s="68"/>
      <c r="Q438" s="58"/>
      <c r="R438" s="71"/>
    </row>
    <row r="439" spans="16:18">
      <c r="P439" s="68"/>
      <c r="Q439" s="58"/>
      <c r="R439" s="76"/>
    </row>
    <row r="440" spans="16:18">
      <c r="P440" s="68"/>
      <c r="Q440" s="58"/>
      <c r="R440" s="76"/>
    </row>
    <row r="441" spans="16:18">
      <c r="P441" s="85"/>
      <c r="Q441" s="58"/>
      <c r="R441" s="71"/>
    </row>
    <row r="442" spans="16:18">
      <c r="P442" s="85"/>
      <c r="Q442" s="40"/>
      <c r="R442" s="40"/>
    </row>
    <row r="444" spans="16:18">
      <c r="P444" s="68"/>
      <c r="Q444" s="58"/>
      <c r="R444" s="71"/>
    </row>
    <row r="445" spans="16:18">
      <c r="P445" s="68"/>
      <c r="Q445" s="58"/>
      <c r="R445" s="76"/>
    </row>
    <row r="446" spans="16:18">
      <c r="P446" s="68"/>
      <c r="Q446" s="58"/>
      <c r="R446" s="76"/>
    </row>
    <row r="447" spans="16:18">
      <c r="P447" s="85"/>
      <c r="Q447" s="58"/>
      <c r="R447" s="71"/>
    </row>
    <row r="449" spans="16:18">
      <c r="P449" s="68"/>
      <c r="Q449" s="61"/>
      <c r="R449" s="40"/>
    </row>
    <row r="450" spans="16:18">
      <c r="P450" s="85"/>
      <c r="Q450" s="40"/>
      <c r="R450" s="40"/>
    </row>
    <row r="451" spans="16:18">
      <c r="P451" s="85"/>
      <c r="Q451" s="40"/>
      <c r="R451" s="40"/>
    </row>
    <row r="452" spans="16:18">
      <c r="P452" s="85"/>
      <c r="Q452" s="40"/>
      <c r="R452" s="40"/>
    </row>
    <row r="453" spans="16:18">
      <c r="P453" s="85"/>
      <c r="Q453" s="40"/>
      <c r="R453" s="40"/>
    </row>
    <row r="454" spans="16:18">
      <c r="P454" s="85"/>
      <c r="Q454" s="40"/>
      <c r="R454" s="40"/>
    </row>
    <row r="455" spans="16:18">
      <c r="P455" s="85"/>
      <c r="Q455" s="40"/>
      <c r="R455" s="40"/>
    </row>
    <row r="456" spans="16:18">
      <c r="P456" s="85"/>
      <c r="Q456" s="40"/>
      <c r="R456" s="40"/>
    </row>
    <row r="457" spans="16:18">
      <c r="P457" s="85"/>
      <c r="Q457" s="40"/>
      <c r="R457" s="40"/>
    </row>
    <row r="458" spans="16:18">
      <c r="P458" s="85"/>
      <c r="Q458" s="40"/>
      <c r="R458" s="40"/>
    </row>
    <row r="459" spans="16:18">
      <c r="P459" s="85"/>
      <c r="Q459" s="40"/>
      <c r="R459" s="40"/>
    </row>
    <row r="460" spans="16:18">
      <c r="P460" s="85"/>
      <c r="Q460" s="40"/>
      <c r="R460" s="40"/>
    </row>
    <row r="461" spans="16:18">
      <c r="P461" s="85"/>
      <c r="Q461" s="40"/>
      <c r="R461" s="40"/>
    </row>
    <row r="462" spans="16:18">
      <c r="P462" s="85"/>
      <c r="Q462" s="40"/>
      <c r="R462" s="40"/>
    </row>
    <row r="463" spans="16:18">
      <c r="P463" s="85"/>
      <c r="Q463" s="40"/>
      <c r="R463" s="40"/>
    </row>
    <row r="464" spans="16:18">
      <c r="P464" s="85"/>
      <c r="Q464" s="40"/>
      <c r="R464" s="40"/>
    </row>
    <row r="465" spans="16:18">
      <c r="P465" s="85"/>
      <c r="Q465" s="40"/>
      <c r="R465" s="40"/>
    </row>
    <row r="466" spans="16:18">
      <c r="P466" s="85"/>
      <c r="Q466" s="40"/>
    </row>
    <row r="467" spans="16:18">
      <c r="P467" s="85"/>
      <c r="Q467" s="40"/>
    </row>
    <row r="468" spans="16:18">
      <c r="P468" s="85"/>
      <c r="Q468" s="40"/>
    </row>
    <row r="469" spans="16:18">
      <c r="P469" s="85"/>
      <c r="Q469" s="40"/>
      <c r="R469" s="40"/>
    </row>
    <row r="471" spans="16:18">
      <c r="P471" s="68"/>
      <c r="Q471" s="58"/>
      <c r="R471" s="71"/>
    </row>
    <row r="472" spans="16:18">
      <c r="P472" s="68"/>
      <c r="Q472" s="58"/>
      <c r="R472" s="76"/>
    </row>
    <row r="473" spans="16:18">
      <c r="P473" s="68"/>
      <c r="Q473" s="58"/>
      <c r="R473" s="76"/>
    </row>
    <row r="474" spans="16:18">
      <c r="P474" s="85"/>
      <c r="Q474" s="58"/>
      <c r="R474" s="71"/>
    </row>
    <row r="475" spans="16:18">
      <c r="P475" s="85"/>
      <c r="Q475" s="40"/>
      <c r="R475" s="40"/>
    </row>
    <row r="477" spans="16:18">
      <c r="P477" s="68"/>
      <c r="Q477" s="58"/>
      <c r="R477" s="71"/>
    </row>
    <row r="478" spans="16:18">
      <c r="P478" s="68"/>
      <c r="Q478" s="58"/>
      <c r="R478" s="76"/>
    </row>
    <row r="479" spans="16:18">
      <c r="P479" s="68"/>
      <c r="Q479" s="58"/>
      <c r="R479" s="76"/>
    </row>
    <row r="480" spans="16:18">
      <c r="P480" s="85"/>
      <c r="Q480" s="58"/>
      <c r="R480" s="71"/>
    </row>
    <row r="482" spans="16:18">
      <c r="P482" s="68"/>
      <c r="Q482" s="61"/>
      <c r="R482" s="40"/>
    </row>
    <row r="483" spans="16:18">
      <c r="P483" s="85"/>
      <c r="Q483" s="40"/>
      <c r="R483" s="40"/>
    </row>
    <row r="484" spans="16:18">
      <c r="P484" s="85"/>
      <c r="Q484" s="40"/>
      <c r="R484" s="40"/>
    </row>
    <row r="485" spans="16:18">
      <c r="P485" s="85"/>
      <c r="Q485" s="40"/>
      <c r="R485" s="40"/>
    </row>
    <row r="486" spans="16:18">
      <c r="P486" s="85"/>
      <c r="Q486" s="40"/>
      <c r="R486" s="40"/>
    </row>
    <row r="487" spans="16:18">
      <c r="P487" s="85"/>
      <c r="Q487" s="40"/>
      <c r="R487" s="40"/>
    </row>
    <row r="488" spans="16:18">
      <c r="P488" s="85"/>
      <c r="Q488" s="40"/>
      <c r="R488" s="40"/>
    </row>
    <row r="489" spans="16:18">
      <c r="P489" s="85"/>
      <c r="Q489" s="40"/>
      <c r="R489" s="40"/>
    </row>
    <row r="490" spans="16:18">
      <c r="P490" s="85"/>
      <c r="Q490" s="40"/>
      <c r="R490" s="40"/>
    </row>
    <row r="491" spans="16:18">
      <c r="P491" s="85"/>
      <c r="Q491" s="40"/>
      <c r="R491" s="40"/>
    </row>
    <row r="492" spans="16:18">
      <c r="P492" s="85"/>
      <c r="Q492" s="40"/>
      <c r="R492" s="40"/>
    </row>
    <row r="493" spans="16:18">
      <c r="P493" s="85"/>
      <c r="Q493" s="40"/>
      <c r="R493" s="40"/>
    </row>
    <row r="494" spans="16:18">
      <c r="P494" s="85"/>
      <c r="Q494" s="40"/>
      <c r="R494" s="40"/>
    </row>
    <row r="495" spans="16:18">
      <c r="P495" s="85"/>
      <c r="Q495" s="40"/>
      <c r="R495" s="40"/>
    </row>
    <row r="496" spans="16:18">
      <c r="P496" s="85"/>
      <c r="Q496" s="40"/>
      <c r="R496" s="40"/>
    </row>
    <row r="497" spans="16:18">
      <c r="P497" s="85"/>
      <c r="Q497" s="40"/>
      <c r="R497" s="40"/>
    </row>
    <row r="498" spans="16:18">
      <c r="P498" s="85"/>
      <c r="Q498" s="40"/>
      <c r="R498" s="40"/>
    </row>
    <row r="499" spans="16:18">
      <c r="P499" s="85"/>
      <c r="Q499" s="40"/>
    </row>
    <row r="500" spans="16:18">
      <c r="P500" s="85"/>
      <c r="Q500" s="40"/>
    </row>
    <row r="501" spans="16:18">
      <c r="P501" s="85"/>
      <c r="Q501" s="40"/>
    </row>
    <row r="502" spans="16:18">
      <c r="P502" s="85"/>
      <c r="Q502" s="40"/>
      <c r="R502" s="40"/>
    </row>
    <row r="504" spans="16:18">
      <c r="P504" s="68"/>
      <c r="Q504" s="58"/>
      <c r="R504" s="71"/>
    </row>
    <row r="505" spans="16:18">
      <c r="P505" s="68"/>
      <c r="Q505" s="58"/>
      <c r="R505" s="76"/>
    </row>
    <row r="506" spans="16:18">
      <c r="P506" s="68"/>
      <c r="Q506" s="58"/>
      <c r="R506" s="76"/>
    </row>
    <row r="507" spans="16:18">
      <c r="P507" s="85"/>
      <c r="Q507" s="58"/>
      <c r="R507" s="71"/>
    </row>
    <row r="508" spans="16:18">
      <c r="P508" s="85"/>
      <c r="Q508" s="40"/>
      <c r="R508" s="40"/>
    </row>
    <row r="510" spans="16:18">
      <c r="P510" s="68"/>
      <c r="Q510" s="58"/>
      <c r="R510" s="71"/>
    </row>
    <row r="511" spans="16:18">
      <c r="P511" s="68"/>
      <c r="Q511" s="58"/>
      <c r="R511" s="76"/>
    </row>
    <row r="512" spans="16:18">
      <c r="P512" s="68"/>
      <c r="Q512" s="58"/>
      <c r="R512" s="76"/>
    </row>
    <row r="513" spans="16:18">
      <c r="P513" s="85"/>
      <c r="Q513" s="58"/>
      <c r="R513" s="71"/>
    </row>
    <row r="515" spans="16:18">
      <c r="P515" s="68"/>
      <c r="Q515" s="61"/>
      <c r="R515" s="40"/>
    </row>
    <row r="516" spans="16:18">
      <c r="P516" s="85"/>
      <c r="Q516" s="40"/>
      <c r="R516" s="40"/>
    </row>
    <row r="517" spans="16:18">
      <c r="P517" s="85"/>
      <c r="Q517" s="40"/>
      <c r="R517" s="40"/>
    </row>
    <row r="518" spans="16:18">
      <c r="P518" s="85"/>
      <c r="Q518" s="40"/>
      <c r="R518" s="40"/>
    </row>
    <row r="519" spans="16:18">
      <c r="P519" s="85"/>
      <c r="Q519" s="40"/>
      <c r="R519" s="40"/>
    </row>
    <row r="520" spans="16:18">
      <c r="P520" s="85"/>
      <c r="Q520" s="40"/>
      <c r="R520" s="40"/>
    </row>
    <row r="521" spans="16:18">
      <c r="P521" s="85"/>
      <c r="Q521" s="40"/>
      <c r="R521" s="40"/>
    </row>
    <row r="522" spans="16:18">
      <c r="P522" s="85"/>
      <c r="Q522" s="40"/>
      <c r="R522" s="40"/>
    </row>
    <row r="523" spans="16:18">
      <c r="P523" s="85"/>
      <c r="Q523" s="40"/>
      <c r="R523" s="40"/>
    </row>
    <row r="524" spans="16:18">
      <c r="P524" s="85"/>
      <c r="Q524" s="40"/>
      <c r="R524" s="40"/>
    </row>
    <row r="525" spans="16:18">
      <c r="P525" s="85"/>
      <c r="Q525" s="40"/>
      <c r="R525" s="40"/>
    </row>
    <row r="526" spans="16:18">
      <c r="P526" s="85"/>
      <c r="Q526" s="40"/>
      <c r="R526" s="40"/>
    </row>
    <row r="527" spans="16:18">
      <c r="P527" s="85"/>
      <c r="Q527" s="40"/>
      <c r="R527" s="40"/>
    </row>
    <row r="528" spans="16:18">
      <c r="P528" s="85"/>
      <c r="Q528" s="40"/>
      <c r="R528" s="40"/>
    </row>
    <row r="529" spans="16:18">
      <c r="P529" s="85"/>
      <c r="Q529" s="40"/>
      <c r="R529" s="40"/>
    </row>
    <row r="530" spans="16:18">
      <c r="P530" s="85"/>
      <c r="Q530" s="40"/>
      <c r="R530" s="40"/>
    </row>
    <row r="531" spans="16:18">
      <c r="P531" s="85"/>
      <c r="Q531" s="40"/>
      <c r="R531" s="40"/>
    </row>
    <row r="532" spans="16:18">
      <c r="P532" s="85"/>
      <c r="Q532" s="40"/>
    </row>
    <row r="533" spans="16:18">
      <c r="P533" s="85"/>
      <c r="Q533" s="40"/>
    </row>
    <row r="534" spans="16:18">
      <c r="P534" s="85"/>
      <c r="Q534" s="40"/>
    </row>
    <row r="535" spans="16:18">
      <c r="P535" s="85"/>
      <c r="Q535" s="40"/>
      <c r="R535" s="40"/>
    </row>
    <row r="537" spans="16:18">
      <c r="P537" s="68"/>
      <c r="Q537" s="58"/>
      <c r="R537" s="71"/>
    </row>
    <row r="538" spans="16:18">
      <c r="P538" s="68"/>
      <c r="Q538" s="58"/>
      <c r="R538" s="76"/>
    </row>
    <row r="539" spans="16:18">
      <c r="P539" s="68"/>
      <c r="Q539" s="58"/>
      <c r="R539" s="76"/>
    </row>
    <row r="540" spans="16:18">
      <c r="P540" s="85"/>
      <c r="Q540" s="58"/>
      <c r="R540" s="71"/>
    </row>
    <row r="541" spans="16:18">
      <c r="P541" s="85"/>
      <c r="Q541" s="40"/>
      <c r="R541" s="40"/>
    </row>
    <row r="543" spans="16:18">
      <c r="P543" s="68"/>
      <c r="Q543" s="58"/>
      <c r="R543" s="71"/>
    </row>
    <row r="544" spans="16:18">
      <c r="P544" s="68"/>
      <c r="Q544" s="58"/>
      <c r="R544" s="76"/>
    </row>
    <row r="545" spans="16:18">
      <c r="P545" s="68"/>
      <c r="Q545" s="58"/>
      <c r="R545" s="76"/>
    </row>
    <row r="546" spans="16:18">
      <c r="P546" s="85"/>
      <c r="Q546" s="58"/>
      <c r="R546" s="71"/>
    </row>
    <row r="548" spans="16:18">
      <c r="P548" s="68"/>
      <c r="Q548" s="61"/>
      <c r="R548" s="40"/>
    </row>
    <row r="549" spans="16:18">
      <c r="P549" s="85"/>
      <c r="Q549" s="40"/>
      <c r="R549" s="40"/>
    </row>
    <row r="550" spans="16:18">
      <c r="P550" s="85"/>
      <c r="Q550" s="40"/>
      <c r="R550" s="40"/>
    </row>
    <row r="551" spans="16:18">
      <c r="P551" s="85"/>
      <c r="Q551" s="40"/>
      <c r="R551" s="40"/>
    </row>
    <row r="552" spans="16:18">
      <c r="P552" s="85"/>
      <c r="Q552" s="40"/>
      <c r="R552" s="40"/>
    </row>
    <row r="553" spans="16:18">
      <c r="P553" s="85"/>
      <c r="Q553" s="40"/>
      <c r="R553" s="40"/>
    </row>
    <row r="554" spans="16:18">
      <c r="P554" s="85"/>
      <c r="Q554" s="40"/>
      <c r="R554" s="40"/>
    </row>
    <row r="555" spans="16:18">
      <c r="P555" s="85"/>
      <c r="Q555" s="40"/>
      <c r="R555" s="40"/>
    </row>
    <row r="556" spans="16:18">
      <c r="P556" s="85"/>
      <c r="Q556" s="40"/>
      <c r="R556" s="40"/>
    </row>
    <row r="557" spans="16:18">
      <c r="P557" s="85"/>
      <c r="Q557" s="40"/>
      <c r="R557" s="40"/>
    </row>
    <row r="558" spans="16:18">
      <c r="P558" s="85"/>
      <c r="Q558" s="40"/>
      <c r="R558" s="40"/>
    </row>
    <row r="559" spans="16:18">
      <c r="P559" s="85"/>
      <c r="Q559" s="40"/>
      <c r="R559" s="40"/>
    </row>
    <row r="560" spans="16:18">
      <c r="P560" s="85"/>
      <c r="Q560" s="40"/>
      <c r="R560" s="40"/>
    </row>
    <row r="561" spans="16:18">
      <c r="P561" s="85"/>
      <c r="Q561" s="40"/>
      <c r="R561" s="40"/>
    </row>
    <row r="562" spans="16:18">
      <c r="P562" s="85"/>
      <c r="Q562" s="40"/>
      <c r="R562" s="40"/>
    </row>
    <row r="563" spans="16:18">
      <c r="P563" s="85"/>
      <c r="Q563" s="40"/>
      <c r="R563" s="40"/>
    </row>
    <row r="564" spans="16:18">
      <c r="P564" s="85"/>
      <c r="Q564" s="40"/>
      <c r="R564" s="40"/>
    </row>
    <row r="565" spans="16:18">
      <c r="P565" s="85"/>
      <c r="Q565" s="40"/>
    </row>
    <row r="566" spans="16:18">
      <c r="P566" s="85"/>
      <c r="Q566" s="40"/>
    </row>
    <row r="567" spans="16:18">
      <c r="P567" s="85"/>
      <c r="Q567" s="40"/>
    </row>
    <row r="568" spans="16:18">
      <c r="P568" s="85"/>
      <c r="Q568" s="40"/>
      <c r="R568" s="40"/>
    </row>
    <row r="570" spans="16:18">
      <c r="P570" s="68"/>
      <c r="Q570" s="58"/>
      <c r="R570" s="71"/>
    </row>
    <row r="571" spans="16:18">
      <c r="P571" s="68"/>
      <c r="Q571" s="58"/>
      <c r="R571" s="76"/>
    </row>
    <row r="572" spans="16:18">
      <c r="P572" s="68"/>
      <c r="Q572" s="58"/>
      <c r="R572" s="76"/>
    </row>
    <row r="573" spans="16:18">
      <c r="P573" s="85"/>
      <c r="Q573" s="58"/>
      <c r="R573" s="71"/>
    </row>
    <row r="574" spans="16:18">
      <c r="P574" s="85"/>
      <c r="Q574" s="40"/>
      <c r="R574" s="40"/>
    </row>
    <row r="576" spans="16:18">
      <c r="P576" s="68"/>
      <c r="Q576" s="58"/>
      <c r="R576" s="71"/>
    </row>
    <row r="577" spans="16:18">
      <c r="P577" s="68"/>
      <c r="Q577" s="58"/>
      <c r="R577" s="76"/>
    </row>
    <row r="578" spans="16:18">
      <c r="P578" s="68"/>
      <c r="Q578" s="58"/>
      <c r="R578" s="76"/>
    </row>
    <row r="579" spans="16:18">
      <c r="P579" s="85"/>
      <c r="Q579" s="58"/>
      <c r="R579" s="71"/>
    </row>
    <row r="581" spans="16:18">
      <c r="P581" s="68"/>
      <c r="Q581" s="61"/>
      <c r="R581" s="40"/>
    </row>
    <row r="582" spans="16:18">
      <c r="P582" s="85"/>
      <c r="Q582" s="40"/>
      <c r="R582" s="40"/>
    </row>
    <row r="583" spans="16:18">
      <c r="P583" s="85"/>
      <c r="Q583" s="40"/>
      <c r="R583" s="40"/>
    </row>
    <row r="584" spans="16:18">
      <c r="P584" s="85"/>
      <c r="Q584" s="40"/>
      <c r="R584" s="40"/>
    </row>
    <row r="585" spans="16:18">
      <c r="P585" s="85"/>
      <c r="Q585" s="40"/>
      <c r="R585" s="40"/>
    </row>
    <row r="586" spans="16:18">
      <c r="P586" s="85"/>
      <c r="Q586" s="40"/>
      <c r="R586" s="40"/>
    </row>
    <row r="587" spans="16:18">
      <c r="P587" s="85"/>
      <c r="Q587" s="40"/>
      <c r="R587" s="40"/>
    </row>
    <row r="588" spans="16:18">
      <c r="P588" s="85"/>
      <c r="Q588" s="40"/>
      <c r="R588" s="40"/>
    </row>
    <row r="589" spans="16:18">
      <c r="P589" s="85"/>
      <c r="Q589" s="40"/>
      <c r="R589" s="40"/>
    </row>
    <row r="590" spans="16:18">
      <c r="P590" s="85"/>
      <c r="Q590" s="40"/>
      <c r="R590" s="40"/>
    </row>
    <row r="591" spans="16:18">
      <c r="P591" s="85"/>
      <c r="Q591" s="40"/>
      <c r="R591" s="40"/>
    </row>
    <row r="592" spans="16:18">
      <c r="P592" s="85"/>
      <c r="Q592" s="40"/>
      <c r="R592" s="40"/>
    </row>
    <row r="593" spans="16:18">
      <c r="P593" s="85"/>
      <c r="Q593" s="40"/>
      <c r="R593" s="40"/>
    </row>
    <row r="594" spans="16:18">
      <c r="P594" s="85"/>
      <c r="Q594" s="40"/>
      <c r="R594" s="40"/>
    </row>
    <row r="595" spans="16:18">
      <c r="P595" s="85"/>
      <c r="Q595" s="40"/>
      <c r="R595" s="40"/>
    </row>
    <row r="596" spans="16:18">
      <c r="P596" s="85"/>
      <c r="Q596" s="40"/>
      <c r="R596" s="40"/>
    </row>
    <row r="597" spans="16:18">
      <c r="P597" s="85"/>
      <c r="Q597" s="40"/>
      <c r="R597" s="40"/>
    </row>
    <row r="598" spans="16:18">
      <c r="P598" s="85"/>
      <c r="Q598" s="40"/>
    </row>
    <row r="599" spans="16:18">
      <c r="P599" s="85"/>
      <c r="Q599" s="40"/>
    </row>
    <row r="600" spans="16:18">
      <c r="P600" s="85"/>
      <c r="Q600" s="40"/>
    </row>
    <row r="601" spans="16:18">
      <c r="P601" s="85"/>
      <c r="Q601" s="40"/>
      <c r="R601" s="40"/>
    </row>
    <row r="603" spans="16:18">
      <c r="P603" s="68"/>
      <c r="Q603" s="58"/>
      <c r="R603" s="71"/>
    </row>
    <row r="604" spans="16:18">
      <c r="P604" s="68"/>
      <c r="Q604" s="58"/>
      <c r="R604" s="76"/>
    </row>
    <row r="605" spans="16:18">
      <c r="P605" s="68"/>
      <c r="Q605" s="58"/>
      <c r="R605" s="76"/>
    </row>
    <row r="606" spans="16:18">
      <c r="P606" s="85"/>
      <c r="Q606" s="58"/>
      <c r="R606" s="71"/>
    </row>
    <row r="607" spans="16:18">
      <c r="P607" s="85"/>
      <c r="Q607" s="40"/>
      <c r="R607" s="40"/>
    </row>
    <row r="609" spans="16:18">
      <c r="P609" s="68"/>
      <c r="Q609" s="58"/>
      <c r="R609" s="71"/>
    </row>
    <row r="610" spans="16:18">
      <c r="P610" s="68"/>
      <c r="Q610" s="58"/>
      <c r="R610" s="76"/>
    </row>
    <row r="611" spans="16:18">
      <c r="P611" s="68"/>
      <c r="Q611" s="58"/>
      <c r="R611" s="76"/>
    </row>
    <row r="612" spans="16:18">
      <c r="P612" s="85"/>
      <c r="Q612" s="58"/>
      <c r="R612" s="71"/>
    </row>
    <row r="614" spans="16:18">
      <c r="P614" s="68"/>
      <c r="Q614" s="61"/>
      <c r="R614" s="40"/>
    </row>
    <row r="615" spans="16:18">
      <c r="P615" s="85"/>
      <c r="Q615" s="40"/>
      <c r="R615" s="40"/>
    </row>
    <row r="616" spans="16:18">
      <c r="P616" s="85"/>
      <c r="Q616" s="40"/>
      <c r="R616" s="40"/>
    </row>
    <row r="617" spans="16:18">
      <c r="P617" s="85"/>
      <c r="Q617" s="40"/>
      <c r="R617" s="40"/>
    </row>
    <row r="618" spans="16:18">
      <c r="P618" s="85"/>
      <c r="Q618" s="40"/>
      <c r="R618" s="40"/>
    </row>
    <row r="619" spans="16:18">
      <c r="P619" s="85"/>
      <c r="Q619" s="40"/>
      <c r="R619" s="40"/>
    </row>
    <row r="620" spans="16:18">
      <c r="P620" s="85"/>
      <c r="Q620" s="40"/>
      <c r="R620" s="40"/>
    </row>
    <row r="621" spans="16:18">
      <c r="P621" s="85"/>
      <c r="Q621" s="40"/>
      <c r="R621" s="40"/>
    </row>
    <row r="622" spans="16:18">
      <c r="P622" s="85"/>
      <c r="Q622" s="40"/>
      <c r="R622" s="40"/>
    </row>
    <row r="623" spans="16:18">
      <c r="P623" s="85"/>
      <c r="Q623" s="40"/>
      <c r="R623" s="40"/>
    </row>
    <row r="624" spans="16:18">
      <c r="P624" s="85"/>
      <c r="Q624" s="40"/>
      <c r="R624" s="40"/>
    </row>
    <row r="625" spans="16:18">
      <c r="P625" s="85"/>
      <c r="Q625" s="40"/>
      <c r="R625" s="40"/>
    </row>
    <row r="626" spans="16:18">
      <c r="P626" s="85"/>
      <c r="Q626" s="40"/>
      <c r="R626" s="40"/>
    </row>
    <row r="627" spans="16:18">
      <c r="P627" s="85"/>
      <c r="Q627" s="40"/>
      <c r="R627" s="40"/>
    </row>
    <row r="628" spans="16:18">
      <c r="P628" s="85"/>
      <c r="Q628" s="40"/>
      <c r="R628" s="40"/>
    </row>
    <row r="629" spans="16:18">
      <c r="P629" s="85"/>
      <c r="Q629" s="40"/>
      <c r="R629" s="40"/>
    </row>
    <row r="630" spans="16:18">
      <c r="P630" s="85"/>
      <c r="Q630" s="40"/>
      <c r="R630" s="40"/>
    </row>
    <row r="631" spans="16:18">
      <c r="P631" s="85"/>
      <c r="Q631" s="40"/>
    </row>
    <row r="632" spans="16:18">
      <c r="P632" s="85"/>
      <c r="Q632" s="40"/>
    </row>
    <row r="633" spans="16:18">
      <c r="P633" s="85"/>
      <c r="Q633" s="40"/>
    </row>
    <row r="634" spans="16:18">
      <c r="P634" s="85"/>
      <c r="Q634" s="40"/>
      <c r="R634" s="40"/>
    </row>
    <row r="636" spans="16:18">
      <c r="P636" s="68"/>
      <c r="Q636" s="58"/>
      <c r="R636" s="71"/>
    </row>
    <row r="637" spans="16:18">
      <c r="P637" s="68"/>
      <c r="Q637" s="58"/>
      <c r="R637" s="76"/>
    </row>
    <row r="638" spans="16:18">
      <c r="P638" s="68"/>
      <c r="Q638" s="58"/>
      <c r="R638" s="76"/>
    </row>
    <row r="639" spans="16:18">
      <c r="P639" s="85"/>
      <c r="Q639" s="58"/>
      <c r="R639" s="71"/>
    </row>
    <row r="640" spans="16:18">
      <c r="P640" s="85"/>
      <c r="Q640" s="40"/>
      <c r="R640" s="40"/>
    </row>
    <row r="642" spans="16:18">
      <c r="P642" s="68"/>
      <c r="Q642" s="58"/>
      <c r="R642" s="71"/>
    </row>
    <row r="643" spans="16:18">
      <c r="P643" s="68"/>
      <c r="Q643" s="58"/>
      <c r="R643" s="76"/>
    </row>
    <row r="644" spans="16:18">
      <c r="P644" s="68"/>
      <c r="Q644" s="58"/>
      <c r="R644" s="76"/>
    </row>
    <row r="645" spans="16:18">
      <c r="P645" s="85"/>
      <c r="Q645" s="58"/>
      <c r="R645" s="71"/>
    </row>
    <row r="647" spans="16:18">
      <c r="P647" s="68"/>
      <c r="Q647" s="61"/>
      <c r="R647" s="40"/>
    </row>
    <row r="648" spans="16:18">
      <c r="P648" s="85"/>
      <c r="Q648" s="40"/>
      <c r="R648" s="40"/>
    </row>
    <row r="649" spans="16:18">
      <c r="P649" s="85"/>
      <c r="Q649" s="40"/>
      <c r="R649" s="40"/>
    </row>
    <row r="650" spans="16:18">
      <c r="P650" s="85"/>
      <c r="Q650" s="40"/>
      <c r="R650" s="40"/>
    </row>
    <row r="651" spans="16:18">
      <c r="P651" s="85"/>
      <c r="Q651" s="40"/>
      <c r="R651" s="40"/>
    </row>
    <row r="652" spans="16:18">
      <c r="P652" s="85"/>
      <c r="Q652" s="40"/>
      <c r="R652" s="40"/>
    </row>
    <row r="653" spans="16:18">
      <c r="P653" s="85"/>
      <c r="Q653" s="40"/>
      <c r="R653" s="40"/>
    </row>
    <row r="654" spans="16:18">
      <c r="P654" s="85"/>
      <c r="Q654" s="40"/>
      <c r="R654" s="40"/>
    </row>
    <row r="655" spans="16:18">
      <c r="P655" s="85"/>
      <c r="Q655" s="40"/>
      <c r="R655" s="40"/>
    </row>
    <row r="656" spans="16:18">
      <c r="P656" s="85"/>
      <c r="Q656" s="40"/>
      <c r="R656" s="40"/>
    </row>
    <row r="657" spans="16:18">
      <c r="P657" s="85"/>
      <c r="Q657" s="40"/>
      <c r="R657" s="40"/>
    </row>
    <row r="658" spans="16:18">
      <c r="P658" s="85"/>
      <c r="Q658" s="40"/>
      <c r="R658" s="40"/>
    </row>
    <row r="659" spans="16:18">
      <c r="P659" s="85"/>
      <c r="Q659" s="40"/>
      <c r="R659" s="40"/>
    </row>
    <row r="660" spans="16:18">
      <c r="P660" s="85"/>
      <c r="Q660" s="40"/>
      <c r="R660" s="40"/>
    </row>
    <row r="661" spans="16:18">
      <c r="P661" s="85"/>
      <c r="Q661" s="40"/>
      <c r="R661" s="40"/>
    </row>
    <row r="662" spans="16:18">
      <c r="P662" s="85"/>
      <c r="Q662" s="40"/>
      <c r="R662" s="40"/>
    </row>
    <row r="663" spans="16:18">
      <c r="P663" s="85"/>
      <c r="Q663" s="40"/>
      <c r="R663" s="40"/>
    </row>
    <row r="664" spans="16:18">
      <c r="P664" s="85"/>
      <c r="Q664" s="40"/>
    </row>
    <row r="665" spans="16:18">
      <c r="P665" s="85"/>
      <c r="Q665" s="40"/>
    </row>
    <row r="666" spans="16:18">
      <c r="P666" s="85"/>
      <c r="Q666" s="40"/>
    </row>
    <row r="667" spans="16:18">
      <c r="P667" s="85"/>
      <c r="Q667" s="40"/>
      <c r="R667" s="40"/>
    </row>
    <row r="669" spans="16:18">
      <c r="P669" s="68"/>
      <c r="Q669" s="58"/>
      <c r="R669" s="71"/>
    </row>
    <row r="670" spans="16:18">
      <c r="P670" s="68"/>
      <c r="Q670" s="58"/>
      <c r="R670" s="76"/>
    </row>
    <row r="671" spans="16:18">
      <c r="P671" s="68"/>
      <c r="Q671" s="58"/>
      <c r="R671" s="76"/>
    </row>
    <row r="672" spans="16:18">
      <c r="P672" s="85"/>
      <c r="Q672" s="58"/>
      <c r="R672" s="71"/>
    </row>
    <row r="673" spans="16:18">
      <c r="P673" s="85"/>
      <c r="Q673" s="40"/>
      <c r="R673" s="40"/>
    </row>
    <row r="675" spans="16:18">
      <c r="P675" s="68"/>
      <c r="Q675" s="58"/>
      <c r="R675" s="71"/>
    </row>
    <row r="676" spans="16:18">
      <c r="P676" s="68"/>
      <c r="Q676" s="58"/>
      <c r="R676" s="76"/>
    </row>
    <row r="677" spans="16:18">
      <c r="P677" s="68"/>
      <c r="Q677" s="58"/>
      <c r="R677" s="76"/>
    </row>
    <row r="678" spans="16:18">
      <c r="P678" s="85"/>
      <c r="Q678" s="58"/>
      <c r="R678" s="71"/>
    </row>
    <row r="680" spans="16:18">
      <c r="P680" s="68"/>
      <c r="Q680" s="61"/>
      <c r="R680" s="40"/>
    </row>
    <row r="681" spans="16:18">
      <c r="P681" s="85"/>
      <c r="Q681" s="40"/>
      <c r="R681" s="40"/>
    </row>
    <row r="682" spans="16:18">
      <c r="P682" s="85"/>
      <c r="Q682" s="40"/>
      <c r="R682" s="40"/>
    </row>
    <row r="683" spans="16:18">
      <c r="P683" s="85"/>
      <c r="Q683" s="40"/>
      <c r="R683" s="40"/>
    </row>
    <row r="684" spans="16:18">
      <c r="P684" s="85"/>
      <c r="Q684" s="40"/>
      <c r="R684" s="40"/>
    </row>
    <row r="685" spans="16:18">
      <c r="P685" s="85"/>
      <c r="Q685" s="40"/>
      <c r="R685" s="40"/>
    </row>
    <row r="686" spans="16:18">
      <c r="P686" s="85"/>
      <c r="Q686" s="40"/>
      <c r="R686" s="40"/>
    </row>
    <row r="687" spans="16:18">
      <c r="P687" s="85"/>
      <c r="Q687" s="40"/>
      <c r="R687" s="40"/>
    </row>
    <row r="688" spans="16:18">
      <c r="P688" s="85"/>
      <c r="Q688" s="40"/>
      <c r="R688" s="40"/>
    </row>
    <row r="689" spans="16:18">
      <c r="P689" s="85"/>
      <c r="Q689" s="40"/>
      <c r="R689" s="40"/>
    </row>
    <row r="690" spans="16:18">
      <c r="P690" s="85"/>
      <c r="Q690" s="40"/>
      <c r="R690" s="40"/>
    </row>
    <row r="691" spans="16:18">
      <c r="P691" s="85"/>
      <c r="Q691" s="40"/>
      <c r="R691" s="40"/>
    </row>
    <row r="692" spans="16:18">
      <c r="P692" s="85"/>
      <c r="Q692" s="40"/>
      <c r="R692" s="40"/>
    </row>
    <row r="693" spans="16:18">
      <c r="P693" s="85"/>
      <c r="Q693" s="40"/>
      <c r="R693" s="40"/>
    </row>
    <row r="694" spans="16:18">
      <c r="P694" s="85"/>
      <c r="Q694" s="40"/>
      <c r="R694" s="40"/>
    </row>
    <row r="695" spans="16:18">
      <c r="P695" s="85"/>
      <c r="Q695" s="40"/>
      <c r="R695" s="40"/>
    </row>
    <row r="696" spans="16:18">
      <c r="P696" s="85"/>
      <c r="Q696" s="40"/>
      <c r="R696" s="40"/>
    </row>
    <row r="697" spans="16:18">
      <c r="P697" s="85"/>
      <c r="Q697" s="40"/>
    </row>
    <row r="698" spans="16:18">
      <c r="P698" s="85"/>
      <c r="Q698" s="40"/>
    </row>
    <row r="699" spans="16:18">
      <c r="P699" s="85"/>
      <c r="Q699" s="40"/>
    </row>
    <row r="700" spans="16:18">
      <c r="P700" s="85"/>
      <c r="Q700" s="40"/>
      <c r="R700" s="40"/>
    </row>
    <row r="702" spans="16:18">
      <c r="P702" s="68"/>
      <c r="Q702" s="58"/>
      <c r="R702" s="71"/>
    </row>
    <row r="703" spans="16:18">
      <c r="P703" s="68"/>
      <c r="Q703" s="58"/>
      <c r="R703" s="76"/>
    </row>
    <row r="704" spans="16:18">
      <c r="P704" s="68"/>
      <c r="Q704" s="58"/>
      <c r="R704" s="76"/>
    </row>
    <row r="705" spans="16:18">
      <c r="P705" s="85"/>
      <c r="Q705" s="58"/>
      <c r="R705" s="71"/>
    </row>
    <row r="706" spans="16:18">
      <c r="P706" s="85"/>
      <c r="Q706" s="40"/>
      <c r="R706" s="40"/>
    </row>
    <row r="708" spans="16:18">
      <c r="P708" s="68"/>
      <c r="Q708" s="58"/>
      <c r="R708" s="71"/>
    </row>
    <row r="709" spans="16:18">
      <c r="P709" s="68"/>
      <c r="Q709" s="58"/>
      <c r="R709" s="76"/>
    </row>
    <row r="710" spans="16:18">
      <c r="P710" s="68"/>
      <c r="Q710" s="58"/>
      <c r="R710" s="76"/>
    </row>
    <row r="711" spans="16:18">
      <c r="P711" s="85"/>
      <c r="Q711" s="58"/>
      <c r="R711" s="71"/>
    </row>
  </sheetData>
  <phoneticPr fontId="40" type="noConversion"/>
  <conditionalFormatting sqref="C83 C67 C70 C75 C78">
    <cfRule type="cellIs" dxfId="1" priority="1" stopIfTrue="1" operator="lessThan">
      <formula>1.5</formula>
    </cfRule>
  </conditionalFormatting>
  <dataValidations xWindow="216" yWindow="593" count="1">
    <dataValidation type="list" allowBlank="1" showInputMessage="1" showErrorMessage="1" errorTitle="Warning!" error="Invalid input for number of piers_x000a_(must input a value between 1 and 4)" promptTitle="Note:" prompt="The user should make sure to clear the contents of all cells below that are not used for input of pier/loading data!" sqref="D22">
      <formula1>$M$3:$M$10</formula1>
    </dataValidation>
  </dataValidations>
  <pageMargins left="1" right="0.5" top="1" bottom="1" header="0.5" footer="0.5"/>
  <pageSetup scale="91" orientation="portrait" r:id="rId1"/>
  <headerFooter alignWithMargins="0">
    <oddHeader>&amp;R"FOOTINGS.xls" Program
Version 3.3</oddHeader>
    <oddFooter>&amp;C&amp;P of &amp;N&amp;R&amp;D  &amp;T</oddFooter>
  </headerFooter>
  <rowBreaks count="1" manualBreakCount="1">
    <brk id="55" min="1" max="10" man="1"/>
  </rowBreaks>
  <drawing r:id="rId2"/>
  <legacyDrawing r:id="rId3"/>
</worksheet>
</file>

<file path=xl/worksheets/sheet4.xml><?xml version="1.0" encoding="utf-8"?>
<worksheet xmlns="http://schemas.openxmlformats.org/spreadsheetml/2006/main" xmlns:r="http://schemas.openxmlformats.org/officeDocument/2006/relationships">
  <dimension ref="A1:X119"/>
  <sheetViews>
    <sheetView zoomScaleNormal="100" workbookViewId="0">
      <selection activeCell="E33" sqref="E33"/>
    </sheetView>
  </sheetViews>
  <sheetFormatPr defaultRowHeight="12.75"/>
  <cols>
    <col min="1" max="9" width="9.140625" style="57"/>
    <col min="10" max="10" width="7.42578125" style="57" customWidth="1"/>
    <col min="11" max="17" width="9.140625" style="57"/>
    <col min="18" max="18" width="10.42578125" style="57" customWidth="1"/>
    <col min="19" max="16384" width="9.140625" style="57"/>
  </cols>
  <sheetData>
    <row r="1" spans="1:24" ht="15.75">
      <c r="A1" s="199" t="s">
        <v>423</v>
      </c>
      <c r="B1" s="25"/>
      <c r="C1" s="25"/>
      <c r="D1" s="25"/>
      <c r="E1" s="25"/>
      <c r="F1" s="25"/>
      <c r="G1" s="25"/>
      <c r="H1" s="25"/>
      <c r="I1" s="25"/>
      <c r="J1" s="25"/>
      <c r="K1" s="24"/>
    </row>
    <row r="2" spans="1:24">
      <c r="A2" s="25"/>
      <c r="B2" s="25"/>
      <c r="C2" s="25"/>
      <c r="D2" s="25"/>
      <c r="E2" s="25"/>
      <c r="F2" s="25"/>
      <c r="G2" s="25"/>
      <c r="H2" s="25"/>
      <c r="I2" s="25"/>
      <c r="J2" s="25"/>
      <c r="K2" s="24"/>
    </row>
    <row r="3" spans="1:24">
      <c r="A3" s="200" t="s">
        <v>422</v>
      </c>
      <c r="B3" s="24"/>
      <c r="C3" s="24"/>
      <c r="D3" s="24"/>
      <c r="E3" s="24"/>
      <c r="F3" s="24"/>
      <c r="G3" s="24"/>
      <c r="H3" s="24"/>
      <c r="I3" s="24"/>
      <c r="J3" s="24"/>
      <c r="K3" s="24"/>
    </row>
    <row r="4" spans="1:24">
      <c r="A4" s="201"/>
      <c r="B4" s="201"/>
      <c r="C4" s="201"/>
      <c r="D4" s="201"/>
      <c r="E4" s="201"/>
      <c r="F4" s="201"/>
      <c r="G4" s="201"/>
      <c r="H4" s="201"/>
      <c r="I4" s="201"/>
      <c r="J4" s="201"/>
      <c r="K4" s="24"/>
    </row>
    <row r="5" spans="1:24" ht="44.25" customHeight="1">
      <c r="A5" s="280" t="s">
        <v>421</v>
      </c>
      <c r="B5" s="280"/>
      <c r="C5" s="280"/>
      <c r="D5" s="280"/>
      <c r="E5" s="280"/>
      <c r="F5" s="280"/>
      <c r="G5" s="280"/>
      <c r="H5" s="280"/>
      <c r="I5" s="280"/>
      <c r="J5" s="280"/>
      <c r="K5" s="24"/>
    </row>
    <row r="6" spans="1:24">
      <c r="A6" s="201"/>
      <c r="B6" s="201"/>
      <c r="C6" s="201"/>
      <c r="D6" s="201"/>
      <c r="E6" s="201"/>
      <c r="F6" s="201"/>
      <c r="G6" s="201"/>
      <c r="H6" s="201"/>
      <c r="I6" s="201"/>
      <c r="J6" s="201"/>
      <c r="K6" s="24"/>
    </row>
    <row r="7" spans="1:24">
      <c r="A7" s="202" t="s">
        <v>420</v>
      </c>
      <c r="B7" s="203"/>
      <c r="C7" s="204"/>
      <c r="D7" s="203" t="s">
        <v>419</v>
      </c>
      <c r="E7" s="203"/>
      <c r="F7" s="203"/>
      <c r="G7" s="203"/>
      <c r="H7" s="203"/>
      <c r="I7" s="203"/>
      <c r="J7" s="204"/>
      <c r="K7" s="203" t="s">
        <v>418</v>
      </c>
      <c r="L7" s="203"/>
      <c r="M7" s="203"/>
      <c r="N7" s="203"/>
      <c r="O7" s="203"/>
      <c r="P7" s="203"/>
      <c r="Q7" s="204"/>
      <c r="R7" s="203" t="s">
        <v>417</v>
      </c>
      <c r="S7" s="203"/>
      <c r="T7" s="203"/>
      <c r="U7" s="203"/>
      <c r="V7" s="203"/>
      <c r="W7" s="203"/>
      <c r="X7" s="204"/>
    </row>
    <row r="8" spans="1:24">
      <c r="A8" s="279" t="s">
        <v>416</v>
      </c>
      <c r="B8" s="279" t="s">
        <v>415</v>
      </c>
      <c r="C8" s="278" t="s">
        <v>414</v>
      </c>
      <c r="D8" s="277" t="s">
        <v>413</v>
      </c>
      <c r="E8" s="277" t="s">
        <v>412</v>
      </c>
      <c r="F8" s="277" t="s">
        <v>411</v>
      </c>
      <c r="G8" s="277" t="s">
        <v>410</v>
      </c>
      <c r="H8" s="277" t="s">
        <v>409</v>
      </c>
      <c r="I8" s="277" t="s">
        <v>408</v>
      </c>
      <c r="J8" s="276" t="s">
        <v>373</v>
      </c>
      <c r="K8" s="277" t="s">
        <v>407</v>
      </c>
      <c r="L8" s="277" t="s">
        <v>406</v>
      </c>
      <c r="M8" s="277" t="s">
        <v>405</v>
      </c>
      <c r="N8" s="277" t="s">
        <v>404</v>
      </c>
      <c r="O8" s="277"/>
      <c r="P8" s="277"/>
      <c r="Q8" s="276"/>
      <c r="R8" s="277" t="s">
        <v>403</v>
      </c>
      <c r="S8" s="277" t="s">
        <v>402</v>
      </c>
      <c r="T8" s="277" t="s">
        <v>401</v>
      </c>
      <c r="U8" s="277" t="s">
        <v>400</v>
      </c>
      <c r="V8" s="277" t="s">
        <v>399</v>
      </c>
      <c r="W8" s="277" t="s">
        <v>398</v>
      </c>
      <c r="X8" s="276"/>
    </row>
    <row r="9" spans="1:24">
      <c r="A9" s="275" t="s">
        <v>397</v>
      </c>
      <c r="B9"/>
      <c r="C9"/>
      <c r="D9"/>
      <c r="E9"/>
      <c r="F9"/>
      <c r="G9"/>
      <c r="H9"/>
      <c r="I9"/>
      <c r="J9"/>
      <c r="K9"/>
      <c r="L9"/>
      <c r="M9"/>
      <c r="N9"/>
      <c r="O9"/>
      <c r="P9"/>
      <c r="Q9"/>
      <c r="R9"/>
      <c r="S9"/>
      <c r="T9"/>
      <c r="U9"/>
      <c r="V9"/>
      <c r="W9"/>
      <c r="X9"/>
    </row>
    <row r="10" spans="1:24" ht="15">
      <c r="A10" s="274" t="s">
        <v>379</v>
      </c>
      <c r="B10">
        <v>4</v>
      </c>
      <c r="C10" s="272" t="s">
        <v>396</v>
      </c>
      <c r="D10" s="273" t="str">
        <f>VLOOKUP($C10 &amp; " bottom",Import!$A$1:$C$100,3,0)</f>
        <v>9.0000</v>
      </c>
      <c r="E10" s="273" t="str">
        <f>VLOOKUP($C10 &amp; " bottom",Import!$A$1:$C$100,2,0)</f>
        <v>5.0000</v>
      </c>
      <c r="F10" s="273" t="str">
        <f>VLOOKUP($C10 &amp; " Pier",Import!$A$1:$C$100,3,0)</f>
        <v>2.0000</v>
      </c>
      <c r="G10" s="273" t="str">
        <f>VLOOKUP($C10 &amp; " Pier",Import!$A$1:$C$100,2,0)</f>
        <v>1.1250</v>
      </c>
      <c r="H10" s="273" t="str">
        <f>VLOOKUP($C10 &amp; " Pier side",Import!$A$1:$C$100,3,0)</f>
        <v>3.0000</v>
      </c>
      <c r="I10" s="273" t="str">
        <f>VLOOKUP($C10 &amp; " bottom side",Import!$A$1:$C$100,3,0)</f>
        <v>1.3330</v>
      </c>
      <c r="J10"/>
      <c r="K10" s="272">
        <v>-20</v>
      </c>
      <c r="L10" s="272">
        <v>-88</v>
      </c>
      <c r="M10" s="272"/>
      <c r="N10" s="272"/>
      <c r="O10"/>
      <c r="P10"/>
      <c r="Q10"/>
      <c r="R10" s="272">
        <v>2.67</v>
      </c>
      <c r="S10" s="272">
        <v>0.15</v>
      </c>
      <c r="T10" s="272">
        <v>0.11</v>
      </c>
      <c r="U10" s="272">
        <v>2.0499999999999998</v>
      </c>
      <c r="V10" s="272">
        <v>0.28000000000000003</v>
      </c>
      <c r="W10" s="272">
        <v>0.1</v>
      </c>
      <c r="X10"/>
    </row>
    <row r="11" spans="1:24" ht="15">
      <c r="A11" s="274" t="s">
        <v>377</v>
      </c>
      <c r="B11">
        <v>4</v>
      </c>
      <c r="C11" s="272" t="s">
        <v>395</v>
      </c>
      <c r="D11" s="273" t="str">
        <f>VLOOKUP($C11 &amp; " bottom",Import!$A$1:$C$100,3,0)</f>
        <v>9.0000</v>
      </c>
      <c r="E11" s="273" t="str">
        <f>VLOOKUP($C11 &amp; " bottom",Import!$A$1:$C$100,2,0)</f>
        <v>5.0000</v>
      </c>
      <c r="F11" s="273" t="str">
        <f>VLOOKUP($C11 &amp; " Pier",Import!$A$1:$C$100,3,0)</f>
        <v>2.0000</v>
      </c>
      <c r="G11" s="273" t="str">
        <f>VLOOKUP($C11 &amp; " Pier",Import!$A$1:$C$100,2,0)</f>
        <v>1.1250</v>
      </c>
      <c r="H11" s="273" t="str">
        <f>VLOOKUP($C11 &amp; " Pier side",Import!$A$1:$C$100,3,0)</f>
        <v>3.0000</v>
      </c>
      <c r="I11" s="273" t="str">
        <f>VLOOKUP($C11 &amp; " bottom side",Import!$A$1:$C$100,3,0)</f>
        <v>1.3330</v>
      </c>
      <c r="J11"/>
      <c r="K11" s="272">
        <v>-20</v>
      </c>
      <c r="L11" s="272">
        <v>-88</v>
      </c>
      <c r="M11" s="272"/>
      <c r="N11" s="272"/>
      <c r="O11"/>
      <c r="P11"/>
      <c r="Q11"/>
      <c r="R11" s="272">
        <v>2.67</v>
      </c>
      <c r="S11" s="272">
        <v>0.15</v>
      </c>
      <c r="T11" s="272">
        <v>0.11</v>
      </c>
      <c r="U11" s="272">
        <v>2.0499999999999998</v>
      </c>
      <c r="V11" s="272">
        <v>0.28000000000000003</v>
      </c>
      <c r="W11" s="272">
        <v>0.1</v>
      </c>
      <c r="X11"/>
    </row>
    <row r="12" spans="1:24" ht="15">
      <c r="A12" s="274" t="s">
        <v>375</v>
      </c>
      <c r="B12">
        <v>1</v>
      </c>
      <c r="C12" s="272" t="s">
        <v>394</v>
      </c>
      <c r="D12" s="273" t="str">
        <f>VLOOKUP($C12 &amp; " bottom",Import!$A$1:$C$100,3,0)</f>
        <v>9.0000</v>
      </c>
      <c r="E12" s="273" t="str">
        <f>VLOOKUP($C12 &amp; " bottom",Import!$A$1:$C$100,2,0)</f>
        <v>5.0000</v>
      </c>
      <c r="F12" s="273" t="str">
        <f>VLOOKUP($C12 &amp; " Pier",Import!$A$1:$C$100,3,0)</f>
        <v>2.0000</v>
      </c>
      <c r="G12" s="273" t="str">
        <f>VLOOKUP($C12 &amp; " Pier",Import!$A$1:$C$100,2,0)</f>
        <v>1.1250</v>
      </c>
      <c r="H12" s="273" t="str">
        <f>VLOOKUP($C12 &amp; " Pier side",Import!$A$1:$C$100,3,0)</f>
        <v>3.0000</v>
      </c>
      <c r="I12" s="273" t="str">
        <f>VLOOKUP($C12 &amp; " bottom side",Import!$A$1:$C$100,3,0)</f>
        <v>1.3330</v>
      </c>
      <c r="J12"/>
      <c r="K12" s="272">
        <v>-20</v>
      </c>
      <c r="L12" s="272">
        <v>-88</v>
      </c>
      <c r="M12" s="272"/>
      <c r="N12" s="272"/>
      <c r="O12"/>
      <c r="P12"/>
      <c r="Q12"/>
      <c r="R12" s="272">
        <v>2.67</v>
      </c>
      <c r="S12" s="272">
        <v>0.15</v>
      </c>
      <c r="T12" s="272">
        <v>0.11</v>
      </c>
      <c r="U12" s="272">
        <v>2.0499999999999998</v>
      </c>
      <c r="V12" s="272">
        <v>0.28000000000000003</v>
      </c>
      <c r="W12" s="272">
        <v>0.1</v>
      </c>
      <c r="X12"/>
    </row>
    <row r="13" spans="1:24" ht="15">
      <c r="A13" s="274" t="s">
        <v>373</v>
      </c>
      <c r="B13">
        <v>1</v>
      </c>
      <c r="C13" s="272" t="s">
        <v>393</v>
      </c>
      <c r="D13" s="273" t="str">
        <f>VLOOKUP($C13 &amp; " bottom",Import!$A$1:$C$100,3,0)</f>
        <v>9.0000</v>
      </c>
      <c r="E13" s="273" t="str">
        <f>VLOOKUP($C13 &amp; " bottom",Import!$A$1:$C$100,2,0)</f>
        <v>5.0000</v>
      </c>
      <c r="F13" s="273" t="str">
        <f>VLOOKUP($C13 &amp; " Pier",Import!$A$1:$C$100,3,0)</f>
        <v>2.0000</v>
      </c>
      <c r="G13" s="273" t="str">
        <f>VLOOKUP($C13 &amp; " Pier",Import!$A$1:$C$100,2,0)</f>
        <v>1.1250</v>
      </c>
      <c r="H13" s="273" t="str">
        <f>VLOOKUP($C13 &amp; " Pier side",Import!$A$1:$C$100,3,0)</f>
        <v>3.0000</v>
      </c>
      <c r="I13" s="273" t="str">
        <f>VLOOKUP($C13 &amp; " bottom side",Import!$A$1:$C$100,3,0)</f>
        <v>1.3333</v>
      </c>
      <c r="J13"/>
      <c r="K13" s="272">
        <v>-20</v>
      </c>
      <c r="L13" s="272">
        <v>-88</v>
      </c>
      <c r="M13" s="272"/>
      <c r="N13" s="272"/>
      <c r="O13"/>
      <c r="P13"/>
      <c r="Q13"/>
      <c r="R13" s="272">
        <v>2.67</v>
      </c>
      <c r="S13" s="272">
        <v>0.15</v>
      </c>
      <c r="T13" s="272">
        <v>0.11</v>
      </c>
      <c r="U13" s="272">
        <v>2.0499999999999998</v>
      </c>
      <c r="V13" s="272">
        <v>0.28000000000000003</v>
      </c>
      <c r="W13" s="272">
        <v>0.1</v>
      </c>
      <c r="X13"/>
    </row>
    <row r="14" spans="1:24" ht="15">
      <c r="A14" s="274" t="s">
        <v>392</v>
      </c>
      <c r="B14">
        <v>1</v>
      </c>
      <c r="C14" s="272" t="s">
        <v>391</v>
      </c>
      <c r="D14" s="273" t="str">
        <f>VLOOKUP($C14 &amp; " bottom",Import!$A$1:$C$100,3,0)</f>
        <v>9.0000</v>
      </c>
      <c r="E14" s="273" t="str">
        <f>VLOOKUP($C14 &amp; " bottom",Import!$A$1:$C$100,2,0)</f>
        <v>5.0000</v>
      </c>
      <c r="F14" s="273" t="str">
        <f>VLOOKUP($C14 &amp; " Pier",Import!$A$1:$C$100,3,0)</f>
        <v>2.0000</v>
      </c>
      <c r="G14" s="273" t="str">
        <f>VLOOKUP($C14 &amp; " Pier",Import!$A$1:$C$100,2,0)</f>
        <v>1.1250</v>
      </c>
      <c r="H14" s="273" t="str">
        <f>VLOOKUP($C14 &amp; " Pier side",Import!$A$1:$C$100,3,0)</f>
        <v>3.0000</v>
      </c>
      <c r="I14" s="273" t="str">
        <f>VLOOKUP($C14 &amp; " bottom side",Import!$A$1:$C$100,3,0)</f>
        <v>1.3333</v>
      </c>
      <c r="J14"/>
      <c r="K14" s="272">
        <v>-20</v>
      </c>
      <c r="L14" s="272">
        <v>-88</v>
      </c>
      <c r="M14" s="272"/>
      <c r="N14" s="272"/>
      <c r="O14"/>
      <c r="P14"/>
      <c r="Q14"/>
      <c r="R14" s="272">
        <v>2.67</v>
      </c>
      <c r="S14" s="272">
        <v>0.15</v>
      </c>
      <c r="T14" s="272">
        <v>0.11</v>
      </c>
      <c r="U14" s="272">
        <v>2.0499999999999998</v>
      </c>
      <c r="V14" s="272">
        <v>0.28000000000000003</v>
      </c>
      <c r="W14" s="272">
        <v>0.1</v>
      </c>
      <c r="X14"/>
    </row>
    <row r="15" spans="1:24" ht="15">
      <c r="A15" s="274" t="s">
        <v>390</v>
      </c>
      <c r="B15">
        <v>10</v>
      </c>
      <c r="C15" s="272" t="s">
        <v>389</v>
      </c>
      <c r="D15" s="273" t="str">
        <f>VLOOKUP($C15 &amp; " bottom",Import!$A$1:$C$100,3,0)</f>
        <v>9.0000</v>
      </c>
      <c r="E15" s="273" t="str">
        <f>VLOOKUP($C15 &amp; " bottom",Import!$A$1:$C$100,2,0)</f>
        <v>5.0000</v>
      </c>
      <c r="F15" s="273" t="str">
        <f>VLOOKUP($C15 &amp; " Pier",Import!$A$1:$C$100,3,0)</f>
        <v>2.0000</v>
      </c>
      <c r="G15" s="273" t="str">
        <f>VLOOKUP($C15 &amp; " Pier",Import!$A$1:$C$100,2,0)</f>
        <v>1.1250</v>
      </c>
      <c r="H15" s="273" t="str">
        <f>VLOOKUP($C15 &amp; " Pier side",Import!$A$1:$C$100,3,0)</f>
        <v>3.0000</v>
      </c>
      <c r="I15" s="273" t="str">
        <f>VLOOKUP($C15 &amp; " bottom side",Import!$A$1:$C$100,3,0)</f>
        <v>1.3333</v>
      </c>
      <c r="J15"/>
      <c r="K15" s="272">
        <v>-20</v>
      </c>
      <c r="L15" s="272">
        <v>-88</v>
      </c>
      <c r="M15" s="272"/>
      <c r="N15" s="272"/>
      <c r="O15"/>
      <c r="P15"/>
      <c r="Q15"/>
      <c r="R15" s="272">
        <v>2.67</v>
      </c>
      <c r="S15" s="272">
        <v>0.15</v>
      </c>
      <c r="T15" s="272">
        <v>0.11</v>
      </c>
      <c r="U15" s="272">
        <v>2.0499999999999998</v>
      </c>
      <c r="V15" s="272">
        <v>0.28000000000000003</v>
      </c>
      <c r="W15" s="272">
        <v>0.1</v>
      </c>
      <c r="X15"/>
    </row>
    <row r="16" spans="1:24" ht="15">
      <c r="A16" s="274" t="s">
        <v>388</v>
      </c>
      <c r="B16">
        <v>1</v>
      </c>
      <c r="C16" s="272" t="s">
        <v>387</v>
      </c>
      <c r="D16" s="273" t="str">
        <f>VLOOKUP($C16 &amp; " bottom",Import!$A$1:$C$100,3,0)</f>
        <v>9.0000</v>
      </c>
      <c r="E16" s="273" t="str">
        <f>VLOOKUP($C16 &amp; " bottom",Import!$A$1:$C$100,2,0)</f>
        <v>5.0000</v>
      </c>
      <c r="F16" s="273" t="str">
        <f>VLOOKUP($C16 &amp; " Pier",Import!$A$1:$C$100,3,0)</f>
        <v>2.0000</v>
      </c>
      <c r="G16" s="273" t="str">
        <f>VLOOKUP($C16 &amp; " Pier",Import!$A$1:$C$100,2,0)</f>
        <v>1.1250</v>
      </c>
      <c r="H16" s="273" t="str">
        <f>VLOOKUP($C16 &amp; " Pier side",Import!$A$1:$C$100,3,0)</f>
        <v>3.0000</v>
      </c>
      <c r="I16" s="273" t="str">
        <f>VLOOKUP($C16 &amp; " bottom side",Import!$A$1:$C$100,3,0)</f>
        <v>1.3333</v>
      </c>
      <c r="J16"/>
      <c r="K16" s="272">
        <v>-20</v>
      </c>
      <c r="L16" s="272">
        <v>-88</v>
      </c>
      <c r="M16" s="272"/>
      <c r="N16" s="272"/>
      <c r="O16"/>
      <c r="P16"/>
      <c r="Q16"/>
      <c r="R16" s="272">
        <v>2.67</v>
      </c>
      <c r="S16" s="272">
        <v>0.15</v>
      </c>
      <c r="T16" s="272">
        <v>0.11</v>
      </c>
      <c r="U16" s="272">
        <v>2.0499999999999998</v>
      </c>
      <c r="V16" s="272">
        <v>0.28000000000000003</v>
      </c>
      <c r="W16" s="272">
        <v>0.2</v>
      </c>
      <c r="X16"/>
    </row>
    <row r="17" spans="1:24" ht="15">
      <c r="A17" s="274" t="s">
        <v>386</v>
      </c>
      <c r="B17">
        <v>10</v>
      </c>
      <c r="C17" s="272" t="s">
        <v>385</v>
      </c>
      <c r="D17" s="273" t="str">
        <f>VLOOKUP($C17 &amp; " bottom",Import!$A$1:$C$100,3,0)</f>
        <v>10.0000</v>
      </c>
      <c r="E17" s="273" t="str">
        <f>VLOOKUP($C17 &amp; " bottom",Import!$A$1:$C$100,2,0)</f>
        <v>8.0000</v>
      </c>
      <c r="F17" s="273" t="str">
        <f>VLOOKUP($C17 &amp; " Pier",Import!$A$1:$C$100,3,0)</f>
        <v>2.7500</v>
      </c>
      <c r="G17" s="273" t="str">
        <f>VLOOKUP($C17 &amp; " Pier",Import!$A$1:$C$100,2,0)</f>
        <v>1.7500</v>
      </c>
      <c r="H17" s="273" t="str">
        <f>VLOOKUP($C17 &amp; " Pier side",Import!$A$1:$C$100,3,0)</f>
        <v>3.0000</v>
      </c>
      <c r="I17" s="273" t="str">
        <f>VLOOKUP($C17 &amp; " bottom side",Import!$A$1:$C$100,3,0)</f>
        <v>1.3333</v>
      </c>
      <c r="J17"/>
      <c r="K17" s="272">
        <v>-20</v>
      </c>
      <c r="L17" s="272">
        <v>-88</v>
      </c>
      <c r="M17" s="272"/>
      <c r="N17" s="272"/>
      <c r="O17"/>
      <c r="P17"/>
      <c r="Q17"/>
      <c r="R17" s="272">
        <v>2.67</v>
      </c>
      <c r="S17" s="272">
        <v>0.15</v>
      </c>
      <c r="T17" s="272">
        <v>0.11</v>
      </c>
      <c r="U17" s="272">
        <v>2.0499999999999998</v>
      </c>
      <c r="V17" s="272">
        <v>0.28000000000000003</v>
      </c>
      <c r="W17" s="272">
        <v>0.1</v>
      </c>
      <c r="X17"/>
    </row>
    <row r="18" spans="1:24" ht="15">
      <c r="A18"/>
      <c r="B18"/>
      <c r="C18"/>
      <c r="D18" s="273"/>
      <c r="E18" s="273"/>
      <c r="F18" s="273"/>
      <c r="G18" s="273"/>
      <c r="H18" s="273"/>
      <c r="I18" s="273"/>
      <c r="J18"/>
      <c r="K18"/>
      <c r="L18"/>
      <c r="M18"/>
      <c r="N18"/>
      <c r="O18"/>
      <c r="P18"/>
      <c r="Q18"/>
      <c r="R18"/>
      <c r="S18"/>
      <c r="T18"/>
      <c r="U18"/>
      <c r="V18"/>
      <c r="W18"/>
      <c r="X18"/>
    </row>
    <row r="19" spans="1:24" ht="15">
      <c r="A19" s="275" t="s">
        <v>384</v>
      </c>
      <c r="B19"/>
      <c r="C19"/>
      <c r="D19" s="273"/>
      <c r="E19" s="273"/>
      <c r="F19" s="273"/>
      <c r="G19" s="273"/>
      <c r="H19" s="273"/>
      <c r="I19" s="273"/>
      <c r="J19"/>
      <c r="K19"/>
      <c r="L19"/>
      <c r="M19"/>
      <c r="N19"/>
      <c r="O19"/>
      <c r="P19"/>
      <c r="Q19"/>
      <c r="R19"/>
      <c r="S19"/>
      <c r="T19"/>
      <c r="U19"/>
      <c r="V19"/>
      <c r="W19"/>
      <c r="X19"/>
    </row>
    <row r="20" spans="1:24" ht="15">
      <c r="A20" s="274" t="s">
        <v>379</v>
      </c>
      <c r="B20"/>
      <c r="C20" s="272" t="s">
        <v>383</v>
      </c>
      <c r="D20" s="273" t="str">
        <f>VLOOKUP($C20 &amp; " bottom",Import!$A$1:$C$100,3,0)</f>
        <v>9.0000</v>
      </c>
      <c r="E20" s="273" t="str">
        <f>VLOOKUP($C20 &amp; " bottom",Import!$A$1:$C$100,2,0)</f>
        <v>5.0000</v>
      </c>
      <c r="F20" s="273" t="str">
        <f>VLOOKUP($C20 &amp; " Pier",Import!$A$1:$C$100,3,0)</f>
        <v>2.0000</v>
      </c>
      <c r="G20" s="273" t="str">
        <f>VLOOKUP($C20 &amp; " Pier",Import!$A$1:$C$100,2,0)</f>
        <v>1.1250</v>
      </c>
      <c r="H20" s="273" t="str">
        <f>VLOOKUP($C20 &amp; " Pier side",Import!$A$1:$C$100,3,0)</f>
        <v>2.0000</v>
      </c>
      <c r="I20" s="273" t="str">
        <f>VLOOKUP($C20 &amp; " bottom side",Import!$A$1:$C$100,3,0)</f>
        <v>1.2400</v>
      </c>
      <c r="J20"/>
      <c r="K20" s="272">
        <v>-20</v>
      </c>
      <c r="L20" s="272">
        <v>-88</v>
      </c>
      <c r="M20" s="272"/>
      <c r="N20" s="272"/>
      <c r="O20"/>
      <c r="P20"/>
      <c r="Q20"/>
      <c r="R20" s="272">
        <v>2.67</v>
      </c>
      <c r="S20" s="272">
        <v>0.15</v>
      </c>
      <c r="T20" s="272">
        <v>0.11</v>
      </c>
      <c r="U20" s="272">
        <v>2.0499999999999998</v>
      </c>
      <c r="V20" s="272">
        <v>0.28000000000000003</v>
      </c>
      <c r="W20" s="272">
        <v>0.1</v>
      </c>
      <c r="X20"/>
    </row>
    <row r="21" spans="1:24" ht="15">
      <c r="A21" s="274" t="s">
        <v>377</v>
      </c>
      <c r="B21"/>
      <c r="C21" s="272" t="s">
        <v>382</v>
      </c>
      <c r="D21" s="273" t="str">
        <f>VLOOKUP($C21 &amp; " bottom",Import!$A$1:$C$100,3,0)</f>
        <v>9.0000</v>
      </c>
      <c r="E21" s="273" t="str">
        <f>VLOOKUP($C21 &amp; " bottom",Import!$A$1:$C$100,2,0)</f>
        <v>5.0000</v>
      </c>
      <c r="F21" s="273" t="str">
        <f>VLOOKUP($C21 &amp; " Pier",Import!$A$1:$C$100,3,0)</f>
        <v>2.0000</v>
      </c>
      <c r="G21" s="273" t="str">
        <f>VLOOKUP($C21 &amp; " Pier",Import!$A$1:$C$100,2,0)</f>
        <v>1.1250</v>
      </c>
      <c r="H21" s="273" t="str">
        <f>VLOOKUP($C21 &amp; " Pier side",Import!$A$1:$C$100,3,0)</f>
        <v>2.0000</v>
      </c>
      <c r="I21" s="273" t="str">
        <f>VLOOKUP($C21 &amp; " bottom side",Import!$A$1:$C$100,3,0)</f>
        <v>1.2400</v>
      </c>
      <c r="J21"/>
      <c r="K21" s="272">
        <v>-20</v>
      </c>
      <c r="L21" s="272">
        <v>-88</v>
      </c>
      <c r="M21" s="272"/>
      <c r="N21" s="272"/>
      <c r="O21"/>
      <c r="P21"/>
      <c r="Q21"/>
      <c r="R21" s="272">
        <v>2.67</v>
      </c>
      <c r="S21" s="272">
        <v>0.15</v>
      </c>
      <c r="T21" s="272">
        <v>0.11</v>
      </c>
      <c r="U21" s="272">
        <v>2.0499999999999998</v>
      </c>
      <c r="V21" s="272">
        <v>0.28000000000000003</v>
      </c>
      <c r="W21" s="272">
        <v>0.1</v>
      </c>
      <c r="X21"/>
    </row>
    <row r="22" spans="1:24" ht="15">
      <c r="A22" s="274" t="s">
        <v>375</v>
      </c>
      <c r="B22"/>
      <c r="C22" s="272" t="s">
        <v>381</v>
      </c>
      <c r="D22" s="273" t="str">
        <f>VLOOKUP($C22 &amp; " bottom",Import!$A$1:$C$100,3,0)</f>
        <v>9.0000</v>
      </c>
      <c r="E22" s="273" t="str">
        <f>VLOOKUP($C22 &amp; " bottom",Import!$A$1:$C$100,2,0)</f>
        <v>5.0000</v>
      </c>
      <c r="F22" s="273" t="str">
        <f>VLOOKUP($C22 &amp; " Pier",Import!$A$1:$C$100,3,0)</f>
        <v>2.0000</v>
      </c>
      <c r="G22" s="273" t="str">
        <f>VLOOKUP($C22 &amp; " Pier",Import!$A$1:$C$100,2,0)</f>
        <v>1.1250</v>
      </c>
      <c r="H22" s="273" t="str">
        <f>VLOOKUP($C22 &amp; " Pier side",Import!$A$1:$C$100,3,0)</f>
        <v>2.0000</v>
      </c>
      <c r="I22" s="273" t="str">
        <f>VLOOKUP($C22 &amp; " bottom side",Import!$A$1:$C$100,3,0)</f>
        <v>1.2400</v>
      </c>
      <c r="J22"/>
      <c r="K22" s="272">
        <v>-20</v>
      </c>
      <c r="L22" s="272">
        <v>-88</v>
      </c>
      <c r="M22" s="272"/>
      <c r="N22" s="272"/>
      <c r="O22"/>
      <c r="P22"/>
      <c r="Q22"/>
      <c r="R22" s="272">
        <v>2.67</v>
      </c>
      <c r="S22" s="272">
        <v>0.15</v>
      </c>
      <c r="T22" s="272">
        <v>0.11</v>
      </c>
      <c r="U22" s="272">
        <v>2.0499999999999998</v>
      </c>
      <c r="V22" s="272">
        <v>0.28000000000000003</v>
      </c>
      <c r="W22" s="272">
        <v>0.1</v>
      </c>
      <c r="X22"/>
    </row>
    <row r="23" spans="1:24" ht="15">
      <c r="A23"/>
      <c r="B23"/>
      <c r="C23"/>
      <c r="D23" s="273"/>
      <c r="E23" s="273"/>
      <c r="F23" s="273"/>
      <c r="G23" s="273"/>
      <c r="H23" s="273"/>
      <c r="I23" s="273"/>
      <c r="J23"/>
      <c r="K23"/>
      <c r="L23"/>
      <c r="M23"/>
      <c r="N23"/>
      <c r="O23"/>
      <c r="P23"/>
      <c r="Q23"/>
      <c r="R23"/>
      <c r="S23"/>
      <c r="T23"/>
      <c r="U23"/>
      <c r="V23"/>
      <c r="W23"/>
      <c r="X23"/>
    </row>
    <row r="24" spans="1:24" ht="15">
      <c r="A24" s="275" t="s">
        <v>380</v>
      </c>
      <c r="B24"/>
      <c r="C24"/>
      <c r="D24" s="273"/>
      <c r="E24" s="273"/>
      <c r="F24" s="273"/>
      <c r="G24" s="273"/>
      <c r="H24" s="273"/>
      <c r="I24" s="273"/>
      <c r="J24"/>
      <c r="K24"/>
      <c r="L24"/>
      <c r="M24"/>
      <c r="N24"/>
      <c r="O24"/>
      <c r="P24"/>
      <c r="Q24"/>
      <c r="R24"/>
      <c r="S24"/>
      <c r="T24"/>
      <c r="U24"/>
      <c r="V24"/>
      <c r="W24"/>
      <c r="X24"/>
    </row>
    <row r="25" spans="1:24" ht="15">
      <c r="A25" s="274" t="s">
        <v>379</v>
      </c>
      <c r="B25"/>
      <c r="C25" s="272" t="s">
        <v>378</v>
      </c>
      <c r="D25" s="273" t="str">
        <f>VLOOKUP($C25 &amp; " bottom",Import!$A$1:$C$100,3,0)</f>
        <v>9.0000</v>
      </c>
      <c r="E25" s="273" t="str">
        <f>VLOOKUP($C25 &amp; " bottom",Import!$A$1:$C$100,2,0)</f>
        <v>5.0000</v>
      </c>
      <c r="F25" s="273" t="str">
        <f>VLOOKUP($C25 &amp; " Pier",Import!$A$1:$C$100,3,0)</f>
        <v>2.0000</v>
      </c>
      <c r="G25" s="273" t="str">
        <f>VLOOKUP($C25 &amp; " Pier",Import!$A$1:$C$100,2,0)</f>
        <v>1.1250</v>
      </c>
      <c r="H25" s="273" t="str">
        <f>VLOOKUP($C25 &amp; " Pier side",Import!$A$1:$C$100,3,0)</f>
        <v>2.0000</v>
      </c>
      <c r="I25" s="273" t="str">
        <f>VLOOKUP($C25 &amp; " bottom side",Import!$A$1:$C$100,3,0)</f>
        <v>1.2400</v>
      </c>
      <c r="J25"/>
      <c r="K25" s="272">
        <v>-20</v>
      </c>
      <c r="L25" s="272">
        <v>-88</v>
      </c>
      <c r="M25" s="272"/>
      <c r="N25" s="272"/>
      <c r="O25"/>
      <c r="P25"/>
      <c r="Q25"/>
      <c r="R25" s="272">
        <v>2.67</v>
      </c>
      <c r="S25" s="272">
        <v>0.15</v>
      </c>
      <c r="T25" s="272">
        <v>0.11</v>
      </c>
      <c r="U25" s="272">
        <v>2.0499999999999998</v>
      </c>
      <c r="V25" s="272">
        <v>0.28000000000000003</v>
      </c>
      <c r="W25" s="272">
        <v>0.1</v>
      </c>
      <c r="X25"/>
    </row>
    <row r="26" spans="1:24" ht="15">
      <c r="A26" s="274" t="s">
        <v>377</v>
      </c>
      <c r="B26"/>
      <c r="C26" s="272" t="s">
        <v>376</v>
      </c>
      <c r="D26" s="273" t="str">
        <f>VLOOKUP($C26 &amp; " bottom",Import!$A$1:$C$100,3,0)</f>
        <v>9.0000</v>
      </c>
      <c r="E26" s="273" t="str">
        <f>VLOOKUP($C26 &amp; " bottom",Import!$A$1:$C$100,2,0)</f>
        <v>5.0000</v>
      </c>
      <c r="F26" s="273" t="str">
        <f>VLOOKUP($C26 &amp; " Pier",Import!$A$1:$C$100,3,0)</f>
        <v>2.0000</v>
      </c>
      <c r="G26" s="273" t="str">
        <f>VLOOKUP($C26 &amp; " Pier",Import!$A$1:$C$100,2,0)</f>
        <v>1.1250</v>
      </c>
      <c r="H26" s="273" t="str">
        <f>VLOOKUP($C26 &amp; " Pier side",Import!$A$1:$C$100,3,0)</f>
        <v>2.0000</v>
      </c>
      <c r="I26" s="273" t="str">
        <f>VLOOKUP($C26 &amp; " bottom side",Import!$A$1:$C$100,3,0)</f>
        <v>1.2400</v>
      </c>
      <c r="J26"/>
      <c r="K26" s="272">
        <v>-20</v>
      </c>
      <c r="L26" s="272">
        <v>-88</v>
      </c>
      <c r="M26" s="272"/>
      <c r="N26" s="272"/>
      <c r="O26"/>
      <c r="P26"/>
      <c r="Q26"/>
      <c r="R26" s="272">
        <v>2.67</v>
      </c>
      <c r="S26" s="272">
        <v>0.15</v>
      </c>
      <c r="T26" s="272">
        <v>0.11</v>
      </c>
      <c r="U26" s="272">
        <v>2.0499999999999998</v>
      </c>
      <c r="V26" s="272">
        <v>0.28000000000000003</v>
      </c>
      <c r="W26" s="272">
        <v>0.1</v>
      </c>
      <c r="X26"/>
    </row>
    <row r="27" spans="1:24" ht="15">
      <c r="A27" s="274" t="s">
        <v>375</v>
      </c>
      <c r="B27"/>
      <c r="C27" s="272" t="s">
        <v>374</v>
      </c>
      <c r="D27" s="273" t="str">
        <f>VLOOKUP($C27 &amp; " bottom",Import!$A$1:$C$100,3,0)</f>
        <v>9.0000</v>
      </c>
      <c r="E27" s="273" t="str">
        <f>VLOOKUP($C27 &amp; " bottom",Import!$A$1:$C$100,2,0)</f>
        <v>5.0000</v>
      </c>
      <c r="F27" s="273" t="str">
        <f>VLOOKUP($C27 &amp; " Pier",Import!$A$1:$C$100,3,0)</f>
        <v>2.0000</v>
      </c>
      <c r="G27" s="273" t="str">
        <f>VLOOKUP($C27 &amp; " Pier",Import!$A$1:$C$100,2,0)</f>
        <v>1.1250</v>
      </c>
      <c r="H27" s="273" t="str">
        <f>VLOOKUP($C27 &amp; " Pier side",Import!$A$1:$C$100,3,0)</f>
        <v>2.0000</v>
      </c>
      <c r="I27" s="273" t="str">
        <f>VLOOKUP($C27 &amp; " bottom side",Import!$A$1:$C$100,3,0)</f>
        <v>1.2400</v>
      </c>
      <c r="J27"/>
      <c r="K27" s="272">
        <v>-20</v>
      </c>
      <c r="L27" s="272">
        <v>-88</v>
      </c>
      <c r="M27" s="272"/>
      <c r="N27" s="272"/>
      <c r="O27"/>
      <c r="P27"/>
      <c r="Q27"/>
      <c r="R27" s="272">
        <v>2.67</v>
      </c>
      <c r="S27" s="272">
        <v>0.15</v>
      </c>
      <c r="T27" s="272">
        <v>0.11</v>
      </c>
      <c r="U27" s="272">
        <v>2.0499999999999998</v>
      </c>
      <c r="V27" s="272">
        <v>0.28000000000000003</v>
      </c>
      <c r="W27" s="272">
        <v>0.1</v>
      </c>
      <c r="X27"/>
    </row>
    <row r="28" spans="1:24" ht="15">
      <c r="A28" s="274" t="s">
        <v>373</v>
      </c>
      <c r="B28"/>
      <c r="C28" s="272" t="s">
        <v>372</v>
      </c>
      <c r="D28" s="273" t="str">
        <f>VLOOKUP($C28 &amp; " bottom",Import!$A$1:$C$100,3,0)</f>
        <v>9.0000</v>
      </c>
      <c r="E28" s="273" t="str">
        <f>VLOOKUP($C28 &amp; " bottom",Import!$A$1:$C$100,2,0)</f>
        <v>5.0000</v>
      </c>
      <c r="F28" s="273" t="str">
        <f>VLOOKUP($C28 &amp; " Pier",Import!$A$1:$C$100,3,0)</f>
        <v>2.0000</v>
      </c>
      <c r="G28" s="273" t="str">
        <f>VLOOKUP($C28 &amp; " Pier",Import!$A$1:$C$100,2,0)</f>
        <v>1.1250</v>
      </c>
      <c r="H28" s="273" t="str">
        <f>VLOOKUP($C28 &amp; " Pier side",Import!$A$1:$C$100,3,0)</f>
        <v>2.0000</v>
      </c>
      <c r="I28" s="273" t="str">
        <f>VLOOKUP($C28 &amp; " bottom side",Import!$A$1:$C$100,3,0)</f>
        <v>1.2400</v>
      </c>
      <c r="J28"/>
      <c r="K28" s="272">
        <v>-20</v>
      </c>
      <c r="L28" s="272">
        <v>-88</v>
      </c>
      <c r="M28" s="272"/>
      <c r="N28" s="272"/>
      <c r="O28"/>
      <c r="P28"/>
      <c r="Q28"/>
      <c r="R28" s="272">
        <v>2.67</v>
      </c>
      <c r="S28" s="272">
        <v>0.15</v>
      </c>
      <c r="T28" s="272">
        <v>0.11</v>
      </c>
      <c r="U28" s="272">
        <v>2.0499999999999998</v>
      </c>
      <c r="V28" s="272">
        <v>0.28000000000000003</v>
      </c>
      <c r="W28" s="272">
        <v>0.1</v>
      </c>
      <c r="X28"/>
    </row>
    <row r="29" spans="1:24">
      <c r="C29" s="57">
        <v>1</v>
      </c>
      <c r="D29" s="57">
        <v>2</v>
      </c>
      <c r="E29" s="57">
        <v>3</v>
      </c>
      <c r="F29" s="57">
        <v>4</v>
      </c>
      <c r="G29" s="57">
        <v>5</v>
      </c>
      <c r="H29" s="57">
        <v>6</v>
      </c>
      <c r="I29" s="57">
        <v>7</v>
      </c>
      <c r="J29" s="57">
        <v>8</v>
      </c>
      <c r="K29" s="57">
        <v>9</v>
      </c>
      <c r="L29" s="57">
        <v>10</v>
      </c>
      <c r="M29" s="57">
        <v>11</v>
      </c>
      <c r="N29" s="57">
        <v>12</v>
      </c>
      <c r="O29" s="57">
        <v>13</v>
      </c>
      <c r="P29" s="57">
        <v>14</v>
      </c>
      <c r="Q29" s="57">
        <v>15</v>
      </c>
      <c r="R29" s="57">
        <v>16</v>
      </c>
      <c r="S29" s="57">
        <v>17</v>
      </c>
      <c r="T29" s="57">
        <v>18</v>
      </c>
      <c r="U29" s="57">
        <v>19</v>
      </c>
      <c r="V29" s="57">
        <v>20</v>
      </c>
      <c r="W29" s="57">
        <v>21</v>
      </c>
      <c r="X29" s="57">
        <v>22</v>
      </c>
    </row>
    <row r="30" spans="1:24">
      <c r="A30" s="201"/>
      <c r="B30" s="201"/>
      <c r="C30" s="201"/>
      <c r="D30" s="201"/>
      <c r="E30" s="201"/>
      <c r="F30" s="201"/>
      <c r="G30" s="201"/>
      <c r="H30" s="201"/>
      <c r="I30" s="201"/>
      <c r="J30" s="201"/>
      <c r="K30" s="24"/>
    </row>
    <row r="31" spans="1:24">
      <c r="A31" s="200"/>
      <c r="B31" s="201"/>
      <c r="C31" s="201"/>
      <c r="D31" s="201"/>
      <c r="E31" s="201"/>
      <c r="F31" s="201"/>
      <c r="G31" s="201"/>
      <c r="H31" s="201"/>
      <c r="I31" s="201"/>
      <c r="J31" s="201"/>
      <c r="K31" s="24"/>
    </row>
    <row r="32" spans="1:24">
      <c r="A32" s="201"/>
      <c r="B32" s="201"/>
      <c r="C32" s="201"/>
      <c r="D32" s="201"/>
      <c r="E32" s="201"/>
      <c r="F32" s="201"/>
      <c r="G32" s="201"/>
      <c r="H32" s="201"/>
      <c r="I32" s="201"/>
      <c r="J32" s="201"/>
      <c r="K32" s="24"/>
    </row>
    <row r="33" spans="1:11">
      <c r="A33" s="201"/>
      <c r="B33" s="201"/>
      <c r="C33" s="201"/>
      <c r="D33" s="201"/>
      <c r="E33" s="201"/>
      <c r="F33" s="201"/>
      <c r="G33" s="201"/>
      <c r="H33" s="201"/>
      <c r="I33" s="201"/>
      <c r="J33" s="201"/>
      <c r="K33" s="24"/>
    </row>
    <row r="34" spans="1:11">
      <c r="A34" s="201"/>
      <c r="B34" s="201"/>
      <c r="C34" s="201"/>
      <c r="D34" s="201"/>
      <c r="E34" s="201"/>
      <c r="F34" s="201"/>
      <c r="G34" s="201"/>
      <c r="H34" s="201"/>
      <c r="I34" s="201"/>
      <c r="J34" s="201"/>
      <c r="K34" s="24"/>
    </row>
    <row r="35" spans="1:11">
      <c r="A35" s="201"/>
      <c r="B35" s="201"/>
      <c r="C35" s="201"/>
      <c r="D35" s="201"/>
      <c r="E35" s="201"/>
      <c r="F35" s="201"/>
      <c r="G35" s="201"/>
      <c r="H35" s="201"/>
      <c r="I35" s="201"/>
      <c r="J35" s="201"/>
      <c r="K35" s="24"/>
    </row>
    <row r="36" spans="1:11">
      <c r="A36" s="201"/>
      <c r="B36" s="201"/>
      <c r="C36" s="201"/>
      <c r="D36" s="201"/>
      <c r="E36" s="201"/>
      <c r="F36" s="201"/>
      <c r="G36" s="201"/>
      <c r="H36" s="201"/>
      <c r="I36" s="201"/>
      <c r="J36" s="201"/>
      <c r="K36" s="24"/>
    </row>
    <row r="37" spans="1:11">
      <c r="A37" s="201"/>
      <c r="B37" s="201"/>
      <c r="C37" s="201"/>
      <c r="D37" s="201"/>
      <c r="E37" s="201"/>
      <c r="F37" s="201"/>
      <c r="G37" s="201"/>
      <c r="H37" s="201"/>
      <c r="I37" s="201"/>
      <c r="J37" s="201"/>
      <c r="K37" s="24"/>
    </row>
    <row r="38" spans="1:11">
      <c r="A38" s="201"/>
      <c r="B38" s="201"/>
      <c r="C38" s="201"/>
      <c r="D38" s="201"/>
      <c r="E38" s="201"/>
      <c r="F38" s="201"/>
      <c r="G38" s="201"/>
      <c r="H38" s="201"/>
      <c r="I38" s="201"/>
      <c r="J38" s="201"/>
      <c r="K38" s="24"/>
    </row>
    <row r="39" spans="1:11">
      <c r="A39" s="201"/>
      <c r="B39" s="201"/>
      <c r="C39" s="201"/>
      <c r="D39" s="201"/>
      <c r="E39" s="201"/>
      <c r="F39" s="201"/>
      <c r="G39" s="201"/>
      <c r="H39" s="201"/>
      <c r="I39" s="201"/>
      <c r="J39" s="201"/>
      <c r="K39" s="24"/>
    </row>
    <row r="40" spans="1:11">
      <c r="A40" s="201"/>
      <c r="B40" s="201"/>
      <c r="C40" s="201"/>
      <c r="D40" s="201"/>
      <c r="E40" s="201"/>
      <c r="F40" s="201"/>
      <c r="G40" s="201"/>
      <c r="H40" s="201"/>
      <c r="I40" s="201"/>
      <c r="J40" s="201"/>
      <c r="K40" s="24"/>
    </row>
    <row r="41" spans="1:11">
      <c r="A41" s="201"/>
      <c r="B41" s="201"/>
      <c r="C41" s="201"/>
      <c r="D41" s="201"/>
      <c r="E41" s="201"/>
      <c r="F41" s="201"/>
      <c r="G41" s="201"/>
      <c r="H41" s="201"/>
      <c r="I41" s="201"/>
      <c r="J41" s="201"/>
      <c r="K41" s="24"/>
    </row>
    <row r="42" spans="1:11">
      <c r="A42" s="201"/>
      <c r="B42" s="201"/>
      <c r="C42" s="201"/>
      <c r="D42" s="201"/>
      <c r="E42" s="201"/>
      <c r="F42" s="201"/>
      <c r="G42" s="201"/>
      <c r="H42" s="201"/>
      <c r="I42" s="201"/>
      <c r="J42" s="201"/>
      <c r="K42" s="24"/>
    </row>
    <row r="43" spans="1:11">
      <c r="A43" s="201"/>
      <c r="B43" s="201"/>
      <c r="C43" s="201"/>
      <c r="D43" s="201"/>
      <c r="E43" s="201"/>
      <c r="F43" s="201"/>
      <c r="G43" s="201"/>
      <c r="H43" s="201"/>
      <c r="I43" s="201"/>
      <c r="J43" s="201"/>
      <c r="K43" s="24"/>
    </row>
    <row r="44" spans="1:11">
      <c r="A44" s="201"/>
      <c r="B44" s="201"/>
      <c r="C44" s="201"/>
      <c r="D44" s="201"/>
      <c r="E44" s="201"/>
      <c r="F44" s="201"/>
      <c r="G44" s="201"/>
      <c r="H44" s="201"/>
      <c r="I44" s="201"/>
      <c r="J44" s="201"/>
      <c r="K44" s="24"/>
    </row>
    <row r="45" spans="1:11">
      <c r="A45" s="201"/>
      <c r="B45" s="201"/>
      <c r="C45" s="201"/>
      <c r="D45" s="201"/>
      <c r="E45" s="201"/>
      <c r="F45" s="201"/>
      <c r="G45" s="201"/>
      <c r="H45" s="201"/>
      <c r="I45" s="201"/>
      <c r="J45" s="201"/>
      <c r="K45" s="24"/>
    </row>
    <row r="46" spans="1:11">
      <c r="A46" s="201"/>
      <c r="B46" s="201"/>
      <c r="C46" s="201"/>
      <c r="D46" s="201"/>
      <c r="E46" s="201"/>
      <c r="F46" s="201"/>
      <c r="G46" s="201"/>
      <c r="H46" s="201"/>
      <c r="I46" s="201"/>
      <c r="J46" s="201"/>
      <c r="K46" s="24"/>
    </row>
    <row r="47" spans="1:11">
      <c r="A47" s="201"/>
      <c r="B47" s="201"/>
      <c r="C47" s="201"/>
      <c r="D47" s="201"/>
      <c r="E47" s="201"/>
      <c r="F47" s="201"/>
      <c r="G47" s="201"/>
      <c r="H47" s="201"/>
      <c r="I47" s="201"/>
      <c r="J47" s="201"/>
      <c r="K47" s="24"/>
    </row>
    <row r="48" spans="1:11">
      <c r="A48" s="201"/>
      <c r="B48" s="201"/>
      <c r="C48" s="201"/>
      <c r="D48" s="201"/>
      <c r="E48" s="201"/>
      <c r="F48" s="201"/>
      <c r="G48" s="201"/>
      <c r="H48" s="201"/>
      <c r="I48" s="201"/>
      <c r="J48" s="201"/>
      <c r="K48" s="24"/>
    </row>
    <row r="49" spans="1:11">
      <c r="A49" s="201"/>
      <c r="B49" s="201"/>
      <c r="C49" s="201"/>
      <c r="D49" s="201"/>
      <c r="E49" s="201"/>
      <c r="F49" s="201"/>
      <c r="G49" s="201"/>
      <c r="H49" s="201"/>
      <c r="I49" s="201"/>
      <c r="J49" s="201"/>
      <c r="K49" s="24"/>
    </row>
    <row r="50" spans="1:11">
      <c r="A50" s="201"/>
      <c r="B50" s="201"/>
      <c r="C50" s="201"/>
      <c r="D50" s="201"/>
      <c r="E50" s="201"/>
      <c r="F50" s="201"/>
      <c r="G50" s="201"/>
      <c r="H50" s="201"/>
      <c r="I50" s="201"/>
      <c r="J50" s="201"/>
      <c r="K50" s="24"/>
    </row>
    <row r="51" spans="1:11">
      <c r="A51" s="201"/>
      <c r="B51" s="201"/>
      <c r="C51" s="201"/>
      <c r="D51" s="201"/>
      <c r="E51" s="201"/>
      <c r="F51" s="201"/>
      <c r="G51" s="201"/>
      <c r="H51" s="201"/>
      <c r="I51" s="201"/>
      <c r="J51" s="201"/>
      <c r="K51" s="24"/>
    </row>
    <row r="52" spans="1:11">
      <c r="A52" s="201"/>
      <c r="B52" s="201"/>
      <c r="C52" s="201"/>
      <c r="D52" s="201"/>
      <c r="E52" s="201"/>
      <c r="F52" s="201"/>
      <c r="G52" s="201"/>
      <c r="H52" s="201"/>
      <c r="I52" s="201"/>
      <c r="J52" s="201"/>
      <c r="K52" s="24"/>
    </row>
    <row r="53" spans="1:11">
      <c r="A53" s="201"/>
      <c r="B53" s="201"/>
      <c r="C53" s="201"/>
      <c r="D53" s="201"/>
      <c r="E53" s="201"/>
      <c r="F53" s="201"/>
      <c r="G53" s="201"/>
      <c r="H53" s="201"/>
      <c r="I53" s="201"/>
      <c r="J53" s="201"/>
      <c r="K53" s="24"/>
    </row>
    <row r="54" spans="1:11">
      <c r="A54" s="201"/>
      <c r="B54" s="201"/>
      <c r="C54" s="201"/>
      <c r="D54" s="201"/>
      <c r="E54" s="201"/>
      <c r="F54" s="201"/>
      <c r="G54" s="201"/>
      <c r="H54" s="201"/>
      <c r="I54" s="201"/>
      <c r="J54" s="201"/>
      <c r="K54" s="24"/>
    </row>
    <row r="55" spans="1:11">
      <c r="A55" s="214"/>
      <c r="B55" s="201"/>
      <c r="C55" s="201"/>
      <c r="D55" s="201"/>
      <c r="E55" s="201"/>
      <c r="F55" s="201"/>
      <c r="G55" s="201"/>
      <c r="H55" s="201"/>
      <c r="I55" s="201"/>
      <c r="J55" s="201"/>
      <c r="K55" s="24"/>
    </row>
    <row r="56" spans="1:11">
      <c r="A56" s="215"/>
      <c r="B56" s="201"/>
      <c r="C56" s="201"/>
      <c r="D56" s="201"/>
      <c r="E56" s="201"/>
      <c r="F56" s="201"/>
      <c r="G56" s="201"/>
      <c r="H56" s="201"/>
      <c r="I56" s="201"/>
      <c r="J56" s="201"/>
      <c r="K56" s="24"/>
    </row>
    <row r="57" spans="1:11">
      <c r="A57" s="215"/>
      <c r="B57" s="214"/>
      <c r="C57" s="201"/>
      <c r="D57" s="201"/>
      <c r="E57" s="201"/>
      <c r="F57" s="201"/>
      <c r="G57" s="201"/>
      <c r="H57" s="201"/>
      <c r="I57" s="201"/>
      <c r="J57" s="201"/>
      <c r="K57" s="24"/>
    </row>
    <row r="58" spans="1:11">
      <c r="A58" s="215"/>
      <c r="B58" s="214"/>
      <c r="C58" s="201"/>
      <c r="D58" s="201"/>
      <c r="E58" s="201"/>
      <c r="F58" s="201"/>
      <c r="G58" s="201"/>
      <c r="H58" s="201"/>
      <c r="I58" s="201"/>
      <c r="J58" s="201"/>
      <c r="K58" s="24"/>
    </row>
    <row r="59" spans="1:11">
      <c r="A59" s="216"/>
      <c r="B59" s="201"/>
      <c r="C59" s="214"/>
      <c r="D59" s="214"/>
      <c r="E59" s="214"/>
      <c r="F59" s="214"/>
      <c r="G59" s="214"/>
      <c r="H59" s="214"/>
      <c r="I59" s="214"/>
      <c r="J59" s="214"/>
      <c r="K59" s="24"/>
    </row>
    <row r="60" spans="1:11">
      <c r="A60" s="201"/>
      <c r="B60" s="201"/>
      <c r="C60" s="201"/>
      <c r="D60" s="201"/>
      <c r="E60" s="201"/>
      <c r="F60" s="201"/>
      <c r="G60" s="201"/>
      <c r="H60" s="201"/>
      <c r="I60" s="201"/>
      <c r="J60" s="201"/>
      <c r="K60" s="24"/>
    </row>
    <row r="61" spans="1:11">
      <c r="A61" s="201"/>
      <c r="B61" s="201"/>
      <c r="C61" s="201"/>
      <c r="D61" s="201"/>
      <c r="E61" s="201"/>
      <c r="F61" s="201"/>
      <c r="G61" s="201"/>
      <c r="H61" s="201"/>
      <c r="I61" s="201"/>
      <c r="J61" s="201"/>
      <c r="K61" s="24"/>
    </row>
    <row r="62" spans="1:11">
      <c r="A62" s="201"/>
      <c r="B62" s="201"/>
      <c r="C62" s="201"/>
      <c r="D62" s="201"/>
      <c r="E62" s="201"/>
      <c r="F62" s="201"/>
      <c r="G62" s="201"/>
      <c r="H62" s="201"/>
      <c r="I62" s="201"/>
      <c r="J62" s="201"/>
      <c r="K62" s="24"/>
    </row>
    <row r="63" spans="1:11">
      <c r="A63" s="201"/>
      <c r="B63" s="201"/>
      <c r="C63" s="201"/>
      <c r="D63" s="201"/>
      <c r="E63" s="201"/>
      <c r="F63" s="201"/>
      <c r="G63" s="201"/>
      <c r="H63" s="201"/>
      <c r="I63" s="201"/>
      <c r="J63" s="201"/>
      <c r="K63" s="24"/>
    </row>
    <row r="64" spans="1:11">
      <c r="A64" s="201"/>
      <c r="B64" s="201"/>
      <c r="C64" s="201"/>
      <c r="D64" s="201"/>
      <c r="E64" s="201"/>
      <c r="F64" s="201"/>
      <c r="G64" s="201"/>
      <c r="H64" s="201"/>
      <c r="I64" s="201"/>
      <c r="J64" s="201"/>
      <c r="K64" s="24"/>
    </row>
    <row r="65" spans="1:11">
      <c r="A65" s="201"/>
      <c r="B65" s="201"/>
      <c r="C65" s="201"/>
      <c r="D65" s="201"/>
      <c r="E65" s="201"/>
      <c r="F65" s="201"/>
      <c r="G65" s="201"/>
      <c r="H65" s="201"/>
      <c r="I65" s="201"/>
      <c r="J65" s="201"/>
      <c r="K65" s="24"/>
    </row>
    <row r="66" spans="1:11">
      <c r="A66" s="214"/>
      <c r="B66" s="201"/>
      <c r="C66" s="201"/>
      <c r="D66" s="201"/>
      <c r="E66" s="201"/>
      <c r="F66" s="201"/>
      <c r="G66" s="201"/>
      <c r="H66" s="201"/>
      <c r="I66" s="201"/>
      <c r="J66" s="201"/>
      <c r="K66" s="24"/>
    </row>
    <row r="67" spans="1:11">
      <c r="A67" s="215"/>
      <c r="B67" s="201"/>
      <c r="C67" s="201"/>
      <c r="D67" s="201"/>
      <c r="E67" s="201"/>
      <c r="F67" s="201"/>
      <c r="G67" s="201"/>
      <c r="H67" s="201"/>
      <c r="I67" s="201"/>
      <c r="J67" s="201"/>
      <c r="K67" s="24"/>
    </row>
    <row r="68" spans="1:11">
      <c r="A68" s="215"/>
      <c r="B68" s="214"/>
      <c r="C68" s="201"/>
      <c r="D68" s="201"/>
      <c r="E68" s="201"/>
      <c r="F68" s="201"/>
      <c r="G68" s="201"/>
      <c r="H68" s="201"/>
      <c r="I68" s="201"/>
      <c r="J68" s="201"/>
      <c r="K68" s="24"/>
    </row>
    <row r="69" spans="1:11">
      <c r="A69" s="215"/>
      <c r="B69" s="214"/>
      <c r="C69" s="201"/>
      <c r="D69" s="201"/>
      <c r="E69" s="201"/>
      <c r="F69" s="201"/>
      <c r="G69" s="201"/>
      <c r="H69" s="201"/>
      <c r="I69" s="201"/>
      <c r="J69" s="201"/>
      <c r="K69" s="24"/>
    </row>
    <row r="70" spans="1:11">
      <c r="A70" s="216"/>
      <c r="B70" s="201"/>
      <c r="C70" s="201"/>
      <c r="D70" s="201"/>
      <c r="E70" s="201"/>
      <c r="F70" s="201"/>
      <c r="G70" s="201"/>
      <c r="H70" s="201"/>
      <c r="I70" s="201"/>
      <c r="J70" s="201"/>
      <c r="K70" s="24"/>
    </row>
    <row r="71" spans="1:11">
      <c r="A71" s="201"/>
      <c r="B71" s="201"/>
      <c r="C71" s="201"/>
      <c r="D71" s="201"/>
      <c r="E71" s="201"/>
      <c r="F71" s="201"/>
      <c r="G71" s="201"/>
      <c r="H71" s="201"/>
      <c r="I71" s="201"/>
      <c r="J71" s="201"/>
      <c r="K71" s="24"/>
    </row>
    <row r="72" spans="1:11">
      <c r="A72" s="201"/>
      <c r="B72" s="201"/>
      <c r="C72" s="201"/>
      <c r="D72" s="201"/>
      <c r="E72" s="201"/>
      <c r="F72" s="201"/>
      <c r="G72" s="201"/>
      <c r="H72" s="201"/>
      <c r="I72" s="201"/>
      <c r="J72" s="201"/>
      <c r="K72" s="24"/>
    </row>
    <row r="73" spans="1:11">
      <c r="A73" s="201"/>
      <c r="B73" s="201"/>
      <c r="C73" s="201"/>
      <c r="D73" s="201"/>
      <c r="E73" s="201"/>
      <c r="F73" s="201"/>
      <c r="G73" s="201"/>
      <c r="H73" s="201"/>
      <c r="I73" s="201"/>
      <c r="J73" s="201"/>
      <c r="K73" s="24"/>
    </row>
    <row r="74" spans="1:11">
      <c r="A74" s="201"/>
      <c r="B74" s="201"/>
      <c r="C74" s="201"/>
      <c r="D74" s="201"/>
      <c r="E74" s="201"/>
      <c r="F74" s="201"/>
      <c r="G74" s="201"/>
      <c r="H74" s="201"/>
      <c r="I74" s="201"/>
      <c r="J74" s="201"/>
      <c r="K74" s="24"/>
    </row>
    <row r="75" spans="1:11">
      <c r="A75" s="201"/>
      <c r="B75" s="24"/>
      <c r="C75" s="24"/>
      <c r="D75" s="24"/>
      <c r="E75" s="24"/>
      <c r="F75" s="24"/>
      <c r="G75" s="24"/>
      <c r="H75" s="24"/>
      <c r="I75" s="24"/>
      <c r="J75" s="24"/>
      <c r="K75" s="24"/>
    </row>
    <row r="76" spans="1:11">
      <c r="A76" s="201"/>
      <c r="B76" s="201"/>
      <c r="C76" s="201"/>
      <c r="D76" s="201"/>
      <c r="E76" s="201"/>
      <c r="F76" s="201"/>
      <c r="G76" s="201"/>
      <c r="H76" s="201"/>
      <c r="I76" s="201"/>
      <c r="J76" s="201"/>
      <c r="K76" s="24"/>
    </row>
    <row r="77" spans="1:11">
      <c r="A77" s="201"/>
      <c r="B77" s="201"/>
      <c r="C77" s="201"/>
      <c r="D77" s="201"/>
      <c r="E77" s="201"/>
      <c r="F77" s="201"/>
      <c r="G77" s="201"/>
      <c r="H77" s="201"/>
      <c r="I77" s="201"/>
      <c r="J77" s="201"/>
      <c r="K77" s="24"/>
    </row>
    <row r="78" spans="1:11">
      <c r="A78" s="201"/>
      <c r="B78" s="201"/>
      <c r="C78" s="201"/>
      <c r="D78" s="201"/>
      <c r="E78" s="201"/>
      <c r="F78" s="201"/>
      <c r="G78" s="201"/>
      <c r="H78" s="201"/>
      <c r="I78" s="201"/>
      <c r="J78" s="201"/>
      <c r="K78" s="24"/>
    </row>
    <row r="79" spans="1:11">
      <c r="A79" s="201"/>
      <c r="B79" s="201"/>
      <c r="C79" s="201"/>
      <c r="D79" s="201"/>
      <c r="E79" s="201"/>
      <c r="F79" s="201"/>
      <c r="G79" s="201"/>
      <c r="H79" s="201"/>
      <c r="I79" s="201"/>
      <c r="J79" s="201"/>
      <c r="K79" s="24"/>
    </row>
    <row r="80" spans="1:11">
      <c r="A80" s="201"/>
      <c r="B80" s="201"/>
      <c r="C80" s="201"/>
      <c r="D80" s="201"/>
      <c r="E80" s="201"/>
      <c r="F80" s="201"/>
      <c r="G80" s="201"/>
      <c r="H80" s="201"/>
      <c r="I80" s="201"/>
      <c r="J80" s="201"/>
      <c r="K80" s="24"/>
    </row>
    <row r="81" spans="1:11">
      <c r="A81" s="201"/>
      <c r="B81" s="201"/>
      <c r="C81" s="201"/>
      <c r="D81" s="201"/>
      <c r="E81" s="201"/>
      <c r="F81" s="201"/>
      <c r="G81" s="201"/>
      <c r="H81" s="201"/>
      <c r="I81" s="201"/>
      <c r="J81" s="201"/>
      <c r="K81" s="24"/>
    </row>
    <row r="82" spans="1:11">
      <c r="A82" s="201"/>
      <c r="K82" s="24"/>
    </row>
    <row r="83" spans="1:11">
      <c r="A83" s="216"/>
      <c r="B83" s="217"/>
      <c r="C83" s="201"/>
      <c r="D83" s="216"/>
      <c r="E83" s="217"/>
      <c r="F83" s="201"/>
      <c r="G83" s="201"/>
      <c r="H83" s="201"/>
      <c r="I83" s="201"/>
      <c r="J83" s="201"/>
      <c r="K83" s="24"/>
    </row>
    <row r="84" spans="1:11">
      <c r="A84" s="216"/>
      <c r="B84" s="201"/>
      <c r="C84" s="201"/>
      <c r="D84" s="216"/>
      <c r="E84" s="201"/>
      <c r="F84" s="201"/>
      <c r="G84" s="201"/>
      <c r="H84" s="201"/>
      <c r="I84" s="201"/>
      <c r="J84" s="201"/>
      <c r="K84" s="24"/>
    </row>
    <row r="85" spans="1:11">
      <c r="A85" s="214"/>
      <c r="B85" s="201"/>
      <c r="C85" s="201"/>
      <c r="D85" s="216"/>
      <c r="E85" s="201"/>
      <c r="F85" s="201"/>
      <c r="G85" s="201"/>
      <c r="H85" s="201"/>
      <c r="I85" s="201"/>
      <c r="J85" s="201"/>
      <c r="K85" s="24"/>
    </row>
    <row r="86" spans="1:11">
      <c r="A86" s="214"/>
      <c r="B86" s="201"/>
      <c r="C86" s="201"/>
      <c r="D86" s="201"/>
      <c r="E86" s="201"/>
      <c r="F86" s="201"/>
      <c r="G86" s="201"/>
      <c r="H86" s="201"/>
      <c r="I86" s="201"/>
      <c r="J86" s="201"/>
      <c r="K86" s="24"/>
    </row>
    <row r="87" spans="1:11">
      <c r="A87" s="214"/>
      <c r="B87" s="201"/>
      <c r="C87" s="201"/>
      <c r="D87" s="201"/>
      <c r="E87" s="201"/>
      <c r="F87" s="201"/>
      <c r="G87" s="201"/>
      <c r="H87" s="201"/>
      <c r="I87" s="201"/>
      <c r="J87" s="201"/>
      <c r="K87" s="24"/>
    </row>
    <row r="88" spans="1:11">
      <c r="A88" s="214"/>
      <c r="B88" s="201"/>
      <c r="C88" s="201"/>
      <c r="D88" s="201"/>
      <c r="E88" s="201"/>
      <c r="F88" s="201"/>
      <c r="G88" s="201"/>
      <c r="H88" s="201"/>
      <c r="I88" s="201"/>
      <c r="J88" s="201"/>
      <c r="K88" s="24"/>
    </row>
    <row r="89" spans="1:11">
      <c r="A89" s="214"/>
      <c r="B89" s="201"/>
      <c r="C89" s="201"/>
      <c r="D89" s="201"/>
      <c r="E89" s="201"/>
      <c r="F89" s="201"/>
      <c r="G89" s="201"/>
      <c r="H89" s="201"/>
      <c r="I89" s="201"/>
      <c r="J89" s="201"/>
      <c r="K89" s="24"/>
    </row>
    <row r="90" spans="1:11">
      <c r="A90" s="214"/>
      <c r="B90" s="24"/>
      <c r="C90" s="24"/>
      <c r="D90" s="24"/>
      <c r="E90" s="24"/>
      <c r="F90" s="24"/>
      <c r="G90" s="24"/>
      <c r="H90" s="24"/>
      <c r="I90" s="24"/>
      <c r="J90" s="24"/>
      <c r="K90" s="24"/>
    </row>
    <row r="91" spans="1:11">
      <c r="A91" s="214"/>
      <c r="B91" s="201"/>
      <c r="C91" s="201"/>
      <c r="D91" s="201"/>
      <c r="E91" s="201"/>
      <c r="F91" s="201"/>
      <c r="G91" s="201"/>
      <c r="H91" s="201"/>
      <c r="I91" s="201"/>
      <c r="J91" s="201"/>
      <c r="K91" s="24"/>
    </row>
    <row r="92" spans="1:11">
      <c r="A92" s="214"/>
      <c r="B92" s="201"/>
      <c r="C92" s="201"/>
      <c r="D92" s="201"/>
      <c r="E92" s="201"/>
      <c r="F92" s="201"/>
      <c r="G92" s="201"/>
      <c r="H92" s="201"/>
      <c r="I92" s="201"/>
      <c r="J92" s="201"/>
      <c r="K92" s="24"/>
    </row>
    <row r="93" spans="1:11">
      <c r="A93" s="214"/>
      <c r="B93" s="201"/>
      <c r="C93" s="201"/>
      <c r="D93" s="201"/>
      <c r="E93" s="201"/>
      <c r="F93" s="201"/>
      <c r="G93" s="201"/>
      <c r="H93" s="201"/>
      <c r="I93" s="201"/>
      <c r="J93" s="201"/>
      <c r="K93" s="24"/>
    </row>
    <row r="94" spans="1:11">
      <c r="A94" s="214"/>
      <c r="B94" s="201"/>
      <c r="K94" s="24"/>
    </row>
    <row r="95" spans="1:11">
      <c r="A95" s="214"/>
      <c r="B95" s="201"/>
      <c r="C95" s="201"/>
      <c r="D95" s="201"/>
      <c r="E95" s="201"/>
      <c r="F95" s="201"/>
      <c r="G95" s="201"/>
      <c r="H95" s="201"/>
      <c r="I95" s="201"/>
      <c r="J95" s="201"/>
      <c r="K95" s="24"/>
    </row>
    <row r="96" spans="1:11">
      <c r="A96" s="214"/>
      <c r="B96" s="201"/>
      <c r="K96" s="24"/>
    </row>
    <row r="97" spans="1:11">
      <c r="A97" s="214"/>
      <c r="B97" s="201"/>
      <c r="K97" s="24"/>
    </row>
    <row r="98" spans="1:11">
      <c r="A98" s="214"/>
      <c r="B98" s="201"/>
      <c r="C98" s="201"/>
      <c r="D98" s="201"/>
      <c r="E98" s="201"/>
      <c r="F98" s="201"/>
      <c r="G98" s="201"/>
      <c r="H98" s="201"/>
      <c r="I98" s="201"/>
      <c r="J98" s="201"/>
      <c r="K98" s="24"/>
    </row>
    <row r="99" spans="1:11">
      <c r="A99" s="214"/>
      <c r="B99" s="201"/>
      <c r="C99" s="201"/>
      <c r="D99" s="201"/>
      <c r="E99" s="201"/>
      <c r="F99" s="201"/>
      <c r="G99" s="201"/>
      <c r="H99" s="201"/>
      <c r="I99" s="201"/>
      <c r="J99" s="201"/>
      <c r="K99" s="24"/>
    </row>
    <row r="100" spans="1:11">
      <c r="A100" s="214"/>
      <c r="D100" s="201"/>
      <c r="E100" s="201"/>
      <c r="F100" s="201"/>
      <c r="G100" s="201"/>
      <c r="H100" s="201"/>
      <c r="I100" s="201"/>
      <c r="J100" s="201"/>
      <c r="K100" s="24"/>
    </row>
    <row r="101" spans="1:11">
      <c r="A101" s="251"/>
      <c r="K101" s="24"/>
    </row>
    <row r="102" spans="1:11">
      <c r="A102" s="251"/>
      <c r="K102" s="24"/>
    </row>
    <row r="103" spans="1:11">
      <c r="A103" s="254"/>
      <c r="B103" s="255"/>
      <c r="C103" s="255"/>
      <c r="D103" s="255"/>
      <c r="E103" s="255"/>
      <c r="F103" s="255"/>
      <c r="G103" s="255"/>
      <c r="H103" s="255"/>
      <c r="I103" s="255"/>
      <c r="J103" s="255"/>
      <c r="K103" s="24"/>
    </row>
    <row r="104" spans="1:11">
      <c r="A104" s="255"/>
      <c r="B104" s="255"/>
      <c r="C104" s="255"/>
      <c r="D104" s="255"/>
      <c r="E104" s="255"/>
      <c r="F104" s="255"/>
      <c r="G104" s="255"/>
      <c r="H104" s="255"/>
      <c r="I104" s="255"/>
      <c r="J104" s="255"/>
      <c r="K104" s="24"/>
    </row>
    <row r="105" spans="1:11">
      <c r="A105" s="255"/>
      <c r="B105" s="255"/>
      <c r="C105" s="255"/>
      <c r="D105" s="255"/>
      <c r="E105" s="255"/>
      <c r="F105" s="255"/>
      <c r="G105" s="255"/>
      <c r="H105" s="255"/>
      <c r="I105" s="255"/>
      <c r="J105" s="255"/>
      <c r="K105" s="24"/>
    </row>
    <row r="106" spans="1:11">
      <c r="A106" s="255"/>
      <c r="B106" s="255"/>
      <c r="C106" s="255"/>
      <c r="D106" s="255"/>
      <c r="E106" s="255"/>
      <c r="F106" s="255"/>
      <c r="G106" s="255"/>
      <c r="H106" s="255"/>
      <c r="I106" s="255"/>
      <c r="J106" s="255"/>
      <c r="K106" s="24"/>
    </row>
    <row r="107" spans="1:11">
      <c r="A107" s="255"/>
      <c r="B107" s="255"/>
      <c r="C107" s="255"/>
      <c r="D107" s="255"/>
      <c r="E107" s="255"/>
      <c r="F107" s="255"/>
      <c r="G107" s="255"/>
      <c r="H107" s="255"/>
      <c r="I107" s="255"/>
      <c r="J107" s="255"/>
      <c r="K107" s="24"/>
    </row>
    <row r="108" spans="1:11">
      <c r="A108" s="254"/>
      <c r="K108" s="24"/>
    </row>
    <row r="109" spans="1:11">
      <c r="A109" s="255"/>
      <c r="K109" s="24"/>
    </row>
    <row r="110" spans="1:11">
      <c r="A110" s="214"/>
      <c r="H110" s="251"/>
      <c r="I110" s="251"/>
      <c r="K110" s="24"/>
    </row>
    <row r="111" spans="1:11">
      <c r="A111" s="214"/>
      <c r="H111" s="251"/>
      <c r="I111" s="251"/>
      <c r="K111" s="24"/>
    </row>
    <row r="112" spans="1:11">
      <c r="A112" s="214"/>
      <c r="H112" s="251"/>
      <c r="I112" s="251"/>
      <c r="K112" s="24"/>
    </row>
    <row r="113" spans="1:11">
      <c r="A113" s="214"/>
      <c r="K113" s="24"/>
    </row>
    <row r="114" spans="1:11">
      <c r="K114" s="24"/>
    </row>
    <row r="115" spans="1:11">
      <c r="K115" s="24"/>
    </row>
    <row r="116" spans="1:11">
      <c r="K116" s="24"/>
    </row>
    <row r="117" spans="1:11">
      <c r="A117" s="24"/>
      <c r="B117" s="24"/>
      <c r="C117" s="24"/>
      <c r="D117" s="24"/>
      <c r="E117" s="24"/>
      <c r="F117" s="24"/>
      <c r="G117" s="24"/>
      <c r="H117" s="24"/>
      <c r="I117" s="24"/>
      <c r="J117" s="24"/>
      <c r="K117" s="24"/>
    </row>
    <row r="118" spans="1:11">
      <c r="A118" s="24"/>
      <c r="B118" s="24"/>
      <c r="C118" s="24"/>
      <c r="D118" s="24"/>
      <c r="E118" s="24"/>
      <c r="F118" s="24"/>
      <c r="G118" s="24"/>
      <c r="H118" s="24"/>
      <c r="I118" s="24"/>
      <c r="J118" s="24"/>
    </row>
    <row r="119" spans="1:11">
      <c r="A119" s="24"/>
      <c r="B119" s="24"/>
      <c r="C119" s="24"/>
      <c r="D119" s="24"/>
      <c r="E119" s="24"/>
      <c r="F119" s="24"/>
      <c r="G119" s="24"/>
      <c r="H119" s="24"/>
      <c r="I119" s="24"/>
      <c r="J119" s="24"/>
    </row>
  </sheetData>
  <mergeCells count="1">
    <mergeCell ref="A5:J5"/>
  </mergeCells>
  <pageMargins left="1" right="0.5" top="1" bottom="1" header="0.5" footer="0.5"/>
  <pageSetup scale="98" orientation="portrait" r:id="rId1"/>
  <headerFooter alignWithMargins="0"/>
  <rowBreaks count="1" manualBreakCount="1">
    <brk id="63" max="9" man="1"/>
  </rowBreaks>
  <legacyDrawing r:id="rId2"/>
</worksheet>
</file>

<file path=xl/worksheets/sheet5.xml><?xml version="1.0" encoding="utf-8"?>
<worksheet xmlns="http://schemas.openxmlformats.org/spreadsheetml/2006/main" xmlns:r="http://schemas.openxmlformats.org/officeDocument/2006/relationships">
  <dimension ref="A1:C61"/>
  <sheetViews>
    <sheetView workbookViewId="0">
      <selection activeCell="B33" sqref="B33"/>
    </sheetView>
  </sheetViews>
  <sheetFormatPr defaultRowHeight="12.75"/>
  <cols>
    <col min="1" max="1" width="33" customWidth="1"/>
    <col min="2" max="2" width="10.28515625" bestFit="1" customWidth="1"/>
  </cols>
  <sheetData>
    <row r="1" spans="1:3">
      <c r="A1" t="str">
        <f>[1]Summary!A1</f>
        <v>Name</v>
      </c>
      <c r="B1" t="str">
        <f>[1]Summary!B1</f>
        <v>Scale X</v>
      </c>
      <c r="C1" t="str">
        <f>[1]Summary!C1</f>
        <v>Scale Y</v>
      </c>
    </row>
    <row r="2" spans="1:3">
      <c r="A2" t="str">
        <f>[1]Summary!A2</f>
        <v>b2-a bottom</v>
      </c>
      <c r="B2" t="str">
        <f>[1]Summary!B2</f>
        <v>5.0000</v>
      </c>
      <c r="C2" t="str">
        <f>[1]Summary!C2</f>
        <v>9.0000</v>
      </c>
    </row>
    <row r="3" spans="1:3">
      <c r="A3" t="str">
        <f>[1]Summary!A3</f>
        <v>b2-a bottom side</v>
      </c>
      <c r="B3" t="str">
        <f>[1]Summary!B3</f>
        <v>5.0000</v>
      </c>
      <c r="C3" t="str">
        <f>[1]Summary!C3</f>
        <v>1.2400</v>
      </c>
    </row>
    <row r="4" spans="1:3">
      <c r="A4" t="str">
        <f>[1]Summary!A4</f>
        <v>b2-a pier</v>
      </c>
      <c r="B4" t="str">
        <f>[1]Summary!B4</f>
        <v>1.1250</v>
      </c>
      <c r="C4" t="str">
        <f>[1]Summary!C4</f>
        <v>2.0000</v>
      </c>
    </row>
    <row r="5" spans="1:3">
      <c r="A5" t="str">
        <f>[1]Summary!A5</f>
        <v>b2-a pier side</v>
      </c>
      <c r="B5" t="str">
        <f>[1]Summary!B5</f>
        <v>1.1250</v>
      </c>
      <c r="C5" t="str">
        <f>[1]Summary!C5</f>
        <v>2.0000</v>
      </c>
    </row>
    <row r="6" spans="1:3">
      <c r="A6" t="str">
        <f>[1]Summary!A6</f>
        <v>b2-b bottom</v>
      </c>
      <c r="B6" t="str">
        <f>[1]Summary!B6</f>
        <v>5.0000</v>
      </c>
      <c r="C6" t="str">
        <f>[1]Summary!C6</f>
        <v>9.0000</v>
      </c>
    </row>
    <row r="7" spans="1:3">
      <c r="A7" t="str">
        <f>[1]Summary!A7</f>
        <v>b2-b bottom side</v>
      </c>
      <c r="B7" t="str">
        <f>[1]Summary!B7</f>
        <v>5.0000</v>
      </c>
      <c r="C7" t="str">
        <f>[1]Summary!C7</f>
        <v>1.2400</v>
      </c>
    </row>
    <row r="8" spans="1:3">
      <c r="A8" t="str">
        <f>[1]Summary!A8</f>
        <v>b2-b pier</v>
      </c>
      <c r="B8" t="str">
        <f>[1]Summary!B8</f>
        <v>1.1250</v>
      </c>
      <c r="C8" t="str">
        <f>[1]Summary!C8</f>
        <v>2.0000</v>
      </c>
    </row>
    <row r="9" spans="1:3">
      <c r="A9" t="str">
        <f>[1]Summary!A9</f>
        <v>b2-b pier side</v>
      </c>
      <c r="B9" t="str">
        <f>[1]Summary!B9</f>
        <v>1.1250</v>
      </c>
      <c r="C9" t="str">
        <f>[1]Summary!C9</f>
        <v>2.0000</v>
      </c>
    </row>
    <row r="10" spans="1:3">
      <c r="A10" t="str">
        <f>[1]Summary!A10</f>
        <v>b2-c bottom</v>
      </c>
      <c r="B10" t="str">
        <f>[1]Summary!B10</f>
        <v>5.0000</v>
      </c>
      <c r="C10" t="str">
        <f>[1]Summary!C10</f>
        <v>9.0000</v>
      </c>
    </row>
    <row r="11" spans="1:3">
      <c r="A11" t="str">
        <f>[1]Summary!A11</f>
        <v>b2-c bottom side</v>
      </c>
      <c r="B11" t="str">
        <f>[1]Summary!B11</f>
        <v>5.0000</v>
      </c>
      <c r="C11" t="str">
        <f>[1]Summary!C11</f>
        <v>1.2400</v>
      </c>
    </row>
    <row r="12" spans="1:3">
      <c r="A12" t="str">
        <f>[1]Summary!A12</f>
        <v>b2-c pier</v>
      </c>
      <c r="B12" t="str">
        <f>[1]Summary!B12</f>
        <v>1.1250</v>
      </c>
      <c r="C12" t="str">
        <f>[1]Summary!C12</f>
        <v>2.0000</v>
      </c>
    </row>
    <row r="13" spans="1:3">
      <c r="A13" t="str">
        <f>[1]Summary!A13</f>
        <v>b2-c pier side</v>
      </c>
      <c r="B13" t="str">
        <f>[1]Summary!B13</f>
        <v>1.1250</v>
      </c>
      <c r="C13" t="str">
        <f>[1]Summary!C13</f>
        <v>2.0000</v>
      </c>
    </row>
    <row r="14" spans="1:3">
      <c r="A14" t="str">
        <f>[1]Summary!A14</f>
        <v>b3-a bottom</v>
      </c>
      <c r="B14" t="str">
        <f>[1]Summary!B14</f>
        <v>5.0000</v>
      </c>
      <c r="C14" t="str">
        <f>[1]Summary!C14</f>
        <v>9.0000</v>
      </c>
    </row>
    <row r="15" spans="1:3">
      <c r="A15" t="str">
        <f>[1]Summary!A15</f>
        <v>b3-a bottom side</v>
      </c>
      <c r="B15" t="str">
        <f>[1]Summary!B15</f>
        <v>5.0000</v>
      </c>
      <c r="C15" t="str">
        <f>[1]Summary!C15</f>
        <v>1.2400</v>
      </c>
    </row>
    <row r="16" spans="1:3">
      <c r="A16" t="str">
        <f>[1]Summary!A16</f>
        <v>b3-a pier</v>
      </c>
      <c r="B16" t="str">
        <f>[1]Summary!B16</f>
        <v>1.1250</v>
      </c>
      <c r="C16" t="str">
        <f>[1]Summary!C16</f>
        <v>2.0000</v>
      </c>
    </row>
    <row r="17" spans="1:3">
      <c r="A17" t="str">
        <f>[1]Summary!A17</f>
        <v>b3-a pier side</v>
      </c>
      <c r="B17" t="str">
        <f>[1]Summary!B17</f>
        <v>1.1250</v>
      </c>
      <c r="C17" t="str">
        <f>[1]Summary!C17</f>
        <v>2.0000</v>
      </c>
    </row>
    <row r="18" spans="1:3">
      <c r="A18" t="str">
        <f>[1]Summary!A18</f>
        <v>b3-b bottom</v>
      </c>
      <c r="B18" t="str">
        <f>[1]Summary!B18</f>
        <v>5.0000</v>
      </c>
      <c r="C18" t="str">
        <f>[1]Summary!C18</f>
        <v>9.0000</v>
      </c>
    </row>
    <row r="19" spans="1:3">
      <c r="A19" t="str">
        <f>[1]Summary!A19</f>
        <v>b3-b bottom side</v>
      </c>
      <c r="B19" t="str">
        <f>[1]Summary!B19</f>
        <v>5.0000</v>
      </c>
      <c r="C19" t="str">
        <f>[1]Summary!C19</f>
        <v>1.2400</v>
      </c>
    </row>
    <row r="20" spans="1:3">
      <c r="A20" t="str">
        <f>[1]Summary!A20</f>
        <v>b3-b pier</v>
      </c>
      <c r="B20" t="str">
        <f>[1]Summary!B20</f>
        <v>1.1250</v>
      </c>
      <c r="C20" t="str">
        <f>[1]Summary!C20</f>
        <v>2.0000</v>
      </c>
    </row>
    <row r="21" spans="1:3">
      <c r="A21" t="str">
        <f>[1]Summary!A21</f>
        <v>b3-b pier side</v>
      </c>
      <c r="B21" t="str">
        <f>[1]Summary!B21</f>
        <v>1.1250</v>
      </c>
      <c r="C21" t="str">
        <f>[1]Summary!C21</f>
        <v>2.0000</v>
      </c>
    </row>
    <row r="22" spans="1:3">
      <c r="A22" t="str">
        <f>[1]Summary!A22</f>
        <v>b3-c bottom</v>
      </c>
      <c r="B22" t="str">
        <f>[1]Summary!B22</f>
        <v>5.0000</v>
      </c>
      <c r="C22" t="str">
        <f>[1]Summary!C22</f>
        <v>9.0000</v>
      </c>
    </row>
    <row r="23" spans="1:3">
      <c r="A23" t="str">
        <f>[1]Summary!A23</f>
        <v>b3-c bottom side</v>
      </c>
      <c r="B23" t="str">
        <f>[1]Summary!B23</f>
        <v>5.0000</v>
      </c>
      <c r="C23" t="str">
        <f>[1]Summary!C23</f>
        <v>1.2400</v>
      </c>
    </row>
    <row r="24" spans="1:3">
      <c r="A24" t="str">
        <f>[1]Summary!A24</f>
        <v>b3-c pier</v>
      </c>
      <c r="B24" t="str">
        <f>[1]Summary!B24</f>
        <v>1.1250</v>
      </c>
      <c r="C24" t="str">
        <f>[1]Summary!C24</f>
        <v>2.0000</v>
      </c>
    </row>
    <row r="25" spans="1:3">
      <c r="A25" t="str">
        <f>[1]Summary!A25</f>
        <v>b3-c pier side</v>
      </c>
      <c r="B25" t="str">
        <f>[1]Summary!B25</f>
        <v>1.1250</v>
      </c>
      <c r="C25" t="str">
        <f>[1]Summary!C25</f>
        <v>2.0000</v>
      </c>
    </row>
    <row r="26" spans="1:3">
      <c r="A26" t="str">
        <f>[1]Summary!A26</f>
        <v>b3-d bottom</v>
      </c>
      <c r="B26" t="str">
        <f>[1]Summary!B26</f>
        <v>5.0000</v>
      </c>
      <c r="C26" t="str">
        <f>[1]Summary!C26</f>
        <v>9.0000</v>
      </c>
    </row>
    <row r="27" spans="1:3">
      <c r="A27" t="str">
        <f>[1]Summary!A27</f>
        <v>b3-d bottom side</v>
      </c>
      <c r="B27" t="str">
        <f>[1]Summary!B27</f>
        <v>5.0000</v>
      </c>
      <c r="C27" t="str">
        <f>[1]Summary!C27</f>
        <v>1.2400</v>
      </c>
    </row>
    <row r="28" spans="1:3">
      <c r="A28" t="str">
        <f>[1]Summary!A28</f>
        <v>b3-d pier</v>
      </c>
      <c r="B28" t="str">
        <f>[1]Summary!B28</f>
        <v>1.1250</v>
      </c>
      <c r="C28" t="str">
        <f>[1]Summary!C28</f>
        <v>2.0000</v>
      </c>
    </row>
    <row r="29" spans="1:3">
      <c r="A29" t="str">
        <f>[1]Summary!A29</f>
        <v>b3-d pier side</v>
      </c>
      <c r="B29" t="str">
        <f>[1]Summary!B29</f>
        <v>1.1250</v>
      </c>
      <c r="C29" t="str">
        <f>[1]Summary!C29</f>
        <v>2.0000</v>
      </c>
    </row>
    <row r="30" spans="1:3">
      <c r="A30" t="str">
        <f>[1]Summary!A30</f>
        <v>MB-A Bottom</v>
      </c>
      <c r="B30" t="str">
        <f>[1]Summary!B30</f>
        <v>5.0000</v>
      </c>
      <c r="C30" t="str">
        <f>[1]Summary!C30</f>
        <v>9.0000</v>
      </c>
    </row>
    <row r="31" spans="1:3">
      <c r="A31" t="str">
        <f>[1]Summary!A31</f>
        <v>MB-A bottom side</v>
      </c>
      <c r="B31" t="str">
        <f>[1]Summary!B31</f>
        <v>5.0000</v>
      </c>
      <c r="C31" t="str">
        <f>[1]Summary!C31</f>
        <v>1.3330</v>
      </c>
    </row>
    <row r="32" spans="1:3">
      <c r="A32" t="str">
        <f>[1]Summary!A32</f>
        <v>MB-A Pier</v>
      </c>
      <c r="B32" t="str">
        <f>[1]Summary!B32</f>
        <v>1.1250</v>
      </c>
      <c r="C32" t="str">
        <f>[1]Summary!C32</f>
        <v>2.0000</v>
      </c>
    </row>
    <row r="33" spans="1:3">
      <c r="A33" t="str">
        <f>[1]Summary!A33</f>
        <v>MB-A pier side</v>
      </c>
      <c r="B33" t="str">
        <f>[1]Summary!B33</f>
        <v>1.1250</v>
      </c>
      <c r="C33" t="str">
        <f>[1]Summary!C33</f>
        <v>3.0000</v>
      </c>
    </row>
    <row r="34" spans="1:3">
      <c r="A34" t="str">
        <f>[1]Summary!A34</f>
        <v>mb-b bottom</v>
      </c>
      <c r="B34" t="str">
        <f>[1]Summary!B34</f>
        <v>5.0000</v>
      </c>
      <c r="C34" t="str">
        <f>[1]Summary!C34</f>
        <v>9.0000</v>
      </c>
    </row>
    <row r="35" spans="1:3">
      <c r="A35" t="str">
        <f>[1]Summary!A35</f>
        <v>mb-b bottom side</v>
      </c>
      <c r="B35" t="str">
        <f>[1]Summary!B35</f>
        <v>5.0000</v>
      </c>
      <c r="C35" t="str">
        <f>[1]Summary!C35</f>
        <v>1.3330</v>
      </c>
    </row>
    <row r="36" spans="1:3">
      <c r="A36" t="str">
        <f>[1]Summary!A36</f>
        <v>mb-b pier</v>
      </c>
      <c r="B36" t="str">
        <f>[1]Summary!B36</f>
        <v>1.1250</v>
      </c>
      <c r="C36" t="str">
        <f>[1]Summary!C36</f>
        <v>2.0000</v>
      </c>
    </row>
    <row r="37" spans="1:3">
      <c r="A37" t="str">
        <f>[1]Summary!A37</f>
        <v>mb-b pier side</v>
      </c>
      <c r="B37" t="str">
        <f>[1]Summary!B37</f>
        <v>1.1250</v>
      </c>
      <c r="C37" t="str">
        <f>[1]Summary!C37</f>
        <v>3.0000</v>
      </c>
    </row>
    <row r="38" spans="1:3">
      <c r="A38" t="str">
        <f>[1]Summary!A38</f>
        <v>mb-c bottom</v>
      </c>
      <c r="B38" t="str">
        <f>[1]Summary!B38</f>
        <v>5.0000</v>
      </c>
      <c r="C38" t="str">
        <f>[1]Summary!C38</f>
        <v>9.0000</v>
      </c>
    </row>
    <row r="39" spans="1:3">
      <c r="A39" t="str">
        <f>[1]Summary!A39</f>
        <v>mb-c bottom side</v>
      </c>
      <c r="B39" t="str">
        <f>[1]Summary!B39</f>
        <v>5.0000</v>
      </c>
      <c r="C39" t="str">
        <f>[1]Summary!C39</f>
        <v>1.3330</v>
      </c>
    </row>
    <row r="40" spans="1:3">
      <c r="A40" t="str">
        <f>[1]Summary!A40</f>
        <v>mb-c pier</v>
      </c>
      <c r="B40" t="str">
        <f>[1]Summary!B40</f>
        <v>1.1250</v>
      </c>
      <c r="C40" t="str">
        <f>[1]Summary!C40</f>
        <v>2.0000</v>
      </c>
    </row>
    <row r="41" spans="1:3">
      <c r="A41" t="str">
        <f>[1]Summary!A41</f>
        <v>mb-c pier side</v>
      </c>
      <c r="B41" t="str">
        <f>[1]Summary!B41</f>
        <v>1.1250</v>
      </c>
      <c r="C41" t="str">
        <f>[1]Summary!C41</f>
        <v>3.0000</v>
      </c>
    </row>
    <row r="42" spans="1:3">
      <c r="A42" t="str">
        <f>[1]Summary!A42</f>
        <v>mb-d bottom</v>
      </c>
      <c r="B42" t="str">
        <f>[1]Summary!B42</f>
        <v>5.0000</v>
      </c>
      <c r="C42" t="str">
        <f>[1]Summary!C42</f>
        <v>9.0000</v>
      </c>
    </row>
    <row r="43" spans="1:3">
      <c r="A43" t="str">
        <f>[1]Summary!A43</f>
        <v>mb-d bottom side</v>
      </c>
      <c r="B43" t="str">
        <f>[1]Summary!B43</f>
        <v>5.0000</v>
      </c>
      <c r="C43" t="str">
        <f>[1]Summary!C43</f>
        <v>1.3333</v>
      </c>
    </row>
    <row r="44" spans="1:3">
      <c r="A44" t="str">
        <f>[1]Summary!A44</f>
        <v>mb-d pier</v>
      </c>
      <c r="B44" t="str">
        <f>[1]Summary!B44</f>
        <v>1.1250</v>
      </c>
      <c r="C44" t="str">
        <f>[1]Summary!C44</f>
        <v>2.0000</v>
      </c>
    </row>
    <row r="45" spans="1:3">
      <c r="A45" t="str">
        <f>[1]Summary!A45</f>
        <v>mb-d pier side</v>
      </c>
      <c r="B45" t="str">
        <f>[1]Summary!B45</f>
        <v>1.1250</v>
      </c>
      <c r="C45" t="str">
        <f>[1]Summary!C45</f>
        <v>3.0000</v>
      </c>
    </row>
    <row r="46" spans="1:3">
      <c r="A46" t="str">
        <f>[1]Summary!A46</f>
        <v>mb-e bottom</v>
      </c>
      <c r="B46" t="str">
        <f>[1]Summary!B46</f>
        <v>5.0000</v>
      </c>
      <c r="C46" t="str">
        <f>[1]Summary!C46</f>
        <v>9.0000</v>
      </c>
    </row>
    <row r="47" spans="1:3">
      <c r="A47" t="str">
        <f>[1]Summary!A47</f>
        <v>mb-e bottom side</v>
      </c>
      <c r="B47" t="str">
        <f>[1]Summary!B47</f>
        <v>5.0000</v>
      </c>
      <c r="C47" t="str">
        <f>[1]Summary!C47</f>
        <v>1.3333</v>
      </c>
    </row>
    <row r="48" spans="1:3">
      <c r="A48" t="str">
        <f>[1]Summary!A48</f>
        <v>mb-e pier</v>
      </c>
      <c r="B48" t="str">
        <f>[1]Summary!B48</f>
        <v>1.1250</v>
      </c>
      <c r="C48" t="str">
        <f>[1]Summary!C48</f>
        <v>2.0000</v>
      </c>
    </row>
    <row r="49" spans="1:3">
      <c r="A49" t="str">
        <f>[1]Summary!A49</f>
        <v>mb-e pier side</v>
      </c>
      <c r="B49" t="str">
        <f>[1]Summary!B49</f>
        <v>1.1250</v>
      </c>
      <c r="C49" t="str">
        <f>[1]Summary!C49</f>
        <v>3.0000</v>
      </c>
    </row>
    <row r="50" spans="1:3">
      <c r="A50" t="str">
        <f>[1]Summary!A50</f>
        <v>mb-f bottom</v>
      </c>
      <c r="B50" t="str">
        <f>[1]Summary!B50</f>
        <v>5.0000</v>
      </c>
      <c r="C50" t="str">
        <f>[1]Summary!C50</f>
        <v>9.0000</v>
      </c>
    </row>
    <row r="51" spans="1:3">
      <c r="A51" t="str">
        <f>[1]Summary!A51</f>
        <v>mb-f bottom side</v>
      </c>
      <c r="B51" t="str">
        <f>[1]Summary!B51</f>
        <v>5.0000</v>
      </c>
      <c r="C51" t="str">
        <f>[1]Summary!C51</f>
        <v>1.3333</v>
      </c>
    </row>
    <row r="52" spans="1:3">
      <c r="A52" t="str">
        <f>[1]Summary!A52</f>
        <v>mb-f pier</v>
      </c>
      <c r="B52" t="str">
        <f>[1]Summary!B52</f>
        <v>1.1250</v>
      </c>
      <c r="C52" t="str">
        <f>[1]Summary!C52</f>
        <v>2.0000</v>
      </c>
    </row>
    <row r="53" spans="1:3">
      <c r="A53" t="str">
        <f>[1]Summary!A53</f>
        <v>mb-f pier side</v>
      </c>
      <c r="B53" t="str">
        <f>[1]Summary!B53</f>
        <v>1.1250</v>
      </c>
      <c r="C53" t="str">
        <f>[1]Summary!C53</f>
        <v>3.0000</v>
      </c>
    </row>
    <row r="54" spans="1:3">
      <c r="A54" t="str">
        <f>[1]Summary!A54</f>
        <v>mb-g bottom</v>
      </c>
      <c r="B54" t="str">
        <f>[1]Summary!B54</f>
        <v>5.0000</v>
      </c>
      <c r="C54" t="str">
        <f>[1]Summary!C54</f>
        <v>9.0000</v>
      </c>
    </row>
    <row r="55" spans="1:3">
      <c r="A55" t="str">
        <f>[1]Summary!A55</f>
        <v>mb-g bottom side</v>
      </c>
      <c r="B55" t="str">
        <f>[1]Summary!B55</f>
        <v>5.0000</v>
      </c>
      <c r="C55" t="str">
        <f>[1]Summary!C55</f>
        <v>1.3333</v>
      </c>
    </row>
    <row r="56" spans="1:3">
      <c r="A56" t="str">
        <f>[1]Summary!A56</f>
        <v>mb-g pier</v>
      </c>
      <c r="B56" t="str">
        <f>[1]Summary!B56</f>
        <v>1.1250</v>
      </c>
      <c r="C56" t="str">
        <f>[1]Summary!C56</f>
        <v>2.0000</v>
      </c>
    </row>
    <row r="57" spans="1:3">
      <c r="A57" t="str">
        <f>[1]Summary!A57</f>
        <v>mb-g pier side</v>
      </c>
      <c r="B57" t="str">
        <f>[1]Summary!B57</f>
        <v>1.1250</v>
      </c>
      <c r="C57" t="str">
        <f>[1]Summary!C57</f>
        <v>3.0000</v>
      </c>
    </row>
    <row r="58" spans="1:3">
      <c r="A58" t="str">
        <f>[1]Summary!A58</f>
        <v>mb-h bottom</v>
      </c>
      <c r="B58" t="str">
        <f>[1]Summary!B58</f>
        <v>8.0000</v>
      </c>
      <c r="C58" t="str">
        <f>[1]Summary!C58</f>
        <v>10.0000</v>
      </c>
    </row>
    <row r="59" spans="1:3">
      <c r="A59" t="str">
        <f>[1]Summary!A59</f>
        <v>mb-h bottom side</v>
      </c>
      <c r="B59" t="str">
        <f>[1]Summary!B59</f>
        <v>8.0000</v>
      </c>
      <c r="C59" t="str">
        <f>[1]Summary!C59</f>
        <v>1.3333</v>
      </c>
    </row>
    <row r="60" spans="1:3">
      <c r="A60" t="str">
        <f>[1]Summary!A60</f>
        <v>mb-h pier</v>
      </c>
      <c r="B60" t="str">
        <f>[1]Summary!B60</f>
        <v>1.7500</v>
      </c>
      <c r="C60" t="str">
        <f>[1]Summary!C60</f>
        <v>2.7500</v>
      </c>
    </row>
    <row r="61" spans="1:3">
      <c r="A61" t="str">
        <f>[1]Summary!A61</f>
        <v>mb-h pier side</v>
      </c>
      <c r="B61" t="str">
        <f>[1]Summary!B61</f>
        <v>1.7500</v>
      </c>
      <c r="C61" t="str">
        <f>[1]Summary!C61</f>
        <v>3.0000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7</vt:i4>
      </vt:variant>
    </vt:vector>
  </HeadingPairs>
  <TitlesOfParts>
    <vt:vector size="12" baseType="lpstr">
      <vt:lpstr>Doc</vt:lpstr>
      <vt:lpstr>MB-A</vt:lpstr>
      <vt:lpstr>MB-H</vt:lpstr>
      <vt:lpstr>Summary</vt:lpstr>
      <vt:lpstr>Import</vt:lpstr>
      <vt:lpstr>desired_cell_to_view_the_contents_of_that_particular__comment_box_.</vt:lpstr>
      <vt:lpstr>eh</vt:lpstr>
      <vt:lpstr>Footing_Type</vt:lpstr>
      <vt:lpstr>Doc!Область_печати</vt:lpstr>
      <vt:lpstr>'MB-A'!Область_печати</vt:lpstr>
      <vt:lpstr>'MB-H'!Область_печати</vt:lpstr>
      <vt:lpstr>Summary!Область_печати</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"FOOTINGS" Program</dc:title>
  <dc:subject/>
  <dc:creator>Alex Tomanovich, P.E. - 151 Shadow Lane, Lyman SC 29365 - Home: 864-968-2699 - Email: ATomanovich@bellsouth.net</dc:creator>
  <dc:description>Rectangular Spread Footing Analysis</dc:description>
  <cp:lastModifiedBy>RePack by SPecialiST</cp:lastModifiedBy>
  <cp:lastPrinted>2015-03-24T15:52:58Z</cp:lastPrinted>
  <dcterms:created xsi:type="dcterms:W3CDTF">1999-11-22T20:04:47Z</dcterms:created>
  <dcterms:modified xsi:type="dcterms:W3CDTF">2015-04-18T20:38:52Z</dcterms:modified>
  <cp:category>Structural Engineering Analysis/Design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-1549027163</vt:i4>
  </property>
  <property fmtid="{D5CDD505-2E9C-101B-9397-08002B2CF9AE}" pid="3" name="_EmailSubject">
    <vt:lpwstr/>
  </property>
  <property fmtid="{D5CDD505-2E9C-101B-9397-08002B2CF9AE}" pid="4" name="_AuthorEmail">
    <vt:lpwstr>JJ.Koo@jacobs.com</vt:lpwstr>
  </property>
  <property fmtid="{D5CDD505-2E9C-101B-9397-08002B2CF9AE}" pid="5" name="_AuthorEmailDisplayName">
    <vt:lpwstr>Koo, Jajin</vt:lpwstr>
  </property>
  <property fmtid="{D5CDD505-2E9C-101B-9397-08002B2CF9AE}" pid="6" name="_ReviewingToolsShownOnce">
    <vt:lpwstr/>
  </property>
</Properties>
</file>