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X:\ankur\repo_sync\pdk_tip\pdk\docs\test_report\j721e\"/>
    </mc:Choice>
  </mc:AlternateContent>
  <xr:revisionPtr revIDLastSave="0" documentId="8_{F1E4652F-3D94-4F84-A215-BB6A4807F6E3}" xr6:coauthVersionLast="36" xr6:coauthVersionMax="36" xr10:uidLastSave="{00000000-0000-0000-0000-000000000000}"/>
  <bookViews>
    <workbookView xWindow="0" yWindow="0" windowWidth="22635" windowHeight="7763"/>
  </bookViews>
  <sheets>
    <sheet name="Summary" sheetId="1" r:id="rId1"/>
    <sheet name="Details" sheetId="2" r:id="rId2"/>
  </sheet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A29" i="2"/>
  <c r="B29" i="2"/>
  <c r="A30" i="2"/>
  <c r="B30" i="2"/>
  <c r="B31" i="2"/>
  <c r="B41" i="2"/>
  <c r="B42" i="2"/>
  <c r="B43" i="2"/>
  <c r="B44" i="2"/>
  <c r="B45" i="2"/>
  <c r="B46" i="2"/>
  <c r="B47" i="2"/>
  <c r="B48" i="2"/>
  <c r="B49" i="2"/>
  <c r="B50" i="2"/>
  <c r="B51" i="2"/>
  <c r="A52" i="2"/>
  <c r="B52" i="2"/>
  <c r="A53" i="2"/>
  <c r="B53" i="2"/>
  <c r="A64" i="2"/>
  <c r="B64" i="2"/>
  <c r="A67" i="2"/>
  <c r="B67" i="2"/>
  <c r="A68" i="2"/>
  <c r="B68" i="2"/>
  <c r="A69" i="2"/>
  <c r="B69" i="2"/>
  <c r="A76" i="2"/>
  <c r="B76" i="2"/>
  <c r="A81" i="2"/>
  <c r="B81" i="2"/>
  <c r="A84" i="2"/>
  <c r="B84" i="2"/>
  <c r="A162" i="2"/>
  <c r="B162" i="2"/>
  <c r="A168" i="2"/>
  <c r="B168" i="2"/>
  <c r="A196" i="2"/>
  <c r="B196" i="2"/>
  <c r="A240" i="2"/>
  <c r="B240" i="2"/>
  <c r="A249" i="2"/>
  <c r="B249" i="2"/>
  <c r="A253" i="2"/>
  <c r="B253" i="2"/>
  <c r="A255" i="2"/>
  <c r="B255" i="2"/>
  <c r="A273" i="2"/>
  <c r="B273" i="2"/>
  <c r="A277" i="2"/>
  <c r="B277" i="2"/>
  <c r="A283" i="2"/>
  <c r="B283" i="2"/>
  <c r="A286" i="2"/>
  <c r="B286" i="2"/>
  <c r="A287" i="2"/>
  <c r="B287" i="2"/>
  <c r="A288" i="2"/>
  <c r="B288" i="2"/>
  <c r="A292" i="2"/>
  <c r="B292" i="2"/>
  <c r="A298" i="2"/>
  <c r="B298" i="2"/>
  <c r="A299" i="2"/>
  <c r="B299" i="2"/>
  <c r="A301" i="2"/>
  <c r="B301" i="2"/>
  <c r="A303" i="2"/>
  <c r="B303" i="2"/>
  <c r="A369" i="2"/>
  <c r="B369" i="2"/>
  <c r="A400" i="2"/>
  <c r="B400" i="2"/>
  <c r="A416" i="2"/>
  <c r="B416" i="2"/>
  <c r="A417" i="2"/>
  <c r="B417" i="2"/>
  <c r="A418" i="2"/>
  <c r="B418" i="2"/>
  <c r="A427" i="2"/>
  <c r="B427" i="2"/>
  <c r="A436" i="2"/>
  <c r="B436" i="2"/>
  <c r="A451" i="2"/>
  <c r="B451" i="2"/>
  <c r="A457" i="2"/>
  <c r="B457" i="2"/>
  <c r="A459" i="2"/>
  <c r="B459" i="2"/>
  <c r="A499" i="2"/>
  <c r="B499" i="2"/>
  <c r="A501" i="2"/>
  <c r="B501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4" i="2"/>
  <c r="B544" i="2"/>
  <c r="A549" i="2"/>
  <c r="B549" i="2"/>
  <c r="A550" i="2"/>
  <c r="B550" i="2"/>
  <c r="A551" i="2"/>
  <c r="B551" i="2"/>
  <c r="B552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4" i="2"/>
  <c r="B564" i="2"/>
  <c r="A565" i="2"/>
  <c r="B565" i="2"/>
  <c r="A566" i="2"/>
  <c r="B566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5" i="2"/>
  <c r="B585" i="2"/>
  <c r="A590" i="2"/>
  <c r="B590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8" i="2"/>
  <c r="B678" i="2"/>
  <c r="A679" i="2"/>
  <c r="B679" i="2"/>
  <c r="A680" i="2"/>
  <c r="B680" i="2"/>
  <c r="A685" i="2"/>
  <c r="B685" i="2"/>
  <c r="A687" i="2"/>
  <c r="B687" i="2"/>
  <c r="A688" i="2"/>
  <c r="B688" i="2"/>
  <c r="A689" i="2"/>
  <c r="B689" i="2"/>
  <c r="A690" i="2"/>
  <c r="B690" i="2"/>
  <c r="A692" i="2"/>
  <c r="B692" i="2"/>
  <c r="A694" i="2"/>
  <c r="B694" i="2"/>
  <c r="A698" i="2"/>
  <c r="B698" i="2"/>
  <c r="A704" i="2"/>
  <c r="B704" i="2"/>
  <c r="A706" i="2"/>
  <c r="B706" i="2"/>
  <c r="A707" i="2"/>
  <c r="B707" i="2"/>
  <c r="A708" i="2"/>
  <c r="B708" i="2"/>
  <c r="A709" i="2"/>
  <c r="B709" i="2"/>
  <c r="A710" i="2"/>
  <c r="B710" i="2"/>
  <c r="A712" i="2"/>
  <c r="B712" i="2"/>
  <c r="A713" i="2"/>
  <c r="B713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5" i="2"/>
  <c r="B725" i="2"/>
  <c r="A726" i="2"/>
  <c r="B726" i="2"/>
  <c r="A727" i="2"/>
  <c r="B72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4" i="2"/>
  <c r="B774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9" i="2"/>
  <c r="B819" i="2"/>
  <c r="A823" i="2"/>
  <c r="B823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8" i="2"/>
  <c r="B858" i="2"/>
  <c r="A859" i="2"/>
  <c r="B859" i="2"/>
  <c r="A860" i="2"/>
  <c r="B860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3" i="2"/>
  <c r="B883" i="2"/>
  <c r="A884" i="2"/>
  <c r="B884" i="2"/>
  <c r="A889" i="2"/>
  <c r="B889" i="2"/>
  <c r="A891" i="2"/>
  <c r="B891" i="2"/>
  <c r="A892" i="2"/>
  <c r="B892" i="2"/>
  <c r="A894" i="2"/>
  <c r="B894" i="2"/>
  <c r="A896" i="2"/>
  <c r="B896" i="2"/>
  <c r="A898" i="2"/>
  <c r="B898" i="2"/>
  <c r="A900" i="2"/>
  <c r="B900" i="2"/>
  <c r="A901" i="2"/>
  <c r="B901" i="2"/>
  <c r="A902" i="2"/>
  <c r="B902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1" i="2"/>
  <c r="B911" i="2"/>
  <c r="A912" i="2"/>
  <c r="B912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1" i="2"/>
  <c r="B921" i="2"/>
  <c r="A922" i="2"/>
  <c r="B922" i="2"/>
  <c r="A923" i="2"/>
  <c r="B923" i="2"/>
  <c r="A925" i="2"/>
  <c r="B925" i="2"/>
  <c r="A926" i="2"/>
  <c r="B926" i="2"/>
  <c r="A931" i="2"/>
  <c r="B931" i="2"/>
  <c r="A932" i="2"/>
  <c r="B932" i="2"/>
  <c r="A933" i="2"/>
  <c r="B933" i="2"/>
  <c r="A934" i="2"/>
  <c r="B934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9" i="2"/>
  <c r="B949" i="2"/>
  <c r="A951" i="2"/>
  <c r="B951" i="2"/>
  <c r="A954" i="2"/>
  <c r="B954" i="2"/>
  <c r="A955" i="2"/>
  <c r="B955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4" i="2"/>
  <c r="B964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B989" i="2"/>
  <c r="B990" i="2"/>
  <c r="B991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A1011" i="2"/>
  <c r="B1011" i="2"/>
  <c r="A1012" i="2"/>
  <c r="B1012" i="2"/>
  <c r="A1013" i="2"/>
  <c r="B1013" i="2"/>
  <c r="A1014" i="2"/>
  <c r="B1014" i="2"/>
  <c r="B1015" i="2"/>
  <c r="B1016" i="2"/>
  <c r="B1017" i="2"/>
  <c r="B1018" i="2"/>
  <c r="B1020" i="2"/>
  <c r="B1021" i="2"/>
  <c r="B1022" i="2"/>
  <c r="B1023" i="2"/>
  <c r="B1024" i="2"/>
  <c r="B1025" i="2"/>
  <c r="B1026" i="2"/>
  <c r="B1027" i="2"/>
  <c r="B1028" i="2"/>
  <c r="B1029" i="2"/>
  <c r="B1030" i="2"/>
  <c r="B1045" i="2"/>
  <c r="B1047" i="2"/>
  <c r="B1048" i="2"/>
  <c r="B1050" i="2"/>
  <c r="B1051" i="2"/>
  <c r="B1053" i="2"/>
  <c r="B1055" i="2"/>
  <c r="B1057" i="2"/>
  <c r="B1058" i="2"/>
  <c r="B1059" i="2"/>
  <c r="B1060" i="2"/>
  <c r="B1061" i="2"/>
  <c r="B1062" i="2"/>
  <c r="B1063" i="2"/>
  <c r="B1064" i="2"/>
  <c r="B1065" i="2"/>
  <c r="B1066" i="2"/>
  <c r="A1068" i="2"/>
  <c r="B1068" i="2"/>
  <c r="B1069" i="2"/>
  <c r="B1070" i="2"/>
  <c r="B1071" i="2"/>
  <c r="B1072" i="2"/>
  <c r="B1073" i="2"/>
  <c r="B1074" i="2"/>
  <c r="B1075" i="2"/>
  <c r="B1077" i="2"/>
  <c r="B1078" i="2"/>
  <c r="B1079" i="2"/>
  <c r="B1080" i="2"/>
  <c r="B1081" i="2"/>
  <c r="B1082" i="2"/>
  <c r="B1083" i="2"/>
  <c r="B1084" i="2"/>
  <c r="B1085" i="2"/>
  <c r="A1086" i="2"/>
  <c r="B1086" i="2"/>
  <c r="A1087" i="2"/>
  <c r="B1087" i="2"/>
  <c r="A1088" i="2"/>
  <c r="B1088" i="2"/>
  <c r="A1089" i="2"/>
  <c r="B1089" i="2"/>
  <c r="A1090" i="2"/>
  <c r="B1090" i="2"/>
  <c r="A1092" i="2"/>
  <c r="B1092" i="2"/>
  <c r="B1095" i="2"/>
  <c r="B1096" i="2"/>
  <c r="B1097" i="2"/>
  <c r="B1099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B1113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30" i="2"/>
  <c r="B1130" i="2"/>
  <c r="B1131" i="2"/>
  <c r="A1135" i="2"/>
  <c r="B1135" i="2"/>
  <c r="A1137" i="2"/>
  <c r="B1137" i="2"/>
  <c r="A1138" i="2"/>
  <c r="B1138" i="2"/>
  <c r="A1140" i="2"/>
  <c r="B1140" i="2"/>
  <c r="A1142" i="2"/>
  <c r="B1142" i="2"/>
  <c r="A1144" i="2"/>
  <c r="B1144" i="2"/>
  <c r="A1148" i="2"/>
  <c r="B1148" i="2"/>
  <c r="A1152" i="2"/>
  <c r="B1152" i="2"/>
  <c r="A1156" i="2"/>
  <c r="B1156" i="2"/>
  <c r="A1160" i="2"/>
  <c r="B1160" i="2"/>
  <c r="A1163" i="2"/>
  <c r="B1163" i="2"/>
  <c r="A1166" i="2"/>
  <c r="B1166" i="2"/>
  <c r="A1169" i="2"/>
  <c r="B1169" i="2"/>
  <c r="A1170" i="2"/>
  <c r="B1170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6" i="2"/>
  <c r="B1196" i="2"/>
  <c r="A1199" i="2"/>
  <c r="B1199" i="2"/>
  <c r="A1202" i="2"/>
  <c r="B1202" i="2"/>
  <c r="A1206" i="2"/>
  <c r="B1206" i="2"/>
  <c r="A1210" i="2"/>
  <c r="B1210" i="2"/>
  <c r="A1214" i="2"/>
  <c r="B1214" i="2"/>
  <c r="A1218" i="2"/>
  <c r="B1218" i="2"/>
  <c r="A1221" i="2"/>
  <c r="B1221" i="2"/>
  <c r="A1224" i="2"/>
  <c r="B1224" i="2"/>
  <c r="A1225" i="2"/>
  <c r="B1225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5" i="2"/>
  <c r="B1245" i="2"/>
  <c r="A1246" i="2"/>
  <c r="B1246" i="2"/>
  <c r="A1250" i="2"/>
  <c r="B1250" i="2"/>
  <c r="A1254" i="2"/>
  <c r="B1254" i="2"/>
  <c r="A1258" i="2"/>
  <c r="B1258" i="2"/>
  <c r="A1262" i="2"/>
  <c r="B1262" i="2"/>
  <c r="A1266" i="2"/>
  <c r="B1266" i="2"/>
  <c r="A1270" i="2"/>
  <c r="B1270" i="2"/>
  <c r="A1274" i="2"/>
  <c r="B1274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9" i="2"/>
  <c r="B1289" i="2"/>
  <c r="A1290" i="2"/>
  <c r="B1290" i="2"/>
  <c r="A1292" i="2"/>
  <c r="B1292" i="2"/>
  <c r="A1293" i="2"/>
  <c r="B1293" i="2"/>
  <c r="A1294" i="2"/>
  <c r="B1294" i="2"/>
  <c r="A1295" i="2"/>
  <c r="B1295" i="2"/>
  <c r="A1296" i="2"/>
  <c r="B1296" i="2"/>
  <c r="A1299" i="2"/>
  <c r="B1299" i="2"/>
  <c r="A1300" i="2"/>
  <c r="B1300" i="2"/>
  <c r="A1301" i="2"/>
  <c r="B1301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53" i="2"/>
  <c r="B1353" i="2"/>
  <c r="A1365" i="2"/>
  <c r="B1365" i="2"/>
  <c r="A1366" i="2"/>
  <c r="B1366" i="2"/>
  <c r="A1368" i="2"/>
  <c r="B1368" i="2"/>
  <c r="A1370" i="2"/>
  <c r="B1370" i="2"/>
  <c r="A1371" i="2"/>
  <c r="B1371" i="2"/>
  <c r="A1372" i="2"/>
  <c r="B1372" i="2"/>
  <c r="A1373" i="2"/>
  <c r="B1373" i="2"/>
  <c r="A1375" i="2"/>
  <c r="B1375" i="2"/>
  <c r="A1376" i="2"/>
  <c r="B1376" i="2"/>
  <c r="A1377" i="2"/>
  <c r="B1377" i="2"/>
  <c r="A1378" i="2"/>
  <c r="B1378" i="2"/>
  <c r="A1381" i="2"/>
  <c r="B1381" i="2"/>
  <c r="A1382" i="2"/>
  <c r="B1382" i="2"/>
  <c r="A1383" i="2"/>
  <c r="B1383" i="2"/>
  <c r="A1390" i="2"/>
  <c r="B1390" i="2"/>
  <c r="A1391" i="2"/>
  <c r="B1391" i="2"/>
  <c r="A1393" i="2"/>
  <c r="B1393" i="2"/>
  <c r="A1397" i="2"/>
  <c r="B1397" i="2"/>
  <c r="A1398" i="2"/>
  <c r="B1398" i="2"/>
  <c r="A1407" i="2"/>
  <c r="B1407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B1424" i="2"/>
  <c r="B1428" i="2"/>
  <c r="B1432" i="2"/>
  <c r="B1436" i="2"/>
  <c r="B1438" i="2"/>
  <c r="B1442" i="2"/>
  <c r="B1447" i="2"/>
  <c r="B1451" i="2"/>
  <c r="B1455" i="2"/>
  <c r="B1459" i="2"/>
  <c r="B1462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B1474" i="2"/>
  <c r="A1476" i="2"/>
  <c r="B1476" i="2"/>
  <c r="A1477" i="2"/>
  <c r="B1477" i="2"/>
  <c r="A1478" i="2"/>
  <c r="B1478" i="2"/>
  <c r="A1479" i="2"/>
  <c r="B1479" i="2"/>
  <c r="A1480" i="2"/>
  <c r="B1480" i="2"/>
  <c r="B1481" i="2"/>
  <c r="B1486" i="2"/>
  <c r="A1487" i="2"/>
  <c r="B1487" i="2"/>
  <c r="A1488" i="2"/>
  <c r="B1488" i="2"/>
  <c r="A1489" i="2"/>
  <c r="B1489" i="2"/>
  <c r="A1490" i="2"/>
  <c r="B1490" i="2"/>
  <c r="B1491" i="2"/>
  <c r="B1492" i="2"/>
  <c r="B1493" i="2"/>
  <c r="A1494" i="2"/>
  <c r="B1494" i="2"/>
  <c r="B1495" i="2"/>
  <c r="B1496" i="2"/>
  <c r="A1497" i="2"/>
  <c r="B1497" i="2"/>
  <c r="A1498" i="2"/>
  <c r="B1498" i="2"/>
  <c r="A1499" i="2"/>
  <c r="B1499" i="2"/>
  <c r="A1500" i="2"/>
  <c r="B1500" i="2"/>
  <c r="A1501" i="2"/>
  <c r="B1501" i="2"/>
  <c r="A1503" i="2"/>
  <c r="B1503" i="2"/>
  <c r="A1505" i="2"/>
  <c r="B1505" i="2"/>
</calcChain>
</file>

<file path=xl/sharedStrings.xml><?xml version="1.0" encoding="utf-8"?>
<sst xmlns="http://schemas.openxmlformats.org/spreadsheetml/2006/main" count="7018" uniqueCount="1682">
  <si>
    <t>PDK-7206 : Pmic_powerSetPwrResourceCfg : Test LDO residual voltage check timeout select for 3MS.</t>
  </si>
  <si>
    <t>PDK-6573 : UART_Baremetal_DMA_TestApp</t>
  </si>
  <si>
    <t>OSPI Test Case Requirements</t>
  </si>
  <si>
    <t>PDK-7799 : Pmic_esmGetErrCnt: Parameter validation for pEsmErrCnt</t>
  </si>
  <si>
    <t>UART Driver Support</t>
  </si>
  <si>
    <t>PROCESSOR_SDK_07.01.00,PROCESSOR_SDK_07.00.00,PDK_J7_01.00.00_RTM,PROCESSOR_SDK_07.03.00,PDK_J7_00.09.01,PDK_J7_06.02.00,PROCESSOR_SDK_08.00.00</t>
  </si>
  <si>
    <t>PDK-7705 : Pmic_fsmDeviceOffRequestCfg :  Parameter validation for fsmState</t>
  </si>
  <si>
    <t>PMIC: Driver shall read PMIC registers to decipher a Warning</t>
  </si>
  <si>
    <t>PDK-4310 : VHWA NF 1280x720 12b packed to 12p packed YUV odd pixel skip</t>
  </si>
  <si>
    <t>UDMA: Block Copy Example</t>
  </si>
  <si>
    <t>CRC: General Requirements for CSL_FL for CRC Module</t>
  </si>
  <si>
    <t>PDK-7143 : Pmic_powerSetPwrResourceCfg : Test Select output voltage register for buck as VOUT1.</t>
  </si>
  <si>
    <t>PMIC: Driver shall configure PMIC GPIO pin functionality</t>
  </si>
  <si>
    <t>PDK-6447 : UART Unit Test: non-DMA read write test in block mode</t>
  </si>
  <si>
    <t>Safety Example: MCU R5F - Error Signaling Module (ESM)</t>
  </si>
  <si>
    <t>OSPI: Support DAC polling mode</t>
  </si>
  <si>
    <t>PDK-7357 : Pmic_wdgStartTriggerSequence : Parameter validation for handle</t>
  </si>
  <si>
    <t>PDK-4656 : [UDMA] Deinit RM check</t>
  </si>
  <si>
    <t>SBL: MCU0 Boot Support R5 in lcokstep Mode</t>
  </si>
  <si>
    <t>DSS ARGB32-8888 Format Support</t>
  </si>
  <si>
    <t>ESM: SW shall provide an API to allow read/write access to the Raw Status/Set Register</t>
  </si>
  <si>
    <t>PDK-7622 : IPC LLD performance test</t>
  </si>
  <si>
    <t>SCICLIENT:Security: Expose Security SCI Message core structures.</t>
  </si>
  <si>
    <t>FlexConnect: Memory -&gt; VISS -&gt; MSC -&gt; Memory (YUV420)</t>
  </si>
  <si>
    <t>PDK-6209 : Pmic_gpioSetConfiguration : configure gpio pin 9 as Power Good Indication line function</t>
  </si>
  <si>
    <t>I2C LLD: High speed mode tests</t>
  </si>
  <si>
    <t>PDK-8323 : Pmic_setScratchPadValue : Test Set/Get Scratchpad value.</t>
  </si>
  <si>
    <t>PDK-7878 : Pmic_powerGetPwrResourceCfg : Negative test Get Switch peak current limit for BUCK 5</t>
  </si>
  <si>
    <t>PDK-3301 : IPC echo-test - C66x (Bios) to C7x (Bios)</t>
  </si>
  <si>
    <t>JACINTOREQ-530,JACINTOREQ-69,PROC_SOC-54,JACINTOREQ-417</t>
  </si>
  <si>
    <t>PDK-6220 : Pmic_gpioGetConfiguration : Parameter validation for handle</t>
  </si>
  <si>
    <t>PDK-3541 : DSS Display RTOS Multiple Displays test</t>
  </si>
  <si>
    <t>PMIC: Driver shall support multiple applications and protect for pre-emption</t>
  </si>
  <si>
    <t>UDMA SW Trigger Example</t>
  </si>
  <si>
    <t>RTOS: GPIO LLD requirements: interrupt mode</t>
  </si>
  <si>
    <t>XIP Flashing Flow update</t>
  </si>
  <si>
    <t>PDK-7253 : Pmic_powerSetConfigPowerGood : Test pgoodSelType as voltage</t>
  </si>
  <si>
    <t>PDK-6589 : csl_ecc_test_app</t>
  </si>
  <si>
    <t>PDK-6101 : Pmic_rtcSetAlarmIntr : Parameter range validation for year</t>
  </si>
  <si>
    <t>PDK-7359 : Pmic_fsmDeviceOffRequestCfg / Pmic_fsmEnableI2cTrigger : RTC Wakeup using Alarm Interrupt</t>
  </si>
  <si>
    <t>PDK-7283 : Pmic_powerSetIntr: Test Disable NRSTOUT_READBACK interrupt</t>
  </si>
  <si>
    <t>DSS RGB 24 bit Discrete Sync DPI Output</t>
  </si>
  <si>
    <t>PDK-3473 : Main_NAVSS/BCDMA Blockcpy DDR to DDR in interrupt mode</t>
  </si>
  <si>
    <t>PDK-6204 : Pmic_gpioSetConfiguration : configure gpio pin 10 as SYNCLKIN function</t>
  </si>
  <si>
    <t>PDK-7202 : Pmic_powerSetPwrResourceCfg : Test LDO residual voltage check timeout select for 1MS.</t>
  </si>
  <si>
    <t>PDK-3476 : Main_NAVSS/BCDMA Blockcpy DDR to DDR SW global 0 trigger test in polling mode</t>
  </si>
  <si>
    <t>PDK-6586 : MMCSD_EMMC_TestApp</t>
  </si>
  <si>
    <t>Version</t>
  </si>
  <si>
    <t xml:space="preserve">PDK-5020 : Baremetal OSAL Unit Test: delay test </t>
  </si>
  <si>
    <t>PDK-7271 : Pmic_powerSetPwrRsrcIntr: Test Enable OV interrupt</t>
  </si>
  <si>
    <t>PDK-6171 : Pmic_rtcSetTimeDateInfo : Parameter range validation for day</t>
  </si>
  <si>
    <t>PDK-7145 : Pmic_powerSetPwrResourceCfg : Parameter validation for Power Resource for buckVoutSel.</t>
  </si>
  <si>
    <t>PDK-3892 : McASP Device Loopback Test - MCU R5F</t>
  </si>
  <si>
    <t>PDK-3257 : Main NAVSS UDMA RTOS chaining Example on mpu1_0</t>
  </si>
  <si>
    <t>PDK-6099 : Pmic_rtcSetAlarmIntr : Negative test for month  = 0</t>
  </si>
  <si>
    <t>PDK-3507 : Proxy queue and dequeue test case</t>
  </si>
  <si>
    <t>PDK-7693 : Pmic_fsmSetNsleepSignalMask : Test Mask Nsleep1.</t>
  </si>
  <si>
    <t>TC Details</t>
  </si>
  <si>
    <t>PDK-7950 : Pmic_gpioSetIntr: Test to verify GPIO7 fall Asynchronous interrupt</t>
  </si>
  <si>
    <t>PDK-7240 : Pmic_powerSetCommonConfig: Test mcuRailTrig as oderly shutdown</t>
  </si>
  <si>
    <t>PDK-7164 : Pmic_powerSetPwrResourceCfg : Test Output voltage slew rate for BUCK &amp; VMON for 10MV.</t>
  </si>
  <si>
    <t>VHWA: VISS AEWB output</t>
  </si>
  <si>
    <t>CSL-FL: C66x ARCH Support</t>
  </si>
  <si>
    <t>PDK-7158 : Pmic_powerSetPwrResourceCfg : Test Switch peak current limit for BUCK regulator for 3.5Amp.</t>
  </si>
  <si>
    <t>SA2UL: MD5 Support</t>
  </si>
  <si>
    <t>Common: Klocwork Static Analysis</t>
  </si>
  <si>
    <t>PDK-6109 : Pmic_rtcGetAlarmIntr : Test Get RTC Alarm interrupt API</t>
  </si>
  <si>
    <t>Support Windows Package for Core SDK</t>
  </si>
  <si>
    <t>PMIC: Customer deliverables integrated in Processor SDK RTOS</t>
  </si>
  <si>
    <t>DSS BGRA32-8888 Format Support</t>
  </si>
  <si>
    <t>PDK-3232 : SCI:Testing Interrupt based implementations</t>
  </si>
  <si>
    <t>CSI2TX: D-PHY Configuration API</t>
  </si>
  <si>
    <t>DSS driver TI RTOS Support</t>
  </si>
  <si>
    <t>R5 Lockstep Comparator Diagnostics</t>
  </si>
  <si>
    <t>PDK-6267 : Pmic_rtcEnableAlarmIntr : Test rtc alarm interrupt</t>
  </si>
  <si>
    <t>DSS Frame Freeze Detect Support in Video Pipe</t>
  </si>
  <si>
    <t>PDK-6211 : Pmic_gpioSetConfiguration : Parameter validation for pin</t>
  </si>
  <si>
    <t>CSI2TX: Up to 4 lanes Support</t>
  </si>
  <si>
    <t>PDK-7840 : Pmic_esmSetInterrupt: Test to verify ESM MCU Level Mode PIN Interrupt</t>
  </si>
  <si>
    <t>MMCSD: Support for eMMC: HS mode</t>
  </si>
  <si>
    <t>MMCSD: Support for baremetal mode of operation</t>
  </si>
  <si>
    <t>PDK-6889 : ESM Example Test</t>
  </si>
  <si>
    <t>IPC between Main R5F (BIOS) to C7x (BIOS)</t>
  </si>
  <si>
    <t>VHWA: DOF performance MUST be 150MP/s under system load</t>
  </si>
  <si>
    <t>PDK-6237 : Pmic_gpioSetIntr-GPIO2 Rise Interrupt Test</t>
  </si>
  <si>
    <t>Board_Diag: PMIC diagnostic test</t>
  </si>
  <si>
    <t>PDK-6253 : Pmic_gpioSetIntr-GPIO10 Rise Interrupt Test</t>
  </si>
  <si>
    <t>Release</t>
  </si>
  <si>
    <t>PDK-3544 : DSS Display RTOS run time scaling test</t>
  </si>
  <si>
    <t>PDK-4217 : Current Monitor diagnostic test</t>
  </si>
  <si>
    <t>PDK-7774 : Pmic_esmEnable: Parameter validation for handle</t>
  </si>
  <si>
    <t>SA2UL Shall be supported</t>
  </si>
  <si>
    <t>PDK-3747 : mcu navss mcrc semi cpu 1080P framesize</t>
  </si>
  <si>
    <t>PDK-7667 : IPC echo-test - MCU R5F (baremetal) to Cores running (BIOS)</t>
  </si>
  <si>
    <t>DSS DCTRLDRV: Set Advance Video Port Config IOCTL Support</t>
  </si>
  <si>
    <t>PDK-6449 : UART Unit Test: UART non-DMA/DMA Blocking/Polling transmit profiling</t>
  </si>
  <si>
    <t>PDK-4710 : VHWA DOF performance test</t>
  </si>
  <si>
    <t>JACINTOREQ-441,CATREQ-546,PROC_SOC-58</t>
  </si>
  <si>
    <t>JACINTOREQ-69,JACINTOREQ-417</t>
  </si>
  <si>
    <t>PDK-7244 : Pmic_powerSetCommonConfig: Test moderateRailTrig as oderly shutdown</t>
  </si>
  <si>
    <t>Board_Diag: HDMI Display Diagnostic Functional Test</t>
  </si>
  <si>
    <t>PDK-6514 : MCU R5 ECC Aggregator Test</t>
  </si>
  <si>
    <t>PDK-3911 : OSPI_Flash_Dma_TestApp</t>
  </si>
  <si>
    <t>DSS DISPDRV: Stop Display API Support</t>
  </si>
  <si>
    <t>PROCESSOR_SDK_07.01.00,PROCESSOR_SDK_07.03.00,PROCESSOR-CORESDK-SAFETY_07.01.00,PROCESSOR_SDK_08.00.00</t>
  </si>
  <si>
    <t>PDK-6577 : UART_SMP_TestApp</t>
  </si>
  <si>
    <t>VHWA: NF Driver Chroma only mode</t>
  </si>
  <si>
    <t>PDK-3474 : MCU NAVSS Blockcpy DDR to DDR in polling mode</t>
  </si>
  <si>
    <t>PDK-6176 : Pmic_rtcGetTimeDateInfo : Test RTC Get Time</t>
  </si>
  <si>
    <t>PDK-7728 : Pmic_powerGetPwrThermalStat : Test Get Thermal Warn Status.</t>
  </si>
  <si>
    <t>PDK-7296 : Pmic_powerSetIntr: Parameter validation for handle</t>
  </si>
  <si>
    <t>DSS FVID2 Writeback M2M Driver</t>
  </si>
  <si>
    <t>PDK-6201 : Pmic_gpioSetConfiguration : configure gpio pin 6 as SPMI SDATA function</t>
  </si>
  <si>
    <t>PDK-6455 : UART Unit Test: non-DMA RX error test, enter a break</t>
  </si>
  <si>
    <t>SCICLIENT: Userguide</t>
  </si>
  <si>
    <t>FAT Filesystem Support</t>
  </si>
  <si>
    <t>GPMC/OSPI Driver Testing with FreeRTOS on R5F</t>
  </si>
  <si>
    <t>PROCESSOR_SDK_07.03.00,PROCESSOR_SDK_08.00.00</t>
  </si>
  <si>
    <t>PDK-3482 : MCU_NAVSS/BCDMA Blockcpy circular 1KB DDR to DDR 1MB ICNT3 TR event type test</t>
  </si>
  <si>
    <t>PDK-6228 : Pmic_gpioSetValue : Parameter validation for handle</t>
  </si>
  <si>
    <t>PROCESSOR_SDK_07.01.00,PROCESSOR_SDK_07.00.00,PDK_J7_00.03.00_EA3,PDK_J7_00.05.00_EA5,PDK_J7_00.08.00_EA8,PDK_J7_00.09.00_Bringup,PDK_J7_01.00.00_RTM,PROCESSOR_SDK_07.03.00,PDK_J7_06.02.00,PROCESSOR_SDK_AM64x_01.00.00,PROCESSOR_SDK_08.00.00</t>
  </si>
  <si>
    <t>FVID2 CSI2-TX FVID2 Driver Support</t>
  </si>
  <si>
    <t>VTM-T1: Software test of basic functionality including error tests</t>
  </si>
  <si>
    <t>DSS Common1 Register Bank Support</t>
  </si>
  <si>
    <t>UDMA: DMA Completion Event Support</t>
  </si>
  <si>
    <t>PDK-3926 : LDC for 1MP 12bit packed Luma only input and 12bit packed Luma only output</t>
  </si>
  <si>
    <t>Overall Status</t>
  </si>
  <si>
    <t>PDK-3561 : MMC SD raw access test app using rtos</t>
  </si>
  <si>
    <t>IPC between A72 (Linux) to C66x (BIOS) with remote CPU loaded via Uboot/SPL</t>
  </si>
  <si>
    <t>DSS DCTRLDRV: FVID2 Interface Support</t>
  </si>
  <si>
    <t>PMIC: Driver shall configure for current monitor and short circuit protection</t>
  </si>
  <si>
    <t>PDK-7282 : Pmic_powerSetIntr: Test Enable NRSTOUT_READBACK interrupt</t>
  </si>
  <si>
    <t>Board_Diag: Boot Mode Switch Diagnostic Functional Test</t>
  </si>
  <si>
    <t>PDK-7264 : Pmic_powerGetPwrRsrcStat : Test get overVoltageProtectionLvlStat</t>
  </si>
  <si>
    <t>PDK-8232 : test_pmic_appInit_appDeInit :Stress test for pmic init/deinit with gpio cfg with single i2c</t>
  </si>
  <si>
    <t>K3 IP FMA TIM3: CSL-FL: Timer API support for software readback of written configuratoins</t>
  </si>
  <si>
    <t>PDK-4102 : Main NAVSS 2D HC Blockcpy DDR 1MB to MSMC circular 1KB performance test</t>
  </si>
  <si>
    <t>JACINTOREQ-441,CATREQ-2864,PROC_SOC-58</t>
  </si>
  <si>
    <t xml:space="preserve">PDK-5025 : OSAL Unit Test: Cache test </t>
  </si>
  <si>
    <t>PDK-7783 : Pmic_esmSetConfiguration: Parameter validation for handle</t>
  </si>
  <si>
    <t>PDK-4288 : PM: Clock Rate Test</t>
  </si>
  <si>
    <t>DSS Overlay 2 Support</t>
  </si>
  <si>
    <t>PDK-4923 : Requirements verified by PSDKRA or other component testcases</t>
  </si>
  <si>
    <t>PROCESSOR_SDK_07.01.00,PROCESSOR_SDK_07.00.00,PROCESSOR_SDK_07.03.00,PROCESSOR_SDK_AM64x_00.02.00,PROCESSOR_SDK_AM64x_00.03.00,PROCESSOR_SDK_AM64x_00.05.00,PROCESSOR_SDK_AM64x_00.06.00,PROCESSOR_SDK_AM64x_00.08.00,PROCESSOR_SDK_AM64x_00.09.00,PROCESSOR_SDK_AM64x_01.00.00,PROCESSOR_SDK_AM64x_00.01.01,PROCESSOR_SDK_08.00.00</t>
  </si>
  <si>
    <t>IPC between A72 (Linux) to C7x (BIOS) with remote CPU loaded via Uboot/SPL</t>
  </si>
  <si>
    <t>PDK-6163 : Pmic_rtcSetTimeDateInfo : Parameter validation for minutes</t>
  </si>
  <si>
    <t>CSI2RX: CSI2 v2.0 Protocol Partial Support</t>
  </si>
  <si>
    <t>UDMA: Simplify udma_rmcfg data definition</t>
  </si>
  <si>
    <t>PDK-7696 : Pmic_fsmSetNsleepSignalMask : Test Unmask Nsleep2.</t>
  </si>
  <si>
    <t>MMCSD: Support for SD: DS mode</t>
  </si>
  <si>
    <t>7/14/2021</t>
  </si>
  <si>
    <t>PDK-7265 : Pmic_powerGetPwrRsrcStat : Parameter validation for handle</t>
  </si>
  <si>
    <t>PMIC: Driver shall read PMIC registers to decipher a Moderate Error</t>
  </si>
  <si>
    <t>PDK-7294 : Pmic_powerSetIntr: Test Enable EN_DRV_READBACK interrupt</t>
  </si>
  <si>
    <t>UDMA : Option to not register ISR for interrupts</t>
  </si>
  <si>
    <t>DSS DISPDRV: Dequeue API Support</t>
  </si>
  <si>
    <t>PDK-4341 : FPD-link library diagnostic test verification</t>
  </si>
  <si>
    <t>SA2UL: 3DES core Support</t>
  </si>
  <si>
    <t>CATREQ-1846,PROC_SOC-58,PROC_SOC-161,JACINTOREQ-457</t>
  </si>
  <si>
    <t>SCICLIENT: Abstract SCI Protocol</t>
  </si>
  <si>
    <t>DSS DCTRLDRV: Set Path IOCTL Support</t>
  </si>
  <si>
    <t>VHWA: SDE Min/Max Frame size</t>
  </si>
  <si>
    <t>VHWA: LDC YUV420 8b packed to YUV420 8b packed Storage Format</t>
  </si>
  <si>
    <t>PDK-7227 : Pmic_powerSetCommonConfig: Test severeErrorTrig as Immediate shutdown</t>
  </si>
  <si>
    <t>PDK-4254 : ESM csl example</t>
  </si>
  <si>
    <t>VHWA: LDC For YUV420 format</t>
  </si>
  <si>
    <t>MMCSD: Support for eMMC: 1,4,8 bit modes</t>
  </si>
  <si>
    <t xml:space="preserve">PDK-6230 : Pmic_gpioSetValue : Parameter validation for pinValue </t>
  </si>
  <si>
    <t>CORESDK-8-SW Pre-release #1</t>
  </si>
  <si>
    <t>SBL: Build time enable/disable of features</t>
  </si>
  <si>
    <t>SPI LLD: support interrupt mode</t>
  </si>
  <si>
    <t>PDK-7888 : Pmic_rtcEnableTimerIntr	: RTC timer Asynchronous Interrupt</t>
  </si>
  <si>
    <t>PDK-7346 : Pmic_wdgStartQaSequence : Test wdg QA sequences</t>
  </si>
  <si>
    <t>PDK-7209 : Pmic_powerSetPwrResourceCfg : Test LDO residual voltage check timeout select for 6MS.</t>
  </si>
  <si>
    <t>PDK-7238 : Pmic_powerSetCommonConfig: Test socRailTrig as soc power error</t>
  </si>
  <si>
    <t>PDK-7789 : Pmic_esmSetConfiguration: Parameter validation for esmLMAX</t>
  </si>
  <si>
    <t>PDK-6630 : MCU R5 VIM Test</t>
  </si>
  <si>
    <t>PDK-4194 : Clock generator diagnostic test</t>
  </si>
  <si>
    <t>CSI2RX: Stream Configuration API</t>
  </si>
  <si>
    <t>VHWA: VISS Histogram output</t>
  </si>
  <si>
    <t>PDK-6164 : Pmic_rtcSetTimeDateInfo : Parameter validation for timeMode.</t>
  </si>
  <si>
    <t>UDMA: Shared Event Registration</t>
  </si>
  <si>
    <t>OSAL: Need Get Timestamp API</t>
  </si>
  <si>
    <t>PDK-3965 : Channel pause and resume test case</t>
  </si>
  <si>
    <t>PDK-3312 : DSS Display RTOS YUV420SP buffer test on mcu2_0</t>
  </si>
  <si>
    <t>PDK-3494 : Main_NAVSS/BCDMA Blockcpy DDR 1MB to DDR 1MB from multiple tasks</t>
  </si>
  <si>
    <t>VHWA: DOF Histogram output</t>
  </si>
  <si>
    <t>JACINTOREQ-464,PROC_SOC-58,CATREQ-809</t>
  </si>
  <si>
    <t>PDK-7704 : Pmic_fsmSetNsleepSignalMask : Parameter range validation for handle.</t>
  </si>
  <si>
    <t>CCM: API To Clear PULSAR CCM compare error status</t>
  </si>
  <si>
    <t>PROCESSOR_SDK_07.01.00,PROCESSOR_SDK_07.00.00,PROCESSOR_SDK_07.03.00,PROCESSOR_SDK_TPR12_00.02.00,PROCESSOR_SDK_TPR12_00.05.00,PROCESSOR_SDK_TPR12_00.08.00,PROCESSOR_SDK_TPR12_00.08.01,PROCESSOR_SDK_TPR12_00.09.00,PROCESSOR_SDK_TPR12_01.00.00,PROCESSOR_SDK_08.00.00,PROCESSOR_SDK_TPR12_00.08.05</t>
  </si>
  <si>
    <t>PDK-7838 : Pmic_esmSetInterrupt: Test to verify ESM MCU Level Mode FAIL Interrupt</t>
  </si>
  <si>
    <t>VHWA: MSC 8b packed to 8b packed Storage Format</t>
  </si>
  <si>
    <t>PDK-3707 : Flow ID Out of Range Exception Event test case</t>
  </si>
  <si>
    <t>PDK-7837 : Pmic_esmSetInterrupt: Test to verify ESM MCU PWM Mode RST Interrupt</t>
  </si>
  <si>
    <t xml:space="preserve">PDK-5023 : Baremetal OSAL Unit Test: Semaphore test </t>
  </si>
  <si>
    <t>PDK-4211 : Board ID EEPROM diagnostic test</t>
  </si>
  <si>
    <t>PDK-6165 : Pmic_rtcSetTimeDateInfo : Parameter validation for meridienMode</t>
  </si>
  <si>
    <t>DSS Background color programming</t>
  </si>
  <si>
    <t>UDMA: Deinit API</t>
  </si>
  <si>
    <t>PDK-3248 : MCU NAVSS UDMA block copy on mcu1_0</t>
  </si>
  <si>
    <t>PDK-7146 : Pmic_powerSetPwrResourceCfg : Test Select Auto Mode for BUCK</t>
  </si>
  <si>
    <t xml:space="preserve">PDK-6227 : Pmic_gpioSetValue : Set GPIO signal level </t>
  </si>
  <si>
    <t>I2C Driver migration to FreeRTOS on R5F</t>
  </si>
  <si>
    <t>UDMA: Trace API</t>
  </si>
  <si>
    <t>CSI2TX: FVID2 Driver shall have sample application</t>
  </si>
  <si>
    <t>CSL-FL: RAT Support</t>
  </si>
  <si>
    <t>UDMA Driver Support</t>
  </si>
  <si>
    <t>PDK-7730 : Pmic_powerGetPwrThermalStat: Test Get immediate Shutdown Status.</t>
  </si>
  <si>
    <t>PDK-7698 : Pmic_fsmSetMissionState : Test Set State to Active.</t>
  </si>
  <si>
    <t>PROCESSOR_SDK_07.01.00,PROCESSOR_SDK_07.00.00,PROCESSOR_SDK_07.03.00,PROCESSOR_SDK_08.00.00</t>
  </si>
  <si>
    <t>PDK-3898 : VHWA DOF 1312x736 12b packed</t>
  </si>
  <si>
    <t>PDK-7154 : Pmic_powerSetPwrResourceCfg : Parameter validation for Power Resource for regulatorEn.</t>
  </si>
  <si>
    <t>PDK-7779 : Pmic_esmSetConfiguration: Test to configure ESM MCU in Level Mode</t>
  </si>
  <si>
    <t>PDK-4116 : RTC diagnostic test</t>
  </si>
  <si>
    <t>PDK-7289 : Pmic_powerSetIntr: Test Disable ORD_SHUTDOWN interrupt</t>
  </si>
  <si>
    <t>Board_Diag: I2C Board ID EEPROM Diagnostic Functional Test</t>
  </si>
  <si>
    <t>CSI2RX: Up to 4 lanes Support</t>
  </si>
  <si>
    <t>PDK-4302 : VHWA SDE 2048x1024 12b packed</t>
  </si>
  <si>
    <t>PDK-7734 : SBL boots Linux on J721E - MMCSD boot</t>
  </si>
  <si>
    <t>PDK-8237 : test_pmic_appInit_appDeInit :Stress test for pmic init/deinit with gpio cfg dual i2c</t>
  </si>
  <si>
    <t>Board_Diag: Test Automation Header Diagnostic Functional Test</t>
  </si>
  <si>
    <t>CSI2RX: FVID2 Delete API</t>
  </si>
  <si>
    <t>PDK-6628 : Software Diagnosics Reference Framework Test</t>
  </si>
  <si>
    <t>SBL: Slave boot API as library callable from RTOS application</t>
  </si>
  <si>
    <t>PDK-6511 : MCU R5 CCM Test</t>
  </si>
  <si>
    <t>PDK-4106 : MCU NAVSS HC Blockcpy DDR 1MB to DDR 1MB performance test</t>
  </si>
  <si>
    <t>PDK-7237 : Pmic_powerSetCommonConfig: Test socRailTrig as mcu power error</t>
  </si>
  <si>
    <t>CSL-FL: UDMA IA Support</t>
  </si>
  <si>
    <t>DSS DCTRLDRV: Clear Path IOCTL Support</t>
  </si>
  <si>
    <t>Mailbox Interrupt Mode - Main R5F</t>
  </si>
  <si>
    <t>VHWA: Completion Callback</t>
  </si>
  <si>
    <t>DSS DCTRLDRV: Set Video Port Config IOCTL Support</t>
  </si>
  <si>
    <t>PDK-7248 : Pmic_powerSetCommonConfig: Parameter validation for otherRailTrig</t>
  </si>
  <si>
    <t>PDK-3523 : VHWA MSC Instance 1 YUV420 12b packed 10 output</t>
  </si>
  <si>
    <t>UDMA: Error-Handling</t>
  </si>
  <si>
    <t>PDK-6287 : Pmic_rtcGetFreqComp : Parameter validation for compensation</t>
  </si>
  <si>
    <t>PDK-7262 : Pmic_powerGetPwrRsrcStat : Test get underVoltageTholdStat</t>
  </si>
  <si>
    <t>PDK-7166 : Pmic_powerSetPwrResourceCfg : Test Output voltage slew rate for BUCK &amp; VMON for 2.5MV.</t>
  </si>
  <si>
    <t>Common: Release Notes</t>
  </si>
  <si>
    <t>PDK-3522 : VHWA MSC Instance 0 Chroma 12b packed 10 output</t>
  </si>
  <si>
    <t>PDK-3249 : Main NAVSS UDMA baremetal block copy on mpu1_0</t>
  </si>
  <si>
    <t>PDK-4255 : CRC csl example</t>
  </si>
  <si>
    <t>VIM-ECC: SW shall provide an API to force an ECC error in VIM RAMs</t>
  </si>
  <si>
    <t>OSPI: Support programmable chip select lines/decode</t>
  </si>
  <si>
    <t>PROCESSOR_SDK_07.01.00,PROCESSOR_SDK_07.00.00,PDK_J7_00.05.00_EA5,PDK_J7_00.08.00_EA8,PDK_J7_00.09.00_Bringup,PDK_J7_01.00.00_RTM,PROCESSOR_SDK_07.03.00,PDK_J7_06.02.00,PROCESSOR_SDK_08.00.00</t>
  </si>
  <si>
    <t>PDK-3927 : LDC for 1MP 12bit packed Chroma only input and 12bit packed Chroma only output</t>
  </si>
  <si>
    <t>PDK-6290 : Pmic_rtcSetTimeDateInfo : Negative test for day  = 0</t>
  </si>
  <si>
    <t>UDMA: Channel Close API</t>
  </si>
  <si>
    <t>PDK-6583 : MMCSD_Baremetal_Regression_TestApp</t>
  </si>
  <si>
    <t>CCM-TEST: Provide sample PULSAR CCM error interrupt handler</t>
  </si>
  <si>
    <t>CSI2RX: FVID2 Init API</t>
  </si>
  <si>
    <t>PROC_SOC-317,PROC_SOC-324</t>
  </si>
  <si>
    <t>PDK-6216 : Pmic_gpioSetConfiguration : Gpio pin configuration validation for pinFunc</t>
  </si>
  <si>
    <t>PDK-3512 : Ring Utils Mem Size test</t>
  </si>
  <si>
    <t>PDK-3297 : IPC echo-test - Main R5F (Bios) to C66x (Bios)</t>
  </si>
  <si>
    <t>PDK-6581 : MMCSD_Baremetal_EMMC_DMA_TestApp</t>
  </si>
  <si>
    <t>PDK-7163 : Pmic_powerSetPwrResourceCfg : Test Output voltage slew rate for BUCK &amp; VMON for 20MV.</t>
  </si>
  <si>
    <t>PDK-7341 : Pmic_wdgGetCfg : Parameter validation for handle</t>
  </si>
  <si>
    <t>PDK-3736 : mcu navss mcrc semi cpu small framesize</t>
  </si>
  <si>
    <t>PDK-4134 : OSPI flash diagnostic test</t>
  </si>
  <si>
    <t xml:space="preserve">PDK-5021 : Baremetal OSAL Unit Test: HWI test </t>
  </si>
  <si>
    <t>PDK-4693 : Ring prime queue and set doorbell test case</t>
  </si>
  <si>
    <t>PDK-7167 : Pmic_powerSetPwrResourceCfg : Test Output voltage slew rate for BUCK &amp; VMON for 1.3MV.</t>
  </si>
  <si>
    <t>CSL-FL: ESM Support</t>
  </si>
  <si>
    <t>PDK-6584 : MMCSD_EMMC_DMA_TestApp</t>
  </si>
  <si>
    <t>Implement check for DSS Flip with RGB24 or BGR24</t>
  </si>
  <si>
    <t>CATREQ-1846,PROC_SOC-58,JACINTOREQ-459</t>
  </si>
  <si>
    <t>PDK-7628 : Pmic_SetRecoveryCntCfg: Test Set Recovery Counter Threshold.</t>
  </si>
  <si>
    <t>VHWA: DOF Configuration</t>
  </si>
  <si>
    <t>Board_Diag: Clock generator Diagnostic Functional Test</t>
  </si>
  <si>
    <t>PDK-6719 : SA2UL  3DES core Support</t>
  </si>
  <si>
    <t>PDK-7135 : Pmic_powerSetPwrResourceCfg : Test Disable buck pull down checking for Buck regulator</t>
  </si>
  <si>
    <t>PDK-2903 : SCI:Testing Polling based implementations</t>
  </si>
  <si>
    <t>PDK-3330 : UDMA Testcases verified by TIDL testcases</t>
  </si>
  <si>
    <t>PDK-7905 : Pmic_gpioTps6594xNPwronPinGetValue : Parameter validation for handle</t>
  </si>
  <si>
    <t>PDK-3495 : MCU NAVSS Blockcpy DDR 1MB to DDR 1MB from multiple tasks</t>
  </si>
  <si>
    <t>DSS Window Positioning Support</t>
  </si>
  <si>
    <t>PDK-3477 : Main_NAVSS/BCDMA Blockcpy DDR to DDR SW global 0 trigger test in interrupt mode</t>
  </si>
  <si>
    <t>PDK-4154 : Flow Alloc and Free Negative Testcase</t>
  </si>
  <si>
    <t>UDMA: MCU NAVSS Instance Support</t>
  </si>
  <si>
    <t>PDK-7836 : Pmic_esmSetInterrupt: Test to verify ESM MCU Level Mode RST Interrupt</t>
  </si>
  <si>
    <t>PDK-6195 : Pmic_gpioSetConfiguration : configure gpio pin 1 as SPI CS function</t>
  </si>
  <si>
    <t>PDK-3513 : PSIL and PDMA macro verification test case</t>
  </si>
  <si>
    <t>VHWA: NF performance MUST be 600MP/s under system load</t>
  </si>
  <si>
    <t>VHWA: MSC configuration</t>
  </si>
  <si>
    <t>PDK-4109 : MCU NAVSS 2D HC Blockcpy MSMC circular 1KB to MSMC circular 1KB performance test</t>
  </si>
  <si>
    <t>PDK-7230 : Pmic_powerSetCommonConfig: Test severeErrorTrig as soc power error</t>
  </si>
  <si>
    <t>SBL: support booting SPL/U-boot on Cortex-A cores in OSPI/xSPI boot</t>
  </si>
  <si>
    <t>Stats by Platform (TC View)</t>
  </si>
  <si>
    <t>PDK-9452 : DSS M2M DRV: Color Space Conversion - YUV422 to YUV420</t>
  </si>
  <si>
    <t>PM: Support for peripheral clock setting.</t>
  </si>
  <si>
    <t>PDK-7895 : LBIST: Unit test case</t>
  </si>
  <si>
    <t>RTI-WWDT-TEST: SW shall provide sample code to demonstrate WWDT</t>
  </si>
  <si>
    <t>OSAL: BAREMETAL support for interrupt registration routines</t>
  </si>
  <si>
    <t>PDK-7168 : Pmic_powerSetPwrResourceCfg : Test Output voltage slew rate for BUCK &amp; VMON for 0.63MV.</t>
  </si>
  <si>
    <t>PDK-7301 : Pmic_powerGetCommonConfig : Parameter validation for handle</t>
  </si>
  <si>
    <t>PROCESSOR_SDK_07.01.00,PROCESSOR_SDK_07.00.00,PROCESSOR_SDK_07.03.00,PROCESSOR-CORESDK-SAFETY_07.00.00,PROCESSOR-CORESDK-SAFETY_07.01.00,PROCESSOR-CORESDK-SAFETY_07.02.00,PROCESSOR-CORESDK-SAFETY_07.03.00,AM65X-SAFETY-SW_01.00.00,PROCESSOR_SDK_08.00.00</t>
  </si>
  <si>
    <t>PDK-6194 : Pmic_getRtcStatus : RTC Live Status Validation RTC Current state Running</t>
  </si>
  <si>
    <t>[udma] Ring API to get ring mode, ring element count, ring occupance &amp; ring RW index</t>
  </si>
  <si>
    <t>PBIST:  Test code shall support configuration and running of  PBIST</t>
  </si>
  <si>
    <t>CSI2RX: Truncated Frame Detection</t>
  </si>
  <si>
    <t>UDMA: Proxy Usage</t>
  </si>
  <si>
    <t>PDK-7791 : Pmic_esmSetConfiguration: Parameter validation for esmErrCntThr</t>
  </si>
  <si>
    <t>PMIC: Driver shall read PMIC registers to decipher a Buck Error</t>
  </si>
  <si>
    <t>DSS DISPDRV: Start Display API Support</t>
  </si>
  <si>
    <t>PMIC: Driver shall implement an API to configure buck and LDO regulator output voltages</t>
  </si>
  <si>
    <t>PDK-4658 : Uniflash QSPI flash writer verification</t>
  </si>
  <si>
    <t>UART: support different stop bit</t>
  </si>
  <si>
    <t>PDK-8231 : test_pmic_appInit_appDeInit :Stress test for pmic init/deinit with single i2c</t>
  </si>
  <si>
    <t>SBL: UART Boot Media Support</t>
  </si>
  <si>
    <t>PMIC: Driver shall support single I2C interface</t>
  </si>
  <si>
    <t>PDK-7358 : Pmic_fsmDeviceOffRequestCfg / Pmic_fsmEnableI2cTrigger : RTC Wakeup using Timer Interrupt</t>
  </si>
  <si>
    <t>Blocked</t>
  </si>
  <si>
    <t>Test: Port all unit tests to Unity Framework to ease integration to ATF for new device</t>
  </si>
  <si>
    <t>UDMA: Instance Independent of Core</t>
  </si>
  <si>
    <t>JACINTOREQ-465,CATREQ-809</t>
  </si>
  <si>
    <t>IPC between MCU R5F (BIOS) to C66x (BIOS)</t>
  </si>
  <si>
    <t>PDK-6114 : Pmic_rtcSetTimerIntr : Parameter validation for handle</t>
  </si>
  <si>
    <t>PDK-3531 : CSI2RX DRV Test: Raw 12 data-type capture</t>
  </si>
  <si>
    <t>SCICLIENT: Must use the same structure names as the DMSC firmware headers</t>
  </si>
  <si>
    <t>PDK-7303 : Pmic_powerGetThermalConfig : Parameter validation for handle</t>
  </si>
  <si>
    <t>PDK-3510 : Ring event test case in event polled mode</t>
  </si>
  <si>
    <t>PDK-3738 : mcu navss mcrc semi cpu 720p framesize</t>
  </si>
  <si>
    <t>PDK-3642 : CSI2RX DRV Test: frame drop detection</t>
  </si>
  <si>
    <t>SBL Support</t>
  </si>
  <si>
    <t>MMCSD: Support for eMMC: HS400 mode</t>
  </si>
  <si>
    <t>Common: User Guide</t>
  </si>
  <si>
    <t>PDK-3921 : LDC for 2MP 12bit packed input and output, with Bicubic Interpolation</t>
  </si>
  <si>
    <t>PDK-6116 : Pmic_rtcGetTimerIntr : Test Get RTC Timer interrupt.</t>
  </si>
  <si>
    <t>PDK-3741 : mcu navss mcrc ch3 full cpu 720p framesize</t>
  </si>
  <si>
    <t>PDK-7560 : UDMA OSPI FlashTestapp Example</t>
  </si>
  <si>
    <t>PM: Support for finding the current module power state.</t>
  </si>
  <si>
    <t>UART: support loopback mode</t>
  </si>
  <si>
    <t>PDK-4304 : VHWA SDE 1280x720 8b</t>
  </si>
  <si>
    <t>PDK-7337 : Pmic_wdgSetCfg : Parameter validation for qaFdbk max value</t>
  </si>
  <si>
    <t>CSI2TX: FVID2 De-Queue API</t>
  </si>
  <si>
    <t>5 %</t>
  </si>
  <si>
    <t>PDK-3532 : CSI2RX DRV Test: YUV422-8bit data-type capture</t>
  </si>
  <si>
    <t>92 %</t>
  </si>
  <si>
    <t>PDK-3922 : LDC for 2MP 8bit packed input and output, with Bilinear Interpolation</t>
  </si>
  <si>
    <t>CSI2RX: FVID2 Create API</t>
  </si>
  <si>
    <t>VTM: SW shall support readback of static configuration registers</t>
  </si>
  <si>
    <t>MMCSD: Support for UHS-I: SDR25</t>
  </si>
  <si>
    <t>DSS Video Pipe Upscaling Support</t>
  </si>
  <si>
    <t>PROC_SOC-181,PROC_SOC-182</t>
  </si>
  <si>
    <t>VHWA: DeQueue API</t>
  </si>
  <si>
    <t>OSPI: Support callback mode</t>
  </si>
  <si>
    <t>K3 IP FMA TIM2: CSL-FL : Timer API support for configuring DMTimer</t>
  </si>
  <si>
    <t>PDK-6515 : MCU R5 ESM Test</t>
  </si>
  <si>
    <t>SCICLIENT: Board Configuration for DMSC Firmware</t>
  </si>
  <si>
    <t>CSL-FL: DRU (MSMC) Support</t>
  </si>
  <si>
    <t>PROCESSOR_SDK_07.01.00,PROCESSOR_SDK_07.00.00,PROCESSOR_SDK_07.03.00,PROCESSOR-CORESDK-SAFETY_07.02.00,PROCESSOR_SDK_08.00.00</t>
  </si>
  <si>
    <t>CRC: SW shall provide API to configure registers</t>
  </si>
  <si>
    <t>PDK-7629 : Pmic_SetRecoveryCntCfg : Parameter validation for thrVal.</t>
  </si>
  <si>
    <t>PDK-6121 : Pmic_rtcEnable : Test RTC Enable</t>
  </si>
  <si>
    <t>PMIC: Driver shall read PMIC registers to decipher a Runtime BIST Error</t>
  </si>
  <si>
    <t>SBL: Design Requirement</t>
  </si>
  <si>
    <t>PDK-7355 : Pmic_wdgGetErrorStatus : Parameter validation for errStatus</t>
  </si>
  <si>
    <t>CCM-TEST: provide test/example of PULSAR CCM diagnostic</t>
  </si>
  <si>
    <t>Baremetal OSAL Support</t>
  </si>
  <si>
    <t>CSL-FL: UDMA UDMAP Support</t>
  </si>
  <si>
    <t>IPC Lib API to get self core ID</t>
  </si>
  <si>
    <t>UDMA: Baremetal Support</t>
  </si>
  <si>
    <t>PDK-4256 : Mailbox csl example</t>
  </si>
  <si>
    <t>PDK-3542 : DSS Display RTOS Pipeline Crop test</t>
  </si>
  <si>
    <t>PDK-4771 : MMCSD regression test application</t>
  </si>
  <si>
    <t>R5:Core: SW shall provide handler for double bit ECC exceptions</t>
  </si>
  <si>
    <t>PDK-3251 : MCU NAVSS UDMA ADC Example on mcu1_0</t>
  </si>
  <si>
    <t>PMIC: Coding style shall follow TI Processor SDK coding guidelines</t>
  </si>
  <si>
    <t>CSI2RX: Error Bypass</t>
  </si>
  <si>
    <t>PDK-6580 : I2C_Eeprom_TestApp</t>
  </si>
  <si>
    <t>FVID2 VPAC LDC Driver Support</t>
  </si>
  <si>
    <t>PDK-7787 : Pmic_esmSetConfiguration: Parameter validation for esmHMIN</t>
  </si>
  <si>
    <t>MMCSD: Support for multiple MMC/eMMC instances</t>
  </si>
  <si>
    <t>PDK-3498 : Main_NAVSS/BCDMA 2D Blockcpy DDR 4MB to MSMC circular 4KB at 20ms pacing for 10 seconds</t>
  </si>
  <si>
    <t>K3 IP FMA VIM: Safety Diagnostic test code to demonstrate error handling of VIM ECC errors</t>
  </si>
  <si>
    <t>VIM: SW to provide API to configure DED vector</t>
  </si>
  <si>
    <t>CSI2RX: RAW12 Data Format Support</t>
  </si>
  <si>
    <t>PDK-3552 : Linux/Bios and Bios/Bios communication</t>
  </si>
  <si>
    <t>SA2UL: CCM core Support</t>
  </si>
  <si>
    <t>PDK-7187 : Pmic_powerSetPwrResourceCfg : Test Rail group selection for power resources as group none.</t>
  </si>
  <si>
    <t>PDK-4124 : Test late virtio and Rpmsg attach using ping-pong service</t>
  </si>
  <si>
    <t>PDK-7162 : Pmic_powerSetPwrResourceCfg : Test Output voltage slew rate for BUCK &amp; VMON for 33MV.</t>
  </si>
  <si>
    <t>JACINTOREQ-441,CATREQ-568,PROC_SOC-58</t>
  </si>
  <si>
    <t>OSPI: Support octal transfer</t>
  </si>
  <si>
    <t>PDK-7770 : Pmic_esmStart: Test to Start and Stop ESM SOC</t>
  </si>
  <si>
    <t>UDMA: Event Unregister API</t>
  </si>
  <si>
    <t>PDK-6566 : MCSPI_Baremetal_MasterSlave_TestApp</t>
  </si>
  <si>
    <t>PDK-7329 : Pmic_wdgSetCfg : Parameter validation for longWindowi_ms min value</t>
  </si>
  <si>
    <t>PDK-4679 : Leo PMIC library test</t>
  </si>
  <si>
    <t>PDK-7790 : Pmic_esmSetConfiguration: Parameter validation for esmLMIN</t>
  </si>
  <si>
    <t>SCICLIENT: API to get DMSC Firmware revision</t>
  </si>
  <si>
    <t>SBL shall be modular</t>
  </si>
  <si>
    <t>Passed</t>
  </si>
  <si>
    <t>Total Requirement(s)</t>
  </si>
  <si>
    <t>IPC between Main R5F (BIOS) to C66x (BIOS)</t>
  </si>
  <si>
    <t>PDK-6158 : Pmic_rtcSetTimeDateInfo : Test RTC Set Time</t>
  </si>
  <si>
    <t>Include a 128 byte data pattern in the SBL image required for new OSPI tuning algorithm</t>
  </si>
  <si>
    <t>PDK-7781 : Pmic_esmSetConfiguration: Test to configure ESM MCU in PWM Mode</t>
  </si>
  <si>
    <t>PDK-7873 : Pmic_powerSetPwrResourceCfg : Negative test VMON for LEO PMIC.</t>
  </si>
  <si>
    <t>UDMA: Event Register API</t>
  </si>
  <si>
    <t>SA2UL: SHA1 Support</t>
  </si>
  <si>
    <t>SCICLIENT: API to load DMSC Firmware</t>
  </si>
  <si>
    <t>PDK-4108 : MCU NAVSS 2D HC Blockcpy DDR 1MB to MSMC circular 1KB performance test</t>
  </si>
  <si>
    <t>PDK-4704 : MCAN csl unit test</t>
  </si>
  <si>
    <t>PDK-4691 : Automation header diagnostic test validation</t>
  </si>
  <si>
    <t>PDK-3920 : LDC for 2MP 12bit unpacked LSB aligned input and output, with Bicubic Interpolation</t>
  </si>
  <si>
    <t>SCICLIENT: API Guide</t>
  </si>
  <si>
    <t>PDK-7354 : Pmic_wdgGetErrorStatus : Parameter validation for handle</t>
  </si>
  <si>
    <t>PDK-8015 : Pmic_fsmSetMissionState : RTC Wakeup using Timer Interrupt using Standby State</t>
  </si>
  <si>
    <t>PDK-4104 : Main NAVSS HC Blockcpy DDR 1MB to DDR 1MB from multiple tasks</t>
  </si>
  <si>
    <t>FVID2 DMPAC SDE Driver Support</t>
  </si>
  <si>
    <t># of TC Not Run</t>
  </si>
  <si>
    <t>CSI2RX: CSI2 v1.3 Protocol Support</t>
  </si>
  <si>
    <t>PDK-3539 : DSS Display RTOS Data Integrity test</t>
  </si>
  <si>
    <t>DSS Video Port 4 Support</t>
  </si>
  <si>
    <t>PDK-6568 : OSPI_Baremetal_Flash_Dma_TestApp</t>
  </si>
  <si>
    <t>DSS 8 bit YUV422I-YUYV Format Support</t>
  </si>
  <si>
    <t>Partially</t>
  </si>
  <si>
    <t>PDK-4686 : HDMI display diagnostic test</t>
  </si>
  <si>
    <t>SDE-  VHWA Driver migration to FreeRTOS on R5F</t>
  </si>
  <si>
    <t>PDK-5991 : Pmic_rtcSetAlarmIntr : Parameter validation for handle.</t>
  </si>
  <si>
    <t>Support Thumb2 mode on R5F for non-safety usecase</t>
  </si>
  <si>
    <t>CSI2TX: FVID2 Create API</t>
  </si>
  <si>
    <t>PDK-7633 : Pmic_getRecoveryCntCfg: Parameter validation for handle.</t>
  </si>
  <si>
    <t>DSS RGB16-565 Format Support</t>
  </si>
  <si>
    <t>PDK-4200 : ADC diagnostic test</t>
  </si>
  <si>
    <t>PDK-3467 : Main_NAVSS/BCDMA Blockcpy DDR to DDR in polling mode</t>
  </si>
  <si>
    <t>PDK-4238 : Proxy queue and dequeue test case with allocated proxy</t>
  </si>
  <si>
    <t>UART: Support DMA mode</t>
  </si>
  <si>
    <t>DSS DISPDRV: Get Status IOCTL Support</t>
  </si>
  <si>
    <t>PDK-3919 : VISS for single RAW input and Dual YUV420 output and Histogram Output</t>
  </si>
  <si>
    <t>PMIC: Driver shall implement an API to read buck and LDO regulator output voltages</t>
  </si>
  <si>
    <t>PDK-7161 : Pmic_powerSetPwrResourceCfg :Parameter range validation for buckCurrentLimit.</t>
  </si>
  <si>
    <t>JACINTOREQ-150,PROC_SOC-153</t>
  </si>
  <si>
    <t>PDK-4220 : Uniflash OSPI flash writer verification</t>
  </si>
  <si>
    <t>CCM: API to return PULSAR CCM status</t>
  </si>
  <si>
    <t>PDK-6456 : UART Unit Test: UART DMA multiple instances loopback test</t>
  </si>
  <si>
    <t>PDK-7203 : Pmic_powerSetPwrResourceCfg : Test LDO residual voltage check timeout select for 1.5MS.</t>
  </si>
  <si>
    <t>PDK-7632 : Pmic_SetRecoveryCntCfg: Parameter validation for handle.</t>
  </si>
  <si>
    <t>CSI2RX: FVID2 Driver Callback API</t>
  </si>
  <si>
    <t>PDK-7701 : Pmic_fsmSetMissionState : Test Set State to Standby.</t>
  </si>
  <si>
    <t>PDK-6592 : csl_uart_test_app</t>
  </si>
  <si>
    <t>VHWA: MSC maximum outputs</t>
  </si>
  <si>
    <t>PDK-7852 : Pmic_esmSetInterrupt: Parameter validation for handle</t>
  </si>
  <si>
    <t>UDMA: Support getting statistics from the IP</t>
  </si>
  <si>
    <t>PMIC: Driver shall be stateless and reentrant</t>
  </si>
  <si>
    <t>PDK-6214 : Pmic_gpioSetConfiguration : Gpio pin configuration validation for outputSignalType</t>
  </si>
  <si>
    <t>PDK-7351 : Pmic_wdgGetFailCount : Parameter validation for handle</t>
  </si>
  <si>
    <t>PDK-3299 : IPC echo-test - MCU R5F (Bios) to C66x (Bios)</t>
  </si>
  <si>
    <t># of TC Blocked</t>
  </si>
  <si>
    <t>CSI2RX: FVID Interface Support</t>
  </si>
  <si>
    <t>PDK-4311 : VHWA NF 1280x720 12b packed to 12p packed YUV even pixel skip</t>
  </si>
  <si>
    <t>DSS DISPDRV: Queue API Support</t>
  </si>
  <si>
    <t>PDK-3745 : navss mcrc full cpu Msmc buf</t>
  </si>
  <si>
    <t>OSPI: Support programmable flash device size</t>
  </si>
  <si>
    <t>[udma] Support for event disable and enable API</t>
  </si>
  <si>
    <t>Board_Diag: Current Monitor Diagnostic Functional Test</t>
  </si>
  <si>
    <t>PDK-3924 : LDC for 1MP 8bit packed YUV422 input and output</t>
  </si>
  <si>
    <t>Common: Coding Guidelines</t>
  </si>
  <si>
    <t>PDK-6108 : Pmic_rtcSetAlarmIntr : Parameter range validation for day, for months with 31 days)</t>
  </si>
  <si>
    <t>PDK-3884 : DSS Display RTOS BGR16-565 buffer test on mcu2_0</t>
  </si>
  <si>
    <t>CSL-FL: R5F ARCH Support</t>
  </si>
  <si>
    <t>DSS M2M: Color Space Conversion - YUV to RGB</t>
  </si>
  <si>
    <t>PDK-7273 : Pmic_powerSetPwrRsrcIntr: Test Enable UV interrupt</t>
  </si>
  <si>
    <t>PDK-7172 : Pmic_powerSetPwrResourceCfg : Test Selects the resistor value for output pull-down resistor for LDO for 50Kohm.</t>
  </si>
  <si>
    <t>PROCESSOR_SDK_07.01.00,PROCESSOR_SDK_07.00.00,PDK_J7_00.03.00_EA3,PDK_J7_00.05.00_EA5,PDK_J7_00.08.00_EA8,PDK_J7_00.09.00_Bringup,PDK_J7_01.00.00_RTM,PROCESSOR_SDK_07.03.00,PDK_J7_06.02.00,PROCESSOR_SDK_08.00.00</t>
  </si>
  <si>
    <t>PROC_SOC-296,PROC_SOC-333</t>
  </si>
  <si>
    <t>VHWA: SDE Histogram output</t>
  </si>
  <si>
    <t>PDK-6202 : Pmic_gpioSetConfiguration : configure gpio pin as SYNCCLKOUT function</t>
  </si>
  <si>
    <t>PDK-4101 : Main NAVSS 2D HC Blockcpy MSMC circular 1KB to DDR 1MB performance test</t>
  </si>
  <si>
    <t>VHWA: VISS Dual Output in YUV420 format</t>
  </si>
  <si>
    <t>PDK User Guide shall include FreeRTOS Migration Guide</t>
  </si>
  <si>
    <t>DSS Custom VENC timings</t>
  </si>
  <si>
    <t>Mailbox Interrupt Mode - C7x</t>
  </si>
  <si>
    <t>PDK-7170 : Pmic_powerSetPwrResourceCfg : Parameter validation for Power Resource for buckVmonSlewRate.</t>
  </si>
  <si>
    <t>CORESDK Release notes updates as per Continental SW GQA</t>
  </si>
  <si>
    <t>PDK-9451 : DSS M2M DRV: Color Space Conversion - RGB to YUV</t>
  </si>
  <si>
    <t>PDK-4627 : Sciclient: MSMC Query Test</t>
  </si>
  <si>
    <t>PDK-5212 : CSI2TX DRV: Sample Application</t>
  </si>
  <si>
    <t xml:space="preserve">PDK-6226 : Pmic_gpioGetValue : Parameter validation for pinValue </t>
  </si>
  <si>
    <t>VHWA: VISS Three Exposure Merge</t>
  </si>
  <si>
    <t>PDK-6499 : SBL for J721E supported functions - MMCSD boot</t>
  </si>
  <si>
    <t>PDK-3256 : MCU NAVSS UDMA RTOS chaining Example on mcu1_0</t>
  </si>
  <si>
    <t>PDK-7097 : SA2UL shall be supported on SoC in baremetal mode</t>
  </si>
  <si>
    <t>SPI LLD: support loopback mode</t>
  </si>
  <si>
    <t>Status</t>
  </si>
  <si>
    <t>PDK-6629 : MCU R5 CBASS test</t>
  </si>
  <si>
    <t>PDK-4188 : HyperFlash diagnostic test</t>
  </si>
  <si>
    <t>PDK : Packaging : Specific to an SoC</t>
  </si>
  <si>
    <t># of TC Failed</t>
  </si>
  <si>
    <t>PDK-6574 : UART_Baremetal_TestApp</t>
  </si>
  <si>
    <t>Board_Lib: Display FPD-link Control Library</t>
  </si>
  <si>
    <t>PDK-7186 : Pmic_powerSetPwrResourceCfg : Parameter validation for Power Resource for vccaPwrGudLvl.</t>
  </si>
  <si>
    <t>PDK-3325 : PDK Build and Packaging</t>
  </si>
  <si>
    <t>PDK-6180 : Pmic_rtcSetFreqComp : Test RTC set RTC frequency compensation</t>
  </si>
  <si>
    <t>DSS BGR24-888 Format Support</t>
  </si>
  <si>
    <t>Safety Diagnostics Library: Watchdog timer</t>
  </si>
  <si>
    <t>PDK-7205 : Pmic_powerSetPwrResourceCfg : Test LDO residual voltage check timeout select for 2.5MS.</t>
  </si>
  <si>
    <t>PDK-7769 : Pmic_esmStart: Test to Start and Stop ESM MCU</t>
  </si>
  <si>
    <t>JACINTOREQ-417,JACINTOREQ-716</t>
  </si>
  <si>
    <t>ESM: SW shall provide an ISR to handle ESM configuration error interrupt</t>
  </si>
  <si>
    <t>PDK-6241 : Pmic_gpioSetIntr-GPIO4 Rise Interrupt Test</t>
  </si>
  <si>
    <t>PDK-7702 : Pmic_fsmSetMissionState : Parameter range validation for handle.</t>
  </si>
  <si>
    <t>PDK-10273 : DSS M2M DRV: Multi-channel test</t>
  </si>
  <si>
    <t>MMCSD: Support for eMMC: DS mode</t>
  </si>
  <si>
    <t>[udma] Support for get flow count API</t>
  </si>
  <si>
    <t>UDMA: Ring memory check</t>
  </si>
  <si>
    <t>PDK-3296 : IPC echo-test - Main R5F (Bios) to MCU R5F (Bios)</t>
  </si>
  <si>
    <t>PDK-4215 : UART diagnostic test</t>
  </si>
  <si>
    <t>UDMA: DRU Memcpy Example in Direct Mode</t>
  </si>
  <si>
    <t>PDK-6773 : PMIC Documentation template shall follow TI Processor SDK style</t>
  </si>
  <si>
    <t>SCICLIENT: Structure Init APIs</t>
  </si>
  <si>
    <t xml:space="preserve">PDK-5018 : Baremetal OSAL Unit Test: timer test </t>
  </si>
  <si>
    <t>VHWA: NF Generic coefficients</t>
  </si>
  <si>
    <t>PDK-6231 : Pmic_gpioSetValue : Set GPIO signal level for an input GPIO pin</t>
  </si>
  <si>
    <t>PDK-3480 : MCU_NAVSS/BCDMA Blockcpy circular 1KB DDR to DDR 1KB ICNT1 TR event type test</t>
  </si>
  <si>
    <t xml:space="preserve">PDK-7750 : xSPI/OSPI new tuning test </t>
  </si>
  <si>
    <t>OSAL: RTOS :Cache Operations must be supported</t>
  </si>
  <si>
    <t>PM: Support for placing peripherals or CPU subsystems in reset.</t>
  </si>
  <si>
    <t>UDMA: Event Registration with Polling</t>
  </si>
  <si>
    <t>DSS Video 1 Pipeline Support</t>
  </si>
  <si>
    <t>PMIC: Driver shall read PMIC registers to decipher a LDO Error</t>
  </si>
  <si>
    <t>PDK-7793 : Pmic_esmGetConfiguration: Test to verify PMIC ESM SOC Get Configuration</t>
  </si>
  <si>
    <t>PDK-4708 : VHWA NF performance test</t>
  </si>
  <si>
    <t>ECC Aggr: CSL shall support ability to enable MMR parity check</t>
  </si>
  <si>
    <t>PDK-6117 : Pmic_rtcGetTimerIntr : Parameter validation for handle</t>
  </si>
  <si>
    <t>UDMA: Event Registration with Interrupt Callback</t>
  </si>
  <si>
    <t>PDK-6269 : Pmic_rtcEnableAlarmIntr : Parameter validation for handle</t>
  </si>
  <si>
    <t>PDK-7260 : Pmic_powerSetConfigPowerGood : Parameter validation for handle</t>
  </si>
  <si>
    <t>RAT IP Module Requirements</t>
  </si>
  <si>
    <t>PDK-4706 : VHWA LDC performance test</t>
  </si>
  <si>
    <t>DSS 8 bit YUV420SP-UV Format Support</t>
  </si>
  <si>
    <t>PDK-3315 : DSS Display RTOS DSI test on mcu2_0</t>
  </si>
  <si>
    <t>DSS Video Pipe Input Height Supoort</t>
  </si>
  <si>
    <t>Common: Licensing</t>
  </si>
  <si>
    <t>PROC_SOC-1051,CATREQ-2178</t>
  </si>
  <si>
    <t>MCASP: Support I2S Frame format</t>
  </si>
  <si>
    <t>PDK-7792 : Pmic_esmGetConfiguration: Test to verify PMIC ESM MCU Get Configuration</t>
  </si>
  <si>
    <t>PDK-3915 : VISS for single RAW input and Dual YUV420 output</t>
  </si>
  <si>
    <t>PDK-7139 : Pmic_powerSetPwrResourceCfg : Parameter validation for Power Resource for vmonEn.</t>
  </si>
  <si>
    <t>WA for DDR: VRCG high current mode must be used during LPDDR4 CBT</t>
  </si>
  <si>
    <t>VHWA: MSC for YUV 420 input format</t>
  </si>
  <si>
    <t>McSPI Driver Support</t>
  </si>
  <si>
    <t>PDK-3485 : Main_NAVSS/BCDMA Blockcpy DDR 1MB to DDR 1MB performance test</t>
  </si>
  <si>
    <t>VHWA: LDC with Bicubic interpolation for Luma</t>
  </si>
  <si>
    <t>PDK-3899 : VHWA DOF 2040x1024 8b</t>
  </si>
  <si>
    <t>CRC-TEST: SW shall provide example of CRC features</t>
  </si>
  <si>
    <t>PDK-6513 : MCU R5  DM Timer Test</t>
  </si>
  <si>
    <t>PDK-7332 : Pmic_wdgSetCfg : Parameter validation for win1Duration_us max value</t>
  </si>
  <si>
    <t>PDK-7177 : Pmic_powerSetPwrResourceCfg : Test Disable Slow Ramp for LDO</t>
  </si>
  <si>
    <t>Not satisfied</t>
  </si>
  <si>
    <t>UDMA: API Guide</t>
  </si>
  <si>
    <t>CSI2TX: Virtual Channel Support</t>
  </si>
  <si>
    <t>PDK-6243 : Pmic_gpioSetIntr-GPIO5 Rise Interrupt Test</t>
  </si>
  <si>
    <t>Board_Diag: ADC Diagnostic Functional Test</t>
  </si>
  <si>
    <t>UDMA: No Global Variables</t>
  </si>
  <si>
    <t>PDK-7229 : Pmic_powerSetCommonConfig: Test severeErrorTrig as mcu power error</t>
  </si>
  <si>
    <t>MMCSD Driver migration to FreeRTOS on R5F</t>
  </si>
  <si>
    <t>UDMA: PDMA CRC Example</t>
  </si>
  <si>
    <t>PDK-7200 : Pmic_powerSetPwrResourceCfg : Parameter validation for Power Resource for ldoBypassModeEn.</t>
  </si>
  <si>
    <t>PDK-7130 : Pmic_powerSetPwrResourceCfg : Parameter validation for handle</t>
  </si>
  <si>
    <t>PDK-7192 : Pmic_powerSetPwrResourceCfg : Parameter range validation for railGrpSel.</t>
  </si>
  <si>
    <t>PDK-2899 : SCI: Load dmsc firmware</t>
  </si>
  <si>
    <t>UDMA: DRU Memcpy Example in Indirect Mode</t>
  </si>
  <si>
    <t>PDK-7225 : Pmic_powerSetCommonConfig: Test deglitchTimeSel as 4us</t>
  </si>
  <si>
    <t>JACINTOREQ-467,CATREQ-573</t>
  </si>
  <si>
    <t>PDK-7340 : Pmic_wdgGetCfg : Get all watchdog parameters</t>
  </si>
  <si>
    <t>PDK-3308 : DSS Display RTOS VID2/VIDL2 test on mcu2_0</t>
  </si>
  <si>
    <t xml:space="preserve">FreeRTOS Support on R5F for CPU </t>
  </si>
  <si>
    <t>PROCESSOR_SDK_07.01.00,PROCESSOR_SDK_07.00.00,PROCESSOR_SDK_07.03.00,PROCESSOR_SDK_TPR12_00.05.00,PROCESSOR_SDK_TPR12_00.08.00,PROCESSOR_SDK_TPR12_00.08.01,PROCESSOR_SDK_TPR12_00.09.00,PROCESSOR_SDK_TPR12_01.00.00,PROCESSOR_SDK_08.00.00,PROCESSOR_SDK_TPR12_00.08.05</t>
  </si>
  <si>
    <t>PDK UDMA Driver migration to FreeRTOS on R5F</t>
  </si>
  <si>
    <t>PMIC: Driver shall read PMIC registers to decipher an FSM error</t>
  </si>
  <si>
    <t>PDK-6517 : MCU R5 VTM Temperature Read Test</t>
  </si>
  <si>
    <t>ALGDMAUTILS: Circular Buffering Support</t>
  </si>
  <si>
    <t>PMIC: Driver shall read PMIC registers to decipher a Boot BIST Error</t>
  </si>
  <si>
    <t>PDK-8235 : test_pmic_appInit_appDeInit:Stress test for pmic init/deinit with dual i2c</t>
  </si>
  <si>
    <t>Co-existence of Linux/bios and bios/bios</t>
  </si>
  <si>
    <t>CSL-FL: A72 ARCH Support</t>
  </si>
  <si>
    <t>OSAL: RTOS : Cache operations must comprehend coherency and cpu/dma partner</t>
  </si>
  <si>
    <t>PDK-4276 : Boot switch diagnostic test</t>
  </si>
  <si>
    <t>SCICLIENT: Abstract Secure Proxy Thread details</t>
  </si>
  <si>
    <t xml:space="preserve">PDK-5213 : CSI2RX DRV: Error Handling and Recovery </t>
  </si>
  <si>
    <t>OSAL: RTOS support for Timer Operations</t>
  </si>
  <si>
    <t>PDK-6113 : Pmic_rtcSetTimerIntr : Test Set RTC Timer interrupt</t>
  </si>
  <si>
    <t>DSS 1080p60 Standard VENC timings</t>
  </si>
  <si>
    <t>VHWA: LDC Conversion from YUV422 to YUV420</t>
  </si>
  <si>
    <t>PDK-6234 : Pmic_gpioSetIntr-GPIO1 Fall Interrupt Test</t>
  </si>
  <si>
    <t>VHWA: Multiple Open</t>
  </si>
  <si>
    <t>PDK-6717 : SA2UL  CCM core support</t>
  </si>
  <si>
    <t>UDMA: UTC Channel Configure API</t>
  </si>
  <si>
    <t>PDK-6118 : Pmic_rtcGetTimerIntr : Parameter validation for timerPeriod</t>
  </si>
  <si>
    <t>PDK-6175 : Pmic_rtcSetTimeDateInfo : Parameter range validation for day, for months with 31 days)</t>
  </si>
  <si>
    <t>VHWA: LDC For YUV422 format</t>
  </si>
  <si>
    <t>DSS 720p60 Standard VENC timings</t>
  </si>
  <si>
    <t>Doxgen API guide should be generated for the whole of PDK</t>
  </si>
  <si>
    <t>PDK-3307 : DSS Colorbar test on mcu2_0</t>
  </si>
  <si>
    <t>PDK-7211 : Pmic_powerSetPwrResourceCfg : Test LDO residual voltage check timeout select for 10MS.</t>
  </si>
  <si>
    <t>PMIC: Driver shall support configuring NSLEEP registers for Processor low power</t>
  </si>
  <si>
    <t>IPC between A72 (BIOS) to main R5F (BIOS)</t>
  </si>
  <si>
    <t>PDK-6236 : Pmic_gpioSetIntr-GPIO2 Fall Interrupt Test</t>
  </si>
  <si>
    <t xml:space="preserve">PDK-4734 : Test DSS flip with RGB24 </t>
  </si>
  <si>
    <t>PROCESSOR_SDK_07.01.00,PROCESSOR_SDK_07.00.00,PDK_J7_00.08.00_EA8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08.00.00</t>
  </si>
  <si>
    <t>PDK-7178 : Pmic_powerSetPwrResourceCfg : Parameter validation for Power Resource for ldoPullDownSel.</t>
  </si>
  <si>
    <t>PDK-6089 : Pmic_getRtcStatus : RTC Live Status Validation RTC Current state Frozen</t>
  </si>
  <si>
    <t>PDK-7152 : Pmic_powerSetPwrResourceCfg : Test Disable the power regulator.</t>
  </si>
  <si>
    <t>PDK-3886 : DSS Display RTOS 12 bit unpacked YUV420SP-UV buffer test on mcu2_0</t>
  </si>
  <si>
    <t>Board_Diag: I2C Boot EEPROM Diagnostic Functional Test</t>
  </si>
  <si>
    <t>VTM: SW shall enable configuration of Temperature Warning</t>
  </si>
  <si>
    <t>CSI2RX: Virtual Channel data on n data lanes Support</t>
  </si>
  <si>
    <t>DSS Video 2 Pipeline Support</t>
  </si>
  <si>
    <t>I2C Driver Support</t>
  </si>
  <si>
    <t>PDK-7224 : Pmic_powerSetCommonConfig: Test Enable pgoodPolarity low</t>
  </si>
  <si>
    <t>MCUREQ-151,PROC_SOC-295</t>
  </si>
  <si>
    <t>PDK-7277 : Pmic_powerSetPwrRsrcIntr: Parameter validation for Power Resource for intrEnable.</t>
  </si>
  <si>
    <t>PDK-7156 : Pmic_powerSetPwrResourceCfg : Test Switch peak current limit for BUCK regulator for 5.5Amp.</t>
  </si>
  <si>
    <t>PDK-7169 : Pmic_powerSetPwrResourceCfg : Test Output voltage slew rate for BUCK &amp; VMON for 0.31MV.</t>
  </si>
  <si>
    <t>PDK-7559 : UDMA SW Trigger Testapp Example</t>
  </si>
  <si>
    <t>PDK-3492 : MCU NAVSS 2D Blockcpy DDR 1MB to MSMC circular 1KB performance test</t>
  </si>
  <si>
    <t>PDK-6715 : SA2UL  MD5 Support</t>
  </si>
  <si>
    <t>PDK-8055 : Baremetal LDC TestApp : 2MP 8bit packed input/output, with Bilinear Interpolation</t>
  </si>
  <si>
    <t>PDK-4218 : Digital Audio diagnostic test</t>
  </si>
  <si>
    <t>PDK-4307 : VHWA NF 1280x720 8b to 8p YUV</t>
  </si>
  <si>
    <t>ALGDMAUTILS: Wait Mechanism at C7x Support</t>
  </si>
  <si>
    <t>PDK-3923 : LDC for 1MP 8bit packed input and output, with Bilinear Interpolation and with 9 output regions</t>
  </si>
  <si>
    <t>CSL-FL: I2C Support</t>
  </si>
  <si>
    <t>McASP Driver migration to FreeRTOS on R5F</t>
  </si>
  <si>
    <t>OSPI LLD performance measurement</t>
  </si>
  <si>
    <t>Board_Diag: CPSW RGMII Ethernet Diagnostic Functional Test</t>
  </si>
  <si>
    <t>CSI2RX: Current Frame Status</t>
  </si>
  <si>
    <t>Support DSS, VHWA, CSI-RX, CSI-TX on mcu2_0 instead of mcu2_1</t>
  </si>
  <si>
    <t>PDK-3744 : navss mcrc semi cpu 720p pat size 8</t>
  </si>
  <si>
    <t>PDK-3309 : DSS Display RTOS ARGB32 buffer test with 720p on mcu2_0</t>
  </si>
  <si>
    <t>PDK-7251 : Pmic_powerSetCommonConfig: Parameter validation for moderateRailTrig</t>
  </si>
  <si>
    <t>DSS Driver migration to FreeRTOS on R5F</t>
  </si>
  <si>
    <t>PDK-7148 : Pmic_powerSetPwrResourceCfg : Parameter validation for Power Resource for buckFpwmMode.</t>
  </si>
  <si>
    <t>PDK-3639 : CSI2RX DRV Test: heterogeneous multi-channel capture</t>
  </si>
  <si>
    <t>UDMA: UDMAP RX Channel Configure API</t>
  </si>
  <si>
    <t>VHWA: DOF 12-bit Packed Storage Format</t>
  </si>
  <si>
    <t>PDK-7213 : Pmic_powerSetPwrResourceCfg : Test LDO residual voltage check timeout select for 14MS.</t>
  </si>
  <si>
    <t>PDK-7298 : Pmic_powerSetLdoRtc : Test Disable ldortcRegulator</t>
  </si>
  <si>
    <t>PROCESSOR_SDK_07.01.00,PROCESSOR_SDK_07.00.00,PROCESSOR_SDK_07.03.00,PDK_J7_06.02.00,PROCESSOR_SDK_08.00.00</t>
  </si>
  <si>
    <t>SBL: MCU0 Boot Support in Lock-step Mode</t>
  </si>
  <si>
    <t>PDK-6720 : SA2UL  AES core Support</t>
  </si>
  <si>
    <t>PDK-7635 : Pmic_getRecoveryCnt: Parameter validation for handle.</t>
  </si>
  <si>
    <t>MCASP: Support for DMA mode (DATA_PORT)</t>
  </si>
  <si>
    <t>PDK-3332 : Main NAVSS UDMA block copy on mcu3_0</t>
  </si>
  <si>
    <t>CRC: SW shall provide ability to utilize CRC module</t>
  </si>
  <si>
    <t>UDMA: Descriptor Cache Operation</t>
  </si>
  <si>
    <t>VTM: SW shall support readback of written registers</t>
  </si>
  <si>
    <t>UDMA: RX Flow Configure API</t>
  </si>
  <si>
    <t>PDK-6200 : Pmic_gpioSetConfiguration : configure gpio pin 5 as SPMI SCLK function</t>
  </si>
  <si>
    <t>DSS Progressive Input Support</t>
  </si>
  <si>
    <t>IPC between A72 (Linux) to main R5F (BIOS) with remote CPU loaded via Uboot/SPL</t>
  </si>
  <si>
    <t>CCM configure registers</t>
  </si>
  <si>
    <t>CSL-FL: UDMA IR Support</t>
  </si>
  <si>
    <t>PDK-7247 : Pmic_powerSetCommonConfig: Parameter validation for severeErrorTrig</t>
  </si>
  <si>
    <t>PMIC: Driver shall support Ultra Low Power Standby with RTC Wake-Up for PMIC</t>
  </si>
  <si>
    <t>UDMA: Main R5F Core Support</t>
  </si>
  <si>
    <t>PDK-8011 : Pmic_esmSetInterrupt: Test to verify ESM MCU PWM Mode PIN, Fail and RST Interrupts disabled</t>
  </si>
  <si>
    <t>PMIC: Driver shall have a configuration option to enable the interface type supported, either I2C or SPI</t>
  </si>
  <si>
    <t>CSI2TX: FVID2 Delete API</t>
  </si>
  <si>
    <t>DSS DISPDRV: Support for changing scaling parameters at runtime</t>
  </si>
  <si>
    <t>PDK-6218 : Pmic_gpioSetConfiguration : Gpio pin configuration validation for pinPolarity</t>
  </si>
  <si>
    <t>UDMA Driver Support - Advance Features</t>
  </si>
  <si>
    <t>VHWA: SDE 8b packed Storage Format</t>
  </si>
  <si>
    <t>PDK-7703 : Pmic_fsmSetMissionState : Parameter range validation for state.</t>
  </si>
  <si>
    <t>Board_Diag: Digital Audio Diagnostic Functional Test</t>
  </si>
  <si>
    <t>DSS DISPDRV: Create API Support</t>
  </si>
  <si>
    <t>[UDMA] Support for dedicated ring proxy</t>
  </si>
  <si>
    <t>UDMA: Integrate with DMSC RM</t>
  </si>
  <si>
    <t>JACINTOREQ-464,CATREQ-809</t>
  </si>
  <si>
    <t>PDK-7261 : Pmic_powerGetPwrRsrcStat : Test get currentLimitLvlStat</t>
  </si>
  <si>
    <t>PDK-4222 : Analog Audio diagnostic test</t>
  </si>
  <si>
    <t>DM/Sciserver migration to FreeRTOS</t>
  </si>
  <si>
    <t>VHWA: LDC with Bilinear Interpolation for Luma</t>
  </si>
  <si>
    <t>PDK-4681 : eDP display diagnostic test</t>
  </si>
  <si>
    <t>VTM software workaround for temperature sensor read hardware issue</t>
  </si>
  <si>
    <t xml:space="preserve">PDK-5026 : OSAL Unit Test: timer test </t>
  </si>
  <si>
    <t>PDK-7342 : Pmic_wdgGetCfg : Parameter validation for WdgCfg</t>
  </si>
  <si>
    <t>PDK-4739 : Board Proxy1 address usage verification</t>
  </si>
  <si>
    <t>J7ES: DFLO bit setting for R5F</t>
  </si>
  <si>
    <t>JACINTOREQ-441,PROC_SOC-154</t>
  </si>
  <si>
    <t>CSI2RX: Pixel Data Reception</t>
  </si>
  <si>
    <t>PDK-7466 : Pmic_getRtcStatus : Parameter validation for RtcStatus</t>
  </si>
  <si>
    <t>PDK-6500 : SBL for J721E supported functions - UART boot</t>
  </si>
  <si>
    <t>CSI2RX: ECC Error Recovery</t>
  </si>
  <si>
    <t>CSL-FL: SERDES Support</t>
  </si>
  <si>
    <t>PDK-6187 : Pmic_gpioSetConfiguration : configure gpio pin 1 as NRSTOUT_SOC function</t>
  </si>
  <si>
    <t>PDK-7364 : Pmic_fsmDeviceOnRequest :  Parameter validation for handle</t>
  </si>
  <si>
    <t>CSI2RX: Virtual Channel Support</t>
  </si>
  <si>
    <t>PROCESSOR_SDK_07.01.00,PROCESSOR_SDK_07.00.00,PDK_J7_01.00.00_RTM,PROCESSOR_SDK_07.03.00,PDK_J7_06.02.00,PROCESSOR_SDK_08.00.00</t>
  </si>
  <si>
    <t>PDK-7889 : Pmic_rtcEnableAlarmIntr : RTC Alarm Asynchronous interrupt</t>
  </si>
  <si>
    <t>PDK-4105 : Main NAVSS HC Blockcpy MSMC to MSMC 1KBx1K (1MB) circular from multiple tasks</t>
  </si>
  <si>
    <t>PDK-3294 : IPC echo-test - A72 (Bios) to C66x (Bios)</t>
  </si>
  <si>
    <t>PDK-7295 : Pmic_powerSetIntr: Test Disable EN_DRV_READBACK interrupt</t>
  </si>
  <si>
    <t>PDK-3484 : MCU NAVSS Blockcpy OCMC to OCMC in interrupt mode</t>
  </si>
  <si>
    <t>Include dummy Encryption Key, used by DMSC in SDK</t>
  </si>
  <si>
    <t>PDK-6240 : Pmic_gpioSetIntr-GPIO4 Fall Interrupt Test</t>
  </si>
  <si>
    <t>SUMMARY</t>
  </si>
  <si>
    <t>PDK-6453 : UART Unit Test: non-DMA read write test in callback mode</t>
  </si>
  <si>
    <t>JACINTOREQ-441,PROC_SOC-58,PROC_SOC-170</t>
  </si>
  <si>
    <t>SCICLIENT: Service Responses from DMSC</t>
  </si>
  <si>
    <t>PDK-8148 : ECC Example Test</t>
  </si>
  <si>
    <t>JACINTOREQ-441,CATREQ-541,PROC_SOC-58</t>
  </si>
  <si>
    <t>PDK-7184 : Pmic_powerSetPwrResourceCfg : Test Powergood level 5V for VCCA pin</t>
  </si>
  <si>
    <t>Board_Diag: DP Display Interface Diagnostic Functional Test</t>
  </si>
  <si>
    <t>PDK-7207 : Pmic_powerSetPwrResourceCfg : Test LDO residual voltage check timeout select for 3.5MS.</t>
  </si>
  <si>
    <t>PDK-6516 : MCU R5 RTI Module Test</t>
  </si>
  <si>
    <t>Board_Diag: Analog Audio Diagnostic Functional Test</t>
  </si>
  <si>
    <t>Failed</t>
  </si>
  <si>
    <t>PDK-3643 : CSI2RX DRV Test: truncated/elongated frame detection</t>
  </si>
  <si>
    <t>PDK-7235 : Pmic_powerSetCommonConfig: Test socRailTrig as Immediate shutdown</t>
  </si>
  <si>
    <t>PDK-6111 : Pmic_rtcGetAlarmIntr : Parameter validation for timeCfg</t>
  </si>
  <si>
    <t>ALGDMAUTILS: Auto-increment use case in 1D Support</t>
  </si>
  <si>
    <t>R5:Core: SW shall provide API to enable use of PMU counters</t>
  </si>
  <si>
    <t>PDK-6225 : Pmic_gpioGetValue : Parameter validation for pin</t>
  </si>
  <si>
    <t>PDK-6519 : MCU R5 VTM Maximum Temperature Out of Range Test</t>
  </si>
  <si>
    <t>VIM: Provide API to read back VIM registers</t>
  </si>
  <si>
    <t>SBL: PM Selective Power/Clock and Module ON/OFF</t>
  </si>
  <si>
    <t>Leo PMIC: Support for Voltage and Thermal Monitorring</t>
  </si>
  <si>
    <t>PDK-6488 : SBL: Boot time for Early CAN response</t>
  </si>
  <si>
    <t>PDK-7165 : Pmic_powerSetPwrResourceCfg : Test Output voltage slew rate for BUCK &amp; VMON for 5MV.</t>
  </si>
  <si>
    <t>TI-RTOS OSAL Support</t>
  </si>
  <si>
    <t>SA2UL Unit test supporting verification of sa2ul Encryption and Authentication modes</t>
  </si>
  <si>
    <t>PDK-6191 : Pmic_gpioSetConfiguration : configure a gpio pin as general purpose input/output function</t>
  </si>
  <si>
    <t>PDK-8321 : Pmic_setScratchPadValue : Parameter validation for handle.</t>
  </si>
  <si>
    <t>UART: Support Tx-only mode</t>
  </si>
  <si>
    <t>PDK-6173 : Pmic_rtcSetTimeDateInfo : Parameter range validation for day for leap year(year %4 = 0 ) and month = 2 (february)</t>
  </si>
  <si>
    <t>PDK-7138 : Pmic_powerSetPwrResourceCfg : Test Disable the Voltage monitor.</t>
  </si>
  <si>
    <t>PDK-7735 : SBL boots U-boot on J721E - OSPI boot</t>
  </si>
  <si>
    <t>SA2UL: SHA2-224 Support</t>
  </si>
  <si>
    <t>VHWA: DeQueue API- Behavior</t>
  </si>
  <si>
    <t>PDK-3475 : MCU NAVSS Blockcpy DDR to DDR in interrupt mode</t>
  </si>
  <si>
    <t>CSI2RX: FVID2 Queue API</t>
  </si>
  <si>
    <t>PDK-6159 : Pmic_rtcSetTimeDateInfo : Parameter validation for handle.</t>
  </si>
  <si>
    <t>Common: Manifest Document</t>
  </si>
  <si>
    <t>PDK-7695 : Pmic_fsmSetNsleepSignalMask : Test Mask Nsleep2.</t>
  </si>
  <si>
    <t>VHWA: VISS performance MUST be 600MP/s under system load</t>
  </si>
  <si>
    <t>PDK-7353 : Pmic_wdgGetErrorStatus : Get all watchdog error status</t>
  </si>
  <si>
    <t>PDK-4204 : NOR Flash diagnostic test</t>
  </si>
  <si>
    <t>PDK-3490 : MCU NAVSS Blockcpy DDR 1MB to DDR 1MB performance test</t>
  </si>
  <si>
    <t>CCM-VIM:API to enable self tests on the PULSAR VIM CCM</t>
  </si>
  <si>
    <t>Common: Profile - Release</t>
  </si>
  <si>
    <t>PDK-6093 : Pmic_rtcSetAlarmIntr : Parameter validation for meridienMode</t>
  </si>
  <si>
    <t>CSI2 TX : Support for multiple virtual channel</t>
  </si>
  <si>
    <t>PDK-3481 : MCU_NAVSS/BCDMA Blockcpy circular 1KB DDR to DDR 1MB ICNT2 TR event type test</t>
  </si>
  <si>
    <t>OSAL: RTOS: support for interrupt registration</t>
  </si>
  <si>
    <t>PDK-7222 : Pmic_powerSetCommonConfig: Test pgoodWindow uv and ov monitor enable</t>
  </si>
  <si>
    <t>PMIC: Driver shall configure thermal monitoring/shutdown of the PMIC</t>
  </si>
  <si>
    <t>PDK-4306 : VHWA NF 1280x720 12b packed to 12p packed YUV</t>
  </si>
  <si>
    <t>CSI2TX: DDR Clock on D-PHY clock lane</t>
  </si>
  <si>
    <t>PDK-6277 : LIN diagnostic test</t>
  </si>
  <si>
    <t>FVID2 CSI2-RX Driver Support</t>
  </si>
  <si>
    <t>All</t>
  </si>
  <si>
    <t>PDK-7268 : Pmic_powerSetThermalConfig: Test thermalShutdownThold as low</t>
  </si>
  <si>
    <t>PDK-3487 : Main_NAVSS/BCDMA 2D Blockcpy DDR 1MB to MSMC circular 1KB performance test</t>
  </si>
  <si>
    <t>PDK-8564 : Sciclient: Firewall API Test</t>
  </si>
  <si>
    <t>PMIC: Documentation template shall follow TI Processor SDK style</t>
  </si>
  <si>
    <t>IPC between A72 (BIOS) to MCU R5F (BIOS)</t>
  </si>
  <si>
    <t>DSS FVID2 Display Driver</t>
  </si>
  <si>
    <t>PDK-6197 : Pmic_gpioSetConfiguration : configure gpio pin as watchdog trigger function</t>
  </si>
  <si>
    <t>PDK-7904 : Pmic_gpioTps6594xNPwronPinGetValue : Gpio Tps6594x NPwron Get PinValue Test</t>
  </si>
  <si>
    <t>GPIO Driver migration to FreeRTOS on R5F</t>
  </si>
  <si>
    <t>Octal-SPI Driver Support</t>
  </si>
  <si>
    <t>PDK-6104 : Pmic_rtcSetAlarmIntr : Parameter range validation for day for leap year(year %4 = 0 ) and month = 2 (february)</t>
  </si>
  <si>
    <t>PDK-7375 : Pmic_irqMaskIntr/Pmic_irqGpioMaskIntr : UnMasking all interrupts test</t>
  </si>
  <si>
    <t>CSL-FL: DSS DPI Support</t>
  </si>
  <si>
    <t>SPS ID</t>
  </si>
  <si>
    <t>CSL-RL: Auto generated CSL register map</t>
  </si>
  <si>
    <t>PDK-6452 : UART Unit Test: UART non-DMA read API test in loopback mode</t>
  </si>
  <si>
    <t>Mailbox Interrupt Mode - MCU R5F</t>
  </si>
  <si>
    <t>VHWA: Queue API</t>
  </si>
  <si>
    <t>PDK-8009 : Pmic_esmSetInterrupt: Test to verify ESM MCU PWM Mode PIN, Fail and RST Interrupts</t>
  </si>
  <si>
    <t>PDK-7697 : Pmic_fsmSetMissionState : Test Set State to MCU.</t>
  </si>
  <si>
    <t>PDK-7174 : Pmic_powerSetPwrResourceCfg : Test Selects the resistor value for output pull-down resistor for LDO for 250Kohm</t>
  </si>
  <si>
    <t>DSS DPI Interface Support</t>
  </si>
  <si>
    <t>PDK-7712 : Pmic_irqGetErrStatus : Test I2C2_ADR_ERR_INT interrupt.</t>
  </si>
  <si>
    <t>Requirements To Testcase Case Summary</t>
  </si>
  <si>
    <t>PDK-3298 : IPC echo-test - Main R5F (Bios) to C7x (Bios)</t>
  </si>
  <si>
    <t>MSMC3.RAM-T1 - Software test of memory parity</t>
  </si>
  <si>
    <t>UDMA: Resource Management (RM) Init Parameters</t>
  </si>
  <si>
    <t>SBL: R5F Slave Boot Support</t>
  </si>
  <si>
    <t>PDK-6572 : OSPI_Flash_TestApp</t>
  </si>
  <si>
    <t>VHWA: DOF Pyramid</t>
  </si>
  <si>
    <t>PDK-3726 : Ring attach and detach API test case</t>
  </si>
  <si>
    <t>PDK-4312 : VHWA NF 1280x720 8b to 8p YUV Generic Filter</t>
  </si>
  <si>
    <t>PDK-4637 : Ring Monitor Low Threshold Mode test</t>
  </si>
  <si>
    <t>PDK-6090 : Pmic_rtcSetAlarmIntr : Parameter validation for seconds</t>
  </si>
  <si>
    <t>ECC: SW shall support enabling ECC diagnostic</t>
  </si>
  <si>
    <t>Leo PMIC: Support for ESM, RTC and WDT Programming</t>
  </si>
  <si>
    <t>VHWA: NF YUV420 format support</t>
  </si>
  <si>
    <t>PDK-7252 : Pmic_powerSetConfigPowerGood : Test pgoodSelType as voltage current</t>
  </si>
  <si>
    <t>PDK-7216 : Pmic_powerSetPwrResourceCfg : Parameter range validation for ldoRvTimeoutSel.</t>
  </si>
  <si>
    <t>CCM: read registers</t>
  </si>
  <si>
    <t>PDK-3557 : CSI2RX DRV: Bare-metal Sample Application</t>
  </si>
  <si>
    <t>PDK-7204 : Pmic_powerSetPwrResourceCfg : Test LDO residual voltage check timeout select for 2MS.</t>
  </si>
  <si>
    <t>PMIC: Driver shall read PMIC registers to decipher a Error Signal Monitor (ESM) Error</t>
  </si>
  <si>
    <t>Publish benchmarking data for OSPI, MMCSD from internally generated HTML</t>
  </si>
  <si>
    <t>PDK-7258 : Pmic_powerSetConfigPowerGood : Test pgoodSelType as VCCA</t>
  </si>
  <si>
    <t>UDMA: Raw De-Queue API</t>
  </si>
  <si>
    <t>PDK-7208 : Pmic_powerSetPwrResourceCfg : Test LDO residual voltage check timeout select for 4MS.</t>
  </si>
  <si>
    <t>MCASP: Support for Device Loopback mode</t>
  </si>
  <si>
    <t>UDMA: Init API</t>
  </si>
  <si>
    <t>PDK-3729 : Flow attach and detach API test case</t>
  </si>
  <si>
    <t>DSS Internal Color Bar Support</t>
  </si>
  <si>
    <t>SPI LLD: support programmable bit rate</t>
  </si>
  <si>
    <t>PDK-6096 : Pmic_rtcSetAlarmIntr : Negative test for hour = 0, when timeMode= 1</t>
  </si>
  <si>
    <t>Leo PMIC: Support for Interrupt Handling of the Leo PMIC</t>
  </si>
  <si>
    <t>VHWA: DOF 8-bit Packed Storage Format</t>
  </si>
  <si>
    <t>PDK-7287 : Pmic_powerSetIntr: Test Disable MCU_PWR_ERR interrupt</t>
  </si>
  <si>
    <t>PDK-3537 : DSS Display RTOS Common1 test</t>
  </si>
  <si>
    <t>PDK-7275 : Pmic_powerSetPwrRsrcIntr: Test Enable ILIM interrupt</t>
  </si>
  <si>
    <t>PDK-6725 : Test:  DDR software shall support runtime refresh rate modification based on temperature feedback</t>
  </si>
  <si>
    <t>PDK-6722 : SA2UL Unit test supporting verification of PKA ip in sa2ul</t>
  </si>
  <si>
    <t>PDK-7144 : Pmic_powerSetPwrResourceCfg : Test Select output voltage register for buck as VOUT2.</t>
  </si>
  <si>
    <t>PDK-3479 : MCU NAVSS Blockcpy DDR to DDR SW global 0 trigger test</t>
  </si>
  <si>
    <t>PDK-7715 : Pmic_irqGetErrStatus : Test BIST_PASS_INT interrupt</t>
  </si>
  <si>
    <t>PDK-3574 : McSPI DRV: Master Slave App</t>
  </si>
  <si>
    <t>CATREQ-1846,JACINTOREQ-455,PROC_SOC-58</t>
  </si>
  <si>
    <t>PDK-7349 : Pmic_wdgStartQaSequence : Test wdg QA sequences with different QA Question Seed values</t>
  </si>
  <si>
    <t>PDK-7256 : Pmic_powerSetConfigPowerGood : Test pgoodSelType as NRSTOUT SOC</t>
  </si>
  <si>
    <t>PDK-6166 : Pmic_rtcSetTimeDateInfo : Parameter validation for hour when timeMode= 1</t>
  </si>
  <si>
    <t>PDK-6248 : Pmic_gpioSetIntr-GPIO8 Fall Interrupt Test</t>
  </si>
  <si>
    <t>DSS BGR16-565 Format Support</t>
  </si>
  <si>
    <t>CSIRX: YUV422 dataformat Support</t>
  </si>
  <si>
    <t>PDK-6103 : Pmic_rtcSetAlarmIntr : Parameter range validation for day for months with 30 days</t>
  </si>
  <si>
    <t>VHWA: LDC YUV422 8b Packed to YUV422 8b packed Storage Format</t>
  </si>
  <si>
    <t>UDMA: Support High Capacity Blockcpy Channel</t>
  </si>
  <si>
    <t>PDK-7249 : Pmic_powerSetCommonConfig: Parameter validation for socRailTrig</t>
  </si>
  <si>
    <t>PDK-4305 : VHWA SDE 128x64 12b packed</t>
  </si>
  <si>
    <t>PDK-6224 : Pmic_gpioGetValue : Parameter validation for handle</t>
  </si>
  <si>
    <t>PDK-3491 : MCU NAVSS 2D Blockcpy MSMC circular 1KB to DDR 1MB performance test</t>
  </si>
  <si>
    <t>UDMA: TI-RTOS Support</t>
  </si>
  <si>
    <t>MMCSD: Support for SD: 1,4 bit modes</t>
  </si>
  <si>
    <t>PDK-6168 : Pmic_rtcSetTimeDateInfo : Negative test for hour = 0, when timeMode = 1</t>
  </si>
  <si>
    <t>PDK-5990 : Pmic_rtcSetAlarmIntr : Set RTC Alarm interrupt</t>
  </si>
  <si>
    <t>PDK-7160 : Pmic_powerSetPwrResourceCfg : Parameter validation for Power Resource for buckCurrentLimit.</t>
  </si>
  <si>
    <t>McSPI LLD: support full duplex and half duplex</t>
  </si>
  <si>
    <t xml:space="preserve">PDK-6223 : Pmic_gpioGetValue : Get GPIO signal level </t>
  </si>
  <si>
    <t>Board Library Support</t>
  </si>
  <si>
    <t>PDK-7566 : IPC echo-test - A72 (Linux) to MCU R5F (BIOS) BTCM Test</t>
  </si>
  <si>
    <t>[CSL SERDES] - Support for XAUI in Sierra serdes</t>
  </si>
  <si>
    <t>PDK-7175 : Pmic_powerSetPwrResourceCfg : Test Selects the resistor value for output pull-down resistor for LDO for 500Kohm</t>
  </si>
  <si>
    <t>SBL: support booting both RTOS and HLOS images in SD/MMC boot</t>
  </si>
  <si>
    <t>PDK-6565 : MCSPI_Baremetal_MasterSlave_Dma_TestApp</t>
  </si>
  <si>
    <t>CSL-FL: EMIF Support</t>
  </si>
  <si>
    <t>CSL-FL: ADC Support</t>
  </si>
  <si>
    <t>PROCESSOR_SDK_07.01.00,PROCESSOR_SDK_07.03.00,PROCESSOR_SDK_AM64x_01.00.00,PROCESSOR_SDK_08.00.00</t>
  </si>
  <si>
    <t>PDK-4709 : VHWA VISS performance test</t>
  </si>
  <si>
    <t>PDK-3640 : CSI2RX DRV Test: multiple driver instances running simultaneously</t>
  </si>
  <si>
    <t>UDMA: Raw De-Queue Teardown API</t>
  </si>
  <si>
    <t>PDK-3313 : DSS Display RTOS YUV422I-YUYV buffer test on mcu2_0</t>
  </si>
  <si>
    <t>PDK-3260 : UDMA InDirect DRU Example</t>
  </si>
  <si>
    <t>UDMA: Raw Queue API</t>
  </si>
  <si>
    <t>CSI2RX: Error Callback Notification</t>
  </si>
  <si>
    <t>PDK-4733 : Test BT601 output</t>
  </si>
  <si>
    <t>UDMA: Structure Init APIs</t>
  </si>
  <si>
    <t>PDK-6711 : SA2UL  SHA2-384 Support</t>
  </si>
  <si>
    <t>PDK-6450 : UART Unit Test: DMA read write test in block mode</t>
  </si>
  <si>
    <t>PDK-6199 : Pmic_gpioSetConfiguration : configure gpio pin 7 as ESM Error Pins for MCU</t>
  </si>
  <si>
    <t>[CSIRX DRV]Capture driver shall support run-time adding/removing of channels</t>
  </si>
  <si>
    <t>No TC Mapping</t>
  </si>
  <si>
    <t>PDK-7338 : Pmic_wdgSetCfg : Parameter validation for qaLfsr max value</t>
  </si>
  <si>
    <t>PDK-7136 : Pmic_powerSetPwrResourceCfg : Parameter validation for Power Resource for buckPullDownEn.</t>
  </si>
  <si>
    <t>PDK-7285 : Pmic_powerSetIntr: Test Disable SOC_PWR_ERR interrupt</t>
  </si>
  <si>
    <t>PDK-9429 : FreeRTOS Task Switch Example</t>
  </si>
  <si>
    <t>PDK-7771 : Pmic_esmStart: Parameter validation for handle</t>
  </si>
  <si>
    <t>R5:Core: SW shall provide API to setup and control PULSAR RAT</t>
  </si>
  <si>
    <t>PDK-3742 : mcu navss mcrc ch4 full cpu 720p framesize</t>
  </si>
  <si>
    <t>CSI2RX: D-PHY Configuration API</t>
  </si>
  <si>
    <t>PDK-3486 : Main_NAVSS/BCDMA 2D Blockcpy MSMC circular 1KB to DDR 1MB performance test</t>
  </si>
  <si>
    <t>PDK-6229 : Pmic_gpioSetValue : Parameter validation for pin</t>
  </si>
  <si>
    <t>PDK-4136 : Boot EEPROM diagnostic test</t>
  </si>
  <si>
    <t>CSL-FL: MCAN (CAN-FD) Support</t>
  </si>
  <si>
    <t>OSAL:BAREMETAL: Cache operations must be supported</t>
  </si>
  <si>
    <t>McSPI Driver migration to FreeRTOS on R5F</t>
  </si>
  <si>
    <t>PDK-7173 : Pmic_powerSetPwrResourceCfg : Test Selects the resistor value for output pull-down resistor for LDO for 125Kohm</t>
  </si>
  <si>
    <t>R5:Core: SW shall provide a self-test of MPU</t>
  </si>
  <si>
    <t>PDK-3734 : mcu navss mcrc full cpu 720p framesize</t>
  </si>
  <si>
    <t>PDK-3533 : CSI2RX DRV Test: data on N lanes support</t>
  </si>
  <si>
    <t>PDK-8041 : Pmic_irqGetErrStatus: Test to Clear all interrupts</t>
  </si>
  <si>
    <t>PDK-6245 : Pmic_gpioSetIntr-GPIO6 Rise Interrupt Test</t>
  </si>
  <si>
    <t>PDK-7181 : Pmic_powerSetPwrResourceCfg : Test Voltage level in miliVolts for regulators</t>
  </si>
  <si>
    <t>CSI2TX: Pixel Data Transmission</t>
  </si>
  <si>
    <t>LBIST:  Test code shall support running LBIST</t>
  </si>
  <si>
    <t>McSPI LLD: support fifo mode</t>
  </si>
  <si>
    <t>CSL-FL: GPIO Support</t>
  </si>
  <si>
    <t>CSI2TX: CSI2 v1.3 Protocol Support</t>
  </si>
  <si>
    <t>FAT Filesystem with eMMC/SD Support</t>
  </si>
  <si>
    <t>PDK-6567 : MCSPI_MasterSlave_Dma_TestApp</t>
  </si>
  <si>
    <t>ESM: SW shall provide API and  sample code to demonstrate ESM functions and diagnostics</t>
  </si>
  <si>
    <t xml:space="preserve">PDK-10272 : OSAL Unit Test: Load test </t>
  </si>
  <si>
    <t>PDK-3295 : IPC echo-test - A72 (Bios) to C7x (Bios)</t>
  </si>
  <si>
    <t>PDK-4286 : PM: System Config Test</t>
  </si>
  <si>
    <t>PDK-7267 : Pmic_powerSetThermalConfig: Test thermalWarnThold as high</t>
  </si>
  <si>
    <t>CATREQ-539,PROC_SOC-58,PROC_SOC-161,JACINTOREQ-457</t>
  </si>
  <si>
    <t>PDK-7137 : Pmic_powerSetPwrResourceCfg : Test Enable the Voltage monitor.</t>
  </si>
  <si>
    <t>PDK-7302 : Pmic_powerGetConfigPowerGood : Parameter validation for handle</t>
  </si>
  <si>
    <t>PDK-6196 : Pmic_gpioSetConfiguration : configure gpio pin 2 as SPI SDO function</t>
  </si>
  <si>
    <t>SBL: Run with Cache enabled</t>
  </si>
  <si>
    <t>PDK-7841 : Pmic_esmSetInterrupt: Test to verify ESM MCU PWM Mode PIN Interrupt</t>
  </si>
  <si>
    <t>CSL-FL: CSI2-TX SHIM/PSI-L</t>
  </si>
  <si>
    <t>PDK-7736 : SBL boots Linux on J721E - OSPI boot</t>
  </si>
  <si>
    <t>CSL: Need API to set PMU counter value</t>
  </si>
  <si>
    <t>PDK-7220 : Pmic_powerSetCommonConfig: Parameter validation for handle</t>
  </si>
  <si>
    <t>Board_Lib: CSI Multi-channel support with J6 Fusion 1 board</t>
  </si>
  <si>
    <t>OSAL: RTOS: Support for Queue Operations</t>
  </si>
  <si>
    <t>PDK-7292 : Pmic_powerSetIntr: Test Enable NRSTOUT_SOC_READBACK interrupt</t>
  </si>
  <si>
    <t>PROCESSOR_SDK_07.01.00,PROCESSOR_SDK_07.00.00,PDK_J7_00.05.00_EA5,PDK_J7_00.08.00_EA8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AM64x_00.01.01,PROCESSOR_SDK_08.00.00</t>
  </si>
  <si>
    <t>PDK-4309 : VHWA NF 1920x1080 8b to 8b Chroma only</t>
  </si>
  <si>
    <t>PDK-6219 : Pmic_gpioGetConfiguration : Get required gpio pin configuration</t>
  </si>
  <si>
    <t>PDK-7637 : Pmic_getRecoveryCnt : Read Recovery Count Value.</t>
  </si>
  <si>
    <t xml:space="preserve">PDK-5024 : Baremetal OSAL Unit Test: Cache test </t>
  </si>
  <si>
    <t>PDK-7241 : Pmic_powerSetCommonConfig: Test mcuRailTrig as mcu power error</t>
  </si>
  <si>
    <t>PDK-6585 : MMCSD_EMMC_Regression_TestApp</t>
  </si>
  <si>
    <t>PDK-4131 : On-board JTAG verification</t>
  </si>
  <si>
    <t>OSAL: BAREMETAL: Cache operations must comprehend coherency and cpu/dma partner</t>
  </si>
  <si>
    <t>IPC between MCU R5F (BIOS) to C7x (BIOS)</t>
  </si>
  <si>
    <t>I2C LLD: support start/restart/stop</t>
  </si>
  <si>
    <t>PDK-3543 : DSS Display RTOS Image Flip test</t>
  </si>
  <si>
    <t>CSL-FL: ECC_AGGR Support</t>
  </si>
  <si>
    <t>IPC LLD shall support use case of MPU/Linux and MCU/Baremetal IPC LLD</t>
  </si>
  <si>
    <t>VHWA: VISS Two exposure merge</t>
  </si>
  <si>
    <t>PDK-3255 : Main NAVSS UDMA chaining Example on mpu1_0</t>
  </si>
  <si>
    <t>Board_Utils: Uniflash HyperFlash Programmer</t>
  </si>
  <si>
    <t>VIM: SW to provide sample DED interrupt vector</t>
  </si>
  <si>
    <t>MMCSD: Support for eMMC: DDR mode</t>
  </si>
  <si>
    <t>McSPI: FIFO Tirgger level in DMA mode</t>
  </si>
  <si>
    <t>UDMA: Need to support ring event in Udma_EventType</t>
  </si>
  <si>
    <t>VHWA: SDE 12b packed Storage Format</t>
  </si>
  <si>
    <t>CSI2TX: FVID2 Driver Callback API</t>
  </si>
  <si>
    <t>PDK-7297 : Pmic_powerSetLdoRtc : Test Enable ldortcRegulator</t>
  </si>
  <si>
    <t>PDK-2902 : SCI: Sanity tests for different contexts</t>
  </si>
  <si>
    <t>PDK-6206 : Pmic_gpioSetConfiguration : configure gpio pin 10 as CLK32KOUT function</t>
  </si>
  <si>
    <t>UART: test different parity types</t>
  </si>
  <si>
    <t>PDK-4291 : McASP Audio Loopback Test  - C66x</t>
  </si>
  <si>
    <t>PDK-6182 : Pmic_rtcGetFreqComp : Test RTC get RTC frequency compensation</t>
  </si>
  <si>
    <t>OSAL: BAREMETAL Support for Semaphore operations</t>
  </si>
  <si>
    <t>CSI2RX: RAW Direct Memory Capture</t>
  </si>
  <si>
    <t>[VTM] SBL shall program the TSHUT values during boot</t>
  </si>
  <si>
    <t>CSL-FL: UART Support</t>
  </si>
  <si>
    <t>DSS Global Alpha Support</t>
  </si>
  <si>
    <t>CSL-FL: OSPI Support</t>
  </si>
  <si>
    <t>UART: support different character length</t>
  </si>
  <si>
    <t>PDK-4636 : Ring Monitor Push and Pop Mode test</t>
  </si>
  <si>
    <t>PDK-7149 : Pmic_powerSetPwrResourceCfg : Test Select Multi phase with PWM Mode for BUCK</t>
  </si>
  <si>
    <t>DSS driver baremetal Support</t>
  </si>
  <si>
    <t>PDK-7634 : Pmic_getRecoveryCntCfg : Parameter validation for recovCntCfg.</t>
  </si>
  <si>
    <t>PDK-6162 : Pmic_rtcSetTimeDateInfo : Parameter validation for seconds.</t>
  </si>
  <si>
    <t>CSL-FL: CLEC (MSMC) Support</t>
  </si>
  <si>
    <t>DSS DCTRLDRV: Create API Support</t>
  </si>
  <si>
    <t>Count</t>
  </si>
  <si>
    <t>PDK-6564 : GPIO_Baremetal_LedBlink_TestApp</t>
  </si>
  <si>
    <t>[UDMA] Support UDMA Flow ID Out of Range Exception Event Registration</t>
  </si>
  <si>
    <t>PDK-7250 : Pmic_powerSetCommonConfig: Parameter validation for mcuRailTrig</t>
  </si>
  <si>
    <t>PDK-7278 : Pmic_powerSetPwrRsrcIntr: Parameter validation for intrType</t>
  </si>
  <si>
    <t>PDK-6192 : Pmic_gpioSetConfiguration : configure gpio pin 1 as I2C2 SCLK function</t>
  </si>
  <si>
    <t>VIM-TEST: SW shall provide examples of the VIM diagnostic features</t>
  </si>
  <si>
    <t>UDMA: Channel Disable API</t>
  </si>
  <si>
    <t>Every register write should not have Barrier instruction</t>
  </si>
  <si>
    <t>PMIC: Driver shall read PMIC registers to decipher a Watchdog Error</t>
  </si>
  <si>
    <t>DSS DCTRLDRV: Delete API Support</t>
  </si>
  <si>
    <t>CSI2RX: Packing of Pixel Data</t>
  </si>
  <si>
    <t>PDK-4253 : DCC csl example</t>
  </si>
  <si>
    <t>UDMA: RM Behavior - Any or specific resource</t>
  </si>
  <si>
    <t>Completely Satisfied</t>
  </si>
  <si>
    <t>UDMA: Address Translation Callback</t>
  </si>
  <si>
    <t>UDMA: Intermediate Completion Event Support</t>
  </si>
  <si>
    <t>PROCESSOR_SDK_08.00.00</t>
  </si>
  <si>
    <t>Platform</t>
  </si>
  <si>
    <t>PDK-7798 : Pmic_esmGetErrCnt: Parameter validation for handle</t>
  </si>
  <si>
    <t>PDK-7348 : Pmic_wdgStartQaSequence : Test wdg QA sequences with different QA LFSR values</t>
  </si>
  <si>
    <t>PMIC: Driver shall provide an API to query the error recovery count</t>
  </si>
  <si>
    <t>PDK-7797 : Pmic_esmGetErrCnt: Test to read the current ESM SOC Error Count Value</t>
  </si>
  <si>
    <t>OSPI throughput improvement</t>
  </si>
  <si>
    <t>PDK-9449 : DSS M2M DRV: Sample Application</t>
  </si>
  <si>
    <t>Category</t>
  </si>
  <si>
    <t>Leo PMIC: Support for programming Buck and LDO voltage for AVS Class 0</t>
  </si>
  <si>
    <t>INFRASTRUCTURE: SW shall support configuring/initializing the CBASS</t>
  </si>
  <si>
    <t>PDK-3733 : Print Data Structure size test case</t>
  </si>
  <si>
    <t>PDK-7299 : Pmic_powerGetPwrResourceCfg : Parameter validation for handle</t>
  </si>
  <si>
    <t>PDK-6213 : Pmic_gpioSetConfiguration : Gpio pin configuration validation for pinDir</t>
  </si>
  <si>
    <t>IPC between Main R5F (BIOS) to MCU R5F (BIOS)</t>
  </si>
  <si>
    <t>VHWA: NF skip feature</t>
  </si>
  <si>
    <t>PDK-3897 : VHWA DOF 2040x1024 12b packed</t>
  </si>
  <si>
    <t>PDK-2904 : Sciclient: Sciclient init/de-init</t>
  </si>
  <si>
    <t>PDK-3250 : MCU NAVSS UDMA block copy on mcu1_0</t>
  </si>
  <si>
    <t>VHWA: FVID2 Interface</t>
  </si>
  <si>
    <t>SBL: Boot profiling</t>
  </si>
  <si>
    <t>PDK-2905 : Sciclient: Sciclient handling multiple tasks .</t>
  </si>
  <si>
    <t>PDK-6205 : Pmic_gpioSetConfiguration : configure gpio pin as CLK32KOUT function</t>
  </si>
  <si>
    <t>PDK-7157 : Pmic_powerSetPwrResourceCfg : Test Switch peak current limit for BUCK regulator for 4.5Amp.</t>
  </si>
  <si>
    <t>PDK-3895 : McASP Device Loopback Test - C66x</t>
  </si>
  <si>
    <t>Board_Diag: Media Local Bus(MLB) Diagnostic Functional Test</t>
  </si>
  <si>
    <t>PDK-6772 : PMIC Driver sources and user guide is independent of Processor SDK</t>
  </si>
  <si>
    <t>PDK-4259 : I2C EEPROM Baremetal Test</t>
  </si>
  <si>
    <t>[Udma] Udma resource manager should populate resource table by query sysFw board config</t>
  </si>
  <si>
    <t>PDK-7465 : Pmic_getRtcStatus : Parameter validation for handle</t>
  </si>
  <si>
    <t>PDK-7630 : Pmic_SetRecoveryCntCfg : Test Set Clear Recovery Counter.</t>
  </si>
  <si>
    <t>PDK-7286 : Pmic_powerSetIntr: Test Enable MCU_PWR_ERR interrupt</t>
  </si>
  <si>
    <t>PDK-6721 : SA2UL: SA LLD shall support programming of TRNG</t>
  </si>
  <si>
    <t>OSAL: RTOS: Support for delay operation</t>
  </si>
  <si>
    <t>PDK-3511 : Ring parameter check test</t>
  </si>
  <si>
    <t>UDMA: Main NAVSS Instance Support</t>
  </si>
  <si>
    <t>FVID2 DMPAC DOF Driver Support</t>
  </si>
  <si>
    <t>UART: support input error handling (break, parity, overrun and frame errors)</t>
  </si>
  <si>
    <t>DSS Video Source Transparency ColorKeying</t>
  </si>
  <si>
    <t>SA2UL: SA LLD shall support programming of TRNG</t>
  </si>
  <si>
    <t>PDK-8230 : Pmic_rtcEnableTimer_Alarm_Intr : Stress test for RTC alarm and timer interrupt</t>
  </si>
  <si>
    <t>PDK-7171 : Pmic_powerSetPwrResourceCfg : Parameter range validation for buckVmonSlewRate.</t>
  </si>
  <si>
    <t>CSL-FL: GIC Support</t>
  </si>
  <si>
    <t>PMIC: Driver source code architecture shall support multiple PMICs</t>
  </si>
  <si>
    <t>PDK-4657 : Uniflash eMMC flash writer verification</t>
  </si>
  <si>
    <t>MMCSD: Support for SD UHS-I card at 1.8V</t>
  </si>
  <si>
    <t>PDK-3516 : Main_NAVSS/BCDMA Blockcpy MSMC to MSMC in interrupt mode</t>
  </si>
  <si>
    <t>PDK-3483 : MCU NAVSS Blockcpy MSMC to MSMC in interrupt mode</t>
  </si>
  <si>
    <t>Board_Diag: JTAG Diagnostic Functional Test</t>
  </si>
  <si>
    <t>SBL: Updates for SYSFW Re-arch</t>
  </si>
  <si>
    <t>CSL-FL: CSI2-RX Support</t>
  </si>
  <si>
    <t>PDK-3638 : CSI2RX DRV Test: stability test</t>
  </si>
  <si>
    <t>Board_Diag: RTC Diagnostic Functional Test</t>
  </si>
  <si>
    <t>PDK-3262 : Main NAVSS UDMA ADC Example on mpu1_0</t>
  </si>
  <si>
    <t>PDK-3918 : VISS for three frame merge and YUV422 and AF output</t>
  </si>
  <si>
    <t>UDMA: Utility API for TR Response Check</t>
  </si>
  <si>
    <t>Common: API Guide Documentation using Doxygen</t>
  </si>
  <si>
    <t>JACINTOREQ-1086,JACINTOREQ-1087</t>
  </si>
  <si>
    <t>McSPI LLD: Programmable chip select device delay</t>
  </si>
  <si>
    <t>Board: DDR software shall use EMIF/LPDDR chip support library</t>
  </si>
  <si>
    <t>DDR Boot Time Optimizations</t>
  </si>
  <si>
    <t/>
  </si>
  <si>
    <t>PDK-6221 : Pmic_gpioGetConfiguration : Parameter validation for pin</t>
  </si>
  <si>
    <t>PDK-3254 : MCU NAVSS UDMA chaining Example on mcu1_0</t>
  </si>
  <si>
    <t>CSL-FL: DSS eDP Support</t>
  </si>
  <si>
    <t>PM: Support for finding the current frequency of the peripheral or CPU clock.</t>
  </si>
  <si>
    <t>PDK-3306 : DSS Display baremetal test on mcu2_0</t>
  </si>
  <si>
    <t>UART: Support callback mode</t>
  </si>
  <si>
    <t>PDK-7772 : Pmic_esmEnable: Test to Enable and Disable ESM MCU</t>
  </si>
  <si>
    <t>PDK-6718 : SA2UL  GCM core Support</t>
  </si>
  <si>
    <t>PDK-4308 : VHWA NF 1920x1080 8b to 8b Luma only</t>
  </si>
  <si>
    <t>MMCSD: Support for UHS-I: SDR50</t>
  </si>
  <si>
    <t>PDK-6179 : Pmic_rtcGetTimeDateInfo : Parameter validation for dataCfg</t>
  </si>
  <si>
    <t>PDK-7284 : Pmic_powerSetIntr: Test Enable SOC_PWR_ERR interrupt</t>
  </si>
  <si>
    <t>MMCSD: Support for DMA mode of operation</t>
  </si>
  <si>
    <t>PDK-6503 : SBL for J721E supported functions - XIP test</t>
  </si>
  <si>
    <t>PDK-3917 : VISS for three frame merge and 12bit YUV420 output and RGB24 output</t>
  </si>
  <si>
    <t>CSL-FL: McSPI Support</t>
  </si>
  <si>
    <t>CSI2RX: FVID2 De-Queue API</t>
  </si>
  <si>
    <t>PDK-6714 : SA2UL  SHA2-256 Support</t>
  </si>
  <si>
    <t>PDK-7150 : Pmic_powerSetPwrResourceCfg : Test Select AUTO Mode with Automatic phase adding and shedding for BUCK</t>
  </si>
  <si>
    <t>PROCESSOR_SDK_07.01.00,PROCESSOR_SDK_07.03.00,PROCESSOR_SDK_08.00.00</t>
  </si>
  <si>
    <t>PDK-3508 : Ring flush API test case</t>
  </si>
  <si>
    <t>PDK-6266 : Pmic_rtcEnableTimerIntr : Test rtc timer interrupt</t>
  </si>
  <si>
    <t>PDK-8324 : Pmic_getScratchPadValue : Parameter validation for handle.</t>
  </si>
  <si>
    <t>PDK-7896 : PBIST: Unit test case</t>
  </si>
  <si>
    <t>NF - Vision HWA Driver migration to FreeRTOS on R5F</t>
  </si>
  <si>
    <t>PDK-6217 : Pmic_gpioSetConfiguration-Gpio pin configuration validation for pinFunc</t>
  </si>
  <si>
    <t>PMIC: Driver shall support an application registered call table for the PMIC I2C interface using TI I2C LLD API</t>
  </si>
  <si>
    <t>PDK-7345 : Pmic_wdgStartQaSequence : Parameter validation for handle</t>
  </si>
  <si>
    <t>%</t>
  </si>
  <si>
    <t>JACINTOREQ-441,CATREQ-541</t>
  </si>
  <si>
    <t>SBL: PM PLL setup as per device OPP</t>
  </si>
  <si>
    <t>PDK-6575 : UART_DMA_SMP_TestApp</t>
  </si>
  <si>
    <t>PDK-7134 : Pmic_powerSetPwrResourceCfg : Test Enable buck pull down checking for Buck regulator</t>
  </si>
  <si>
    <t>MMCSD: Support for UHS-I: SDR12</t>
  </si>
  <si>
    <t>VHWA: LDC Driver Chroma only mode</t>
  </si>
  <si>
    <t>UDMA: Get Completion Queue Ring API</t>
  </si>
  <si>
    <t>VHWA: LDC performance MUST be 600MP/s under system load</t>
  </si>
  <si>
    <t>PDK-6242 : Pmic_gpioSetIntr-GPIO5 Fall Interrupt Test</t>
  </si>
  <si>
    <t>PDK-6576 : UART_DMA_TestApp</t>
  </si>
  <si>
    <t>PDK-6713 : SA2UL SHA2-224 Support</t>
  </si>
  <si>
    <t>PDK-8016 : Pmic_fsmSetMissionState : RTC Wakeup using Alarm Interrupt using Standby State</t>
  </si>
  <si>
    <t>MMCSD: Unit test should output benchmarks</t>
  </si>
  <si>
    <t xml:space="preserve">PDK-5027 : OSAL Unit Test: delay test </t>
  </si>
  <si>
    <t>PDK-7288 : Pmic_powerSetIntr: Test Enable ORD_SHUTDOWN interrupt</t>
  </si>
  <si>
    <t>[UDMA] OSAL dependency should be configurable at init time</t>
  </si>
  <si>
    <t>PROCESSOR-CORESDK : Requirement to Test Traceability Report</t>
  </si>
  <si>
    <t>PDK-3916 : VISS for two frame merge and Dual YUV420 output and Saturation Output</t>
  </si>
  <si>
    <t>UDMA: C66x Core Support</t>
  </si>
  <si>
    <t>Board_Diag: HyperFlash Diagnostic Functional Test</t>
  </si>
  <si>
    <t>Board_Diag: LED Diagnostic Functional Test</t>
  </si>
  <si>
    <t>ESM: Selftest API need to be supported for ESM module.</t>
  </si>
  <si>
    <t>DSS Video Pipeline Crop Support</t>
  </si>
  <si>
    <t>PDK-3562 : MMC SD raw access test app with DMA using ti rtos</t>
  </si>
  <si>
    <t>PDK-7232 : Pmic_powerSetCommonConfig: Test otherRailTrig as oderly shutdown</t>
  </si>
  <si>
    <t>PDK-6518 : MCU R5 VTM Temperature Alert Test</t>
  </si>
  <si>
    <t>PDK-6210 : Pmic_gpioSetConfiguration : Parameter validation for handle</t>
  </si>
  <si>
    <t>PDK-2901 : SCI :Set board configuration</t>
  </si>
  <si>
    <t>INFRASTRUCTURE: SW shall support readback of written configuration</t>
  </si>
  <si>
    <t>SBL: MMCSD Boot Media Support</t>
  </si>
  <si>
    <t>PDK-4130 : External JTAG verification</t>
  </si>
  <si>
    <t>DSS Writeback Pipeline Support</t>
  </si>
  <si>
    <t>VHWA: MSC performance MUST be 600MP/s under system load</t>
  </si>
  <si>
    <t>PDK-3502 : DRU Indirect 2D Blockcpy MSMC circular 1KB to DDR 1MB performance test</t>
  </si>
  <si>
    <t>PDK-3252 : MCU NAVSS UDMA CRC Example on mcu1_0</t>
  </si>
  <si>
    <t>PDK-6510 : MCU R5 RTI Digital Window Watch dog test</t>
  </si>
  <si>
    <t>PDK-4103 : Main NAVSS 2D HC Blockcpy MSMC circular 1KB to MSMC circular 1KB performance test</t>
  </si>
  <si>
    <t>DSS DISPDRV: Delete API Support</t>
  </si>
  <si>
    <t>PMIC: Driver shall configure and enable the ESM_MCU and ESC_SoC error monitors</t>
  </si>
  <si>
    <t>VHWA: DOF Temporal input</t>
  </si>
  <si>
    <t>CSL-FL: Proxy/Sec Proxy Support</t>
  </si>
  <si>
    <t>SCICLIENT:PM: Expose PM SCI Message core structures.</t>
  </si>
  <si>
    <t>SCICLIENT: Check DMSC Firmware Boot Status</t>
  </si>
  <si>
    <t>PDK-7212 : Pmic_powerSetPwrResourceCfg : Test LDO residual voltage check timeout select for 12MS.</t>
  </si>
  <si>
    <t>PDK-7239 : Pmic_powerSetCommonConfig: Test mcuRailTrig as Immediate shutdown</t>
  </si>
  <si>
    <t>PDK-7191 : Pmic_powerSetPwrResourceCfg : Parameter validation for Power Resource for railGrpSel.</t>
  </si>
  <si>
    <t>PDK-9430 : FreeRTOS Unit Test</t>
  </si>
  <si>
    <t>SPI LLD: Support DMA mode</t>
  </si>
  <si>
    <t>PDK-3925 : LDC for 1MP 8bit packed YUV422 input and YUV420 output</t>
  </si>
  <si>
    <t>PMIC: Driver shall read PMIC registers to decipher a GPIO detection</t>
  </si>
  <si>
    <t>PDK-7210 : Pmic_powerSetPwrResourceCfg : Test LDO residual voltage check timeout select for 8MS.</t>
  </si>
  <si>
    <t>PDK-6186 : Pmic_gpioSetConfiguration : configure a gpio pin as NSLEEP2 function</t>
  </si>
  <si>
    <t>PDK-7293 : Pmic_powerSetIntr: Test Disable NRSTOUT_SOC_READBACK interrupt</t>
  </si>
  <si>
    <t>PDK-8239 : test_pmic_rtc_testWakeup_TimerIntr_lpStandbyState  : Stress test for pmic sleep and wakeup</t>
  </si>
  <si>
    <t>PDK-7180 : Pmic_powerSetPwrResourceCfg : Parameter validation for Power Resource for ldoSlowRampEn.</t>
  </si>
  <si>
    <t>RTI-WWDT: SW shall provide API to initialize WWDT</t>
  </si>
  <si>
    <t>PROC_SOC-1043,JACINTOREQ-833</t>
  </si>
  <si>
    <t>CSI-Tx Driver migration to FreeRTOS on R5F</t>
  </si>
  <si>
    <t>UDMA: Channel Chaining</t>
  </si>
  <si>
    <t>FVID2 CSI2-TX Driver Support</t>
  </si>
  <si>
    <t>DSS DISPDRV: Video Pipe Mflag Config IOCTL Support</t>
  </si>
  <si>
    <t>IPC between A72 (BIOS) to C66x (BIOS)</t>
  </si>
  <si>
    <t># of TC Passed</t>
  </si>
  <si>
    <t>PDK-3500 : DRU Indirect Blockcpy DDR to DDR in interrupt mode</t>
  </si>
  <si>
    <t>FVID2 VPAC MSC Driver Support</t>
  </si>
  <si>
    <t>MMCSD: Support for polling mode</t>
  </si>
  <si>
    <t>SA2UL: AES core Support</t>
  </si>
  <si>
    <t>PDK-3310 : DSS Display RTOS RGB24 buffer test with 1080p on mcu2_0</t>
  </si>
  <si>
    <t>PMIC: Driver shall support TPS6594x (Leo)</t>
  </si>
  <si>
    <t>ECC: SW shall provide API to read registers</t>
  </si>
  <si>
    <t>RTI-WWDT: SW shall provide API to read status of WWDT</t>
  </si>
  <si>
    <t>Multiple Independent Display Support</t>
  </si>
  <si>
    <t>VHWA: NF Driver Luma only mode</t>
  </si>
  <si>
    <t>PDK-7784 : Pmic_esmSetConfiguration: Parameter validation for esmDelay1</t>
  </si>
  <si>
    <t>PDK-3530 : Main NAVSS UDMA block copy on C66x</t>
  </si>
  <si>
    <t>ECC: SW shall provide API to handle interrupts</t>
  </si>
  <si>
    <t>OS(s)</t>
  </si>
  <si>
    <t>UDMA: Global Event Handle</t>
  </si>
  <si>
    <t>PDK-7727 : Pmic_powerGetPwrThermalStat:  Parameter validation for pPwrThermalStatCfg.</t>
  </si>
  <si>
    <t>PDK-3540 : DSS Display RTOS Overlay4 and VP4 test</t>
  </si>
  <si>
    <t>UDMA: DRU Submit TR API</t>
  </si>
  <si>
    <t>SBL: Multi-core App Image Format Support</t>
  </si>
  <si>
    <t>PDK-3458 : CSI2RX DRV: Sample Application</t>
  </si>
  <si>
    <t>PDK-3538 : DSS Display RTOS Frame Freeze test</t>
  </si>
  <si>
    <t xml:space="preserve">PDK-8057 : Baremetal NF TestApp: 1280x720 YUV 12b packed input/output </t>
  </si>
  <si>
    <t>DSS M2M: Scaling</t>
  </si>
  <si>
    <t>PDK-4711 : VHWA SDE performance test</t>
  </si>
  <si>
    <t>SBL: support booting SPL/U-boot on Cortex-A cores in SD/MMC boot</t>
  </si>
  <si>
    <t>PDK-7777 : Pmic_esmGetEnableState: Parameter validation for handle</t>
  </si>
  <si>
    <t>PDK-7183 : Pmic_powerSetPwrResourceCfg : Parameter range validation for voltage_mV.</t>
  </si>
  <si>
    <t>PDK-6268 : Pmic_rtcEnableTimerIntr :  Parameter validation for handle</t>
  </si>
  <si>
    <t>UDMA: Channel Open API</t>
  </si>
  <si>
    <t>PMIC: Driver shall compile via make (Linux) and XDC gmake (Windows)</t>
  </si>
  <si>
    <t>ALGDMAUTILS: Auto-increment use case in 2D Support</t>
  </si>
  <si>
    <t>PMIC: Driver shall support SPI interface</t>
  </si>
  <si>
    <t>PDK-4303 : VHWA SDE 1280x720 12b packed</t>
  </si>
  <si>
    <t>PDK-7782 : Pmic_esmSetConfiguration: Test to configure ESM SOC in PWM Mode</t>
  </si>
  <si>
    <t>Copyright ©2021 Texas Instruments Incorporated</t>
  </si>
  <si>
    <t>DDR software shall support runtime refresh rate modification based on temperature feedback</t>
  </si>
  <si>
    <t>PROCESSOR_SDK_07.01.00,PROCESSOR_SDK_07.03.00,PROCESSOR-CORESDK-SAFETY_07.02.00,PROCESSOR_SDK_08.00.00,PMIC-FSQ_07.02.00</t>
  </si>
  <si>
    <t>PDK-3246 : Main NAVSS UDMA block copy on mpu1_0</t>
  </si>
  <si>
    <t>PDK-3521 : VHWA MSC Instance 0 Luma 12b packed 10 output</t>
  </si>
  <si>
    <t>PDK-3329 : Testcases verified by RTOS and MCAL drivers</t>
  </si>
  <si>
    <t>PDK-4107 : MCU NAVSS 2D HC Blockcpy MSMC circular 1KB to DDR 1MB performance test</t>
  </si>
  <si>
    <t>PDK-7361 : Pmic_fsmDeviceOffRequestCfg : Parameter validation for eventType</t>
  </si>
  <si>
    <t>PDK-7215 : Pmic_powerSetPwrResourceCfg : Parameter validation for Power Resource for ldoRvTimeoutSel.</t>
  </si>
  <si>
    <t>PDK-6122 : Pmic_rtcEnable : Parameter validation for handle</t>
  </si>
  <si>
    <t>PDK-3519 : VHWA MSC Instance 0 YUV420 12b packed 10 output</t>
  </si>
  <si>
    <t>OSPI: Support indirect access mode and polling mode</t>
  </si>
  <si>
    <t>PDK-7280 : Pmic_powerSetIntr: Test Enable TWARN interrupt</t>
  </si>
  <si>
    <t>PDK-3505 : DRU Indirect Blockcpy DDR 1MB to DDR 1MB from multiple tasks</t>
  </si>
  <si>
    <t>Udma_ringHwDequeueRaw to dequeue from FQ after TD</t>
  </si>
  <si>
    <t>GPIO LLD: support interrupt mode</t>
  </si>
  <si>
    <t>PDK-6102 : Pmic_rtcSetAlarmIntr : Parameter range validation for month</t>
  </si>
  <si>
    <t>PDK-7849 : Pmic_esmSetInterrupt: Test to verify ESM MCU Level Mode PIN, Fail and RST Interrupts</t>
  </si>
  <si>
    <t>PDK-3292 : IPC echo-test - A72 (Bios) to Main R5F (Bios)</t>
  </si>
  <si>
    <t>PDK-3894 : McASP Device Loopback Test - A72</t>
  </si>
  <si>
    <t>PDK-7179 : Pmic_powerSetPwrResourceCfg : Parameter range validation for ldoPullDownSel.</t>
  </si>
  <si>
    <t>PROCESSOR_SDK_07.01.00,PROCESSOR_SDK_07.00.00,PDK_J7_00.08.00_EA8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AM64x_00.01.01,PROCESSOR_SDK_08.00.00</t>
  </si>
  <si>
    <t>PMIC: Driver shall decipher error events and call out to application with error code</t>
  </si>
  <si>
    <t>PDK-7246 : Pmic_powerSetCommonConfig: Test moderateRailTrig as soc power error</t>
  </si>
  <si>
    <t>PDK-7906 : Pmic_gpioTps6594xNPwronPinGetValue : Parameter validation for PinValue</t>
  </si>
  <si>
    <t>PDK-4138 : Temperature sensor diagnostic test</t>
  </si>
  <si>
    <t>PROCESSOR_SDK_07.01.00,PROCESSOR_SDK_07.00.00,PDK_J7_00.08.00_EA8,PDK_J7_00.09.00_Bringup,PDK_J7_01.00.00_RTM,PROCESSOR_SDK_07.03.00,PDK_J7_06.02.00,PROCESSOR_SDK_AM64x_01.00.00,PROCESSOR_SDK_08.00.00</t>
  </si>
  <si>
    <t>PDK-7233 : Pmic_powerSetCommonConfig: Test otherRailTrig as mcu power error</t>
  </si>
  <si>
    <t>PDK-6190 : Pmic_gpioSetConfiguration : configure a gpio pin as WAKEUP2 function</t>
  </si>
  <si>
    <t>DSS 8 bit YUV422I-UYVY Format Support</t>
  </si>
  <si>
    <t>PDK-6631 : MCU R5 CRC Unit Test</t>
  </si>
  <si>
    <t>Column1</t>
  </si>
  <si>
    <t>PDK-3509 : Ring event test case in interrupt mode</t>
  </si>
  <si>
    <t>IPC module should support late initialization of RPMSG with Linux</t>
  </si>
  <si>
    <t>UDMA: Utility API for Calculating Ring Memory</t>
  </si>
  <si>
    <t>PROCESSOR_SDK_07.01.00,PROCESSOR_SDK_07.00.00,PROCESSOR_SDK_07.03.00,PROCESSOR-CORESDK-SAFETY_07.00.00,PROCESSOR-CORESDK-SAFETY_07.01.00,PROCESSOR_SDK_08.00.00</t>
  </si>
  <si>
    <t>PDK-7796 : Pmic_esmGetErrCnt: Test to read the current ESM MCU Error Count Value</t>
  </si>
  <si>
    <t>DSS Data Integrity Check Support in Video Port</t>
  </si>
  <si>
    <t>VTM: SW shall provide ability to configure voltage domain</t>
  </si>
  <si>
    <t>Board_Diag: SD card Diagnostic Functional Test</t>
  </si>
  <si>
    <t>PDK-7263 : Pmic_powerGetPwrRsrcStat : Test get overVoltageTholdStat</t>
  </si>
  <si>
    <t>PDK-3740 : mcu navss mcrc ch2 full cpu 720p framesize</t>
  </si>
  <si>
    <t>UDMA: RX Flow Requirement</t>
  </si>
  <si>
    <t>R5:Core: SW shall provide self test of ECC logic</t>
  </si>
  <si>
    <t>PDK-3641 : CSI2RX DRV Test: stress testing</t>
  </si>
  <si>
    <t>UDMA: Channel Enable API</t>
  </si>
  <si>
    <t>PDK-4213 : LED diagnostic test</t>
  </si>
  <si>
    <t>DSS FVID2 Display Controller Driver</t>
  </si>
  <si>
    <t>PROCESSOR_SDK_07.01.00,PROCESSOR_SDK_07.00.00,PDK_J7_00.03.00_EA3,PDK_J7_00.05.00_EA5,PDK_J7_00.08.00_EA8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AM64x_00.01.01,PROCESSOR_SDK_08.00.00</t>
  </si>
  <si>
    <t>CSL-FL: Hyperflash Support</t>
  </si>
  <si>
    <t>PROCESSOR_SDK_07.01.00,PROCESSOR_SDK_07.00.00,PROCESSOR_SDK_07.03.00,PROCESSOR_SDK_TPR12_00.01.00,PROCESSOR_SDK_TPR12_00.02.00,PROCESSOR_SDK_TPR12_00.05.00,PROCESSOR_SDK_TPR12_00.08.00,PROCESSOR_SDK_TPR12_00.08.01,PROCESSOR_SDK_TPR12_00.09.00,PROCESSOR_SDK_TPR12_01.00.00,PROCESSOR_SDK_AM64x_00.02.00,PROCESSOR_SDK_AM64x_00.03.00,PROCESSOR_SDK_AM64x_00.05.00,PROCESSOR_SDK_AM64x_00.06.00,PROCESSOR_SDK_AM64x_00.08.00,PROCESSOR_SDK_AM64x_00.09.00,PROCESSOR_SDK_AM64x_01.00.00,PROCESSOR_SDK_AM64x_00.01.00,PROCESSOR_SDK_08.00.00,PROCESSOR_SDK_TPR12_00.08.05</t>
  </si>
  <si>
    <t>PDK-7778 : Pmic_esmGetEnableState: Parameter validation for pEsmState</t>
  </si>
  <si>
    <t>PDK-3896 : McASP Device Loopback Test - C7x</t>
  </si>
  <si>
    <t>Board_Diag: eMMC Diagnostic Functional Test</t>
  </si>
  <si>
    <t>DSS Pitch Support</t>
  </si>
  <si>
    <t>ESM: SW shall provide an ESM Initialization Sequence/Configuration</t>
  </si>
  <si>
    <t>DSS DISPDRV: FVID2 Interface Support</t>
  </si>
  <si>
    <t>UART: Support Interrupt mode</t>
  </si>
  <si>
    <t>Safety Diagnostics Library: CRC engines</t>
  </si>
  <si>
    <t>PDK-8012 : Pmic_fsmSetMissionState : Test to verify CAN WKUP</t>
  </si>
  <si>
    <t>CSI2RX: No Frame Drops</t>
  </si>
  <si>
    <t>DSS Common Register Bank Support</t>
  </si>
  <si>
    <t>PDK-6119 : Pmic_rtcDisable : Test RTC Disable</t>
  </si>
  <si>
    <t>DOF -  VHWA Driver migration to FreeRTOS on R5F</t>
  </si>
  <si>
    <t># of TC Not Available</t>
  </si>
  <si>
    <t>PDK-7214 : Pmic_powerSetPwrResourceCfg : Test LDO residual voltage check timeout select for 16MS.</t>
  </si>
  <si>
    <t>INFRASTRUCTURE: Software readback of static configuration registers shall be implemented in software</t>
  </si>
  <si>
    <t>PDK-6712 : SA2UL SHA2-512 Support</t>
  </si>
  <si>
    <t>PDK-6709 : SA2UL shall be supported on SoC</t>
  </si>
  <si>
    <t>PDK-3564 : MMC SD raw access baremetal test app with DMA</t>
  </si>
  <si>
    <t>JACINTOREQ-441,CATREQ-539,PROC_SOC-58</t>
  </si>
  <si>
    <t>Satisfied</t>
  </si>
  <si>
    <t>PDK-7231 : Pmic_powerSetCommonConfig: Test otherRailTrig as Immediate shutdown</t>
  </si>
  <si>
    <t>PDK-10286 : Flex-connect for VISS-&gt;MSC (YUV420)</t>
  </si>
  <si>
    <t>UDMA: Event Get ID API</t>
  </si>
  <si>
    <t>PDK-3331 : Main NAVSS UDMA baremetal block copy on mcu2_0</t>
  </si>
  <si>
    <t>K3-IP FMA R5FL CPU Test: R5 Core: Software test of PMU functionality including error tests shall be implemented</t>
  </si>
  <si>
    <t>Uniflash Update for XIP Flow</t>
  </si>
  <si>
    <t>PDK-8325 : Pmic_getScratchPadValue : Parameter validation for scratchPadRegId.</t>
  </si>
  <si>
    <t>PDK-6249 : Pmic_gpioSetIntr-GPIO8 Rise Interrupt Test</t>
  </si>
  <si>
    <t>UART: support different baud rates (9600, 115200, 921600)</t>
  </si>
  <si>
    <t>PROCESSOR_SDK_07.01.00,PROCESSOR_SDK_07.00.00,PDK_J7_00.03.00_EA3,PDK_J7_00.05.00_EA5,PDK_J7_00.08.00_EA8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08.00.00</t>
  </si>
  <si>
    <t>K3 IP FMA TIM4: Timer: CSL Test: Implement Periodic software readback of static configuration registers</t>
  </si>
  <si>
    <t>Not Run</t>
  </si>
  <si>
    <t>PDK-7352 : Pmic_wdgGetFailCount : Parameter validation for failCount</t>
  </si>
  <si>
    <t>PDK-7147 : Pmic_powerSetPwrResourceCfg : Test Select PWM Mode for BUCK</t>
  </si>
  <si>
    <t>DSS DSI Interface Support</t>
  </si>
  <si>
    <t>PDK-3311 : DSS Display RTOS BGR24 buffer test on mcu2_0</t>
  </si>
  <si>
    <t>PDK-3478 : MCU NAVSS Blockcpy DDR to DDR SW global 0 trigger test in polling mode</t>
  </si>
  <si>
    <t>PDK-6244 : Pmic_gpioSetIntr-GPIO6 Fall Interrupt Test</t>
  </si>
  <si>
    <t>PDK-8053 : Baremetal MSC TestApp : Instance 0 YUV420 12b packed 10 output</t>
  </si>
  <si>
    <t>PDK-3503 : DRU Indirect 2D Blockcpy DDR 1MB to MSMC circular 1KB performance test</t>
  </si>
  <si>
    <t>PDK-4100 : Main NAVSS HC Blockcpy DDR 1MB to DDR 1MB performance test</t>
  </si>
  <si>
    <t>DSS Frame Freeze Detect Support in Video Port</t>
  </si>
  <si>
    <t>Safety Example: Error Correcting Code (ECC)</t>
  </si>
  <si>
    <t>PDK-6185 : Pmic_gpioSetConfiguration : Configure a gpio pin as NSLEEP1 function</t>
  </si>
  <si>
    <t>OSAL:BAREMETAL: Support for Timer operations</t>
  </si>
  <si>
    <t>3 %</t>
  </si>
  <si>
    <t>[Fusion2/FPDIV Link]Fusion 2 board bring-up on J7 EVM and SW support</t>
  </si>
  <si>
    <t>Partially satisfied (&gt;=50% TC Passing)</t>
  </si>
  <si>
    <t>PM: Support for reading the value of the voltage for a given rail.</t>
  </si>
  <si>
    <t>SCICLIENT: Sciclient APIs for interacting with DMSC firmware should not require the same application to load the firmware.</t>
  </si>
  <si>
    <t>MMCSD: Support for eMMC: HS200 mode</t>
  </si>
  <si>
    <t>PMIC: Driver shall be independent of TI Processor SDK for standalone use case</t>
  </si>
  <si>
    <t>MMCSD: Support for Interrupt mode of operation</t>
  </si>
  <si>
    <t>PDK-7327 : Pmic_wdgSetCfg : Test to configure a wdg for all params</t>
  </si>
  <si>
    <t>PDK-6259 : Pmic_gpioSetIntr-Parameter validation for maskPol</t>
  </si>
  <si>
    <t>PDK-7699 : Pmic_fsmSetMissionState : Test Set State to S2R/Deep Sleep.</t>
  </si>
  <si>
    <t>DSS Video Destination Transparency ColorKeying</t>
  </si>
  <si>
    <t>PDK-6258 : Pmic_gpioSetIntr-Parameter validation for intrType</t>
  </si>
  <si>
    <t>PROCESSOR_SDK_07.01.00,PROCESSOR_SDK_07.00.00,PDK_J7_00.09.00_Bringup,PDK_J7_01.00.00_RTM,PROCESSOR_SDK_07.03.00,PDK_J7_06.02.00,PROCESSOR_SDK_08.00.00</t>
  </si>
  <si>
    <t>MMCSD: Support for SD HC cards (3.0V)</t>
  </si>
  <si>
    <t xml:space="preserve">[UDMA] UDMA driver should support initialization of  ring handle on remote core for already created ring when passed ringNum </t>
  </si>
  <si>
    <t>Exception Handler Register API</t>
  </si>
  <si>
    <t>DSS 12 bit unpacked YUV420SP-UV (16 bit container) support</t>
  </si>
  <si>
    <t>PDK-3563 : MMC SD raw access baremetal test app</t>
  </si>
  <si>
    <t>UDMA: Support burst size configuration for TX and RX channel</t>
  </si>
  <si>
    <t>PDK-7185 : Pmic_powerSetPwrResourceCfg : Test Powergood level 3.3V for VCCA pin</t>
  </si>
  <si>
    <t>PDK-7159 : Pmic_powerSetPwrResourceCfg : Test Switch peak current limit for BUCK regulator for 2.5Amp.</t>
  </si>
  <si>
    <t>j721e-evm</t>
  </si>
  <si>
    <t>VHWA: VISS Dual Output in YUV420 and RGB format</t>
  </si>
  <si>
    <t>CSI2RX: DDR Clock on D-PHY clock lane</t>
  </si>
  <si>
    <t xml:space="preserve">FreeRTOS Support on C6x for CPU </t>
  </si>
  <si>
    <t>SPI LLD: Performance</t>
  </si>
  <si>
    <t>UDMA: Teardown Completion Event Support</t>
  </si>
  <si>
    <t>CATREQ-809,JACINTOREQ-631</t>
  </si>
  <si>
    <t>[SCICLIENT] Support for TISCI_MSG_QUERY_MSMC message</t>
  </si>
  <si>
    <t>McASP Driver Support</t>
  </si>
  <si>
    <t>VPAC LDC driver shall support config updates after create time</t>
  </si>
  <si>
    <t>JACINTOREQ-629,JACINTOREQ-632</t>
  </si>
  <si>
    <t>PDK-7234 : Pmic_powerSetCommonConfig: Test otherRailTrig as soc power error</t>
  </si>
  <si>
    <t>JACINTOREQ-466,CATREQ-574,PROC_SOC-58,JACINTOREQ-631</t>
  </si>
  <si>
    <t>PDK-7245 : Pmic_powerSetCommonConfig: Test moderateRailTrig as mcu power error</t>
  </si>
  <si>
    <t>PDK-7243 : Pmic_powerSetCommonConfig: Test moderateRailTrig as Immediate shutdown</t>
  </si>
  <si>
    <t>PDK-7151 : Pmic_powerSetPwrResourceCfg : Parameter validation for Power Resource for buckFpwmMpMode.</t>
  </si>
  <si>
    <t>PDK-6716 : SA2UL SHA1 Support</t>
  </si>
  <si>
    <t>DSS Video Mux Programming</t>
  </si>
  <si>
    <t>PMIC: Driver shall configure for power good monitor</t>
  </si>
  <si>
    <t>PDK-6235 : Pmic_gpioSetIntr-GPIO1 Rise Interrupt Test</t>
  </si>
  <si>
    <t>Board_Lib: Board init function for setting the MAC configuration explicitly</t>
  </si>
  <si>
    <t>CSL-FL: Spinlock Support</t>
  </si>
  <si>
    <t>PDK-3735 : navss mcrc full cpu 720p framesize</t>
  </si>
  <si>
    <t>PDK-6710 : SA2UL Unit test supporting verification of sa2ul Encryption and Authentication modes</t>
  </si>
  <si>
    <t>PROCESSOR_SDK_07.01.00,PROCESSOR_SDK_07.00.00,PDK_J7_00.08.00_EA8,PDK_J7_00.09.00_Bringup,PDK_J7_01.00.00_RTM,PROCESSOR_SDK_07.03.00,PDK_J7_06.02.00,PROCESSOR_SDK_08.00.00</t>
  </si>
  <si>
    <t>PMIC: Driver validation on TI EVM shall use TI Processor SDK</t>
  </si>
  <si>
    <t>CSI2TX: FVID2 Init API</t>
  </si>
  <si>
    <t>PMIC: Driver shall support PMIC watchdog in Q&amp;A mode</t>
  </si>
  <si>
    <t>PDK-3499 : DRU Indirect Blockcpy DDR to DDR in polling mode</t>
  </si>
  <si>
    <t>PDK-7347 : Pmic_wdgStartQaSequence : Test wdg QA sequences with different QA feedback values</t>
  </si>
  <si>
    <t>PDK-6582 : MMCSD_Baremetal_EMMC_TestApp</t>
  </si>
  <si>
    <t>CSL-FL: CRC Support</t>
  </si>
  <si>
    <t>PDK-4162 : DDR memory diagnostic test</t>
  </si>
  <si>
    <t>PDK-7344 : Pmic_wdgDisable : Parameter validation for WdgCfg</t>
  </si>
  <si>
    <t>CRC: SW shall provide API to read back of static configuration</t>
  </si>
  <si>
    <t>PDK-7773 : Pmic_esmEnable: Test to Enable and Disable ESM SOC</t>
  </si>
  <si>
    <t>IPC between C66x (BIOS) to C7x (BIOS)</t>
  </si>
  <si>
    <t>PDK-2900 : SCI :Get revision message</t>
  </si>
  <si>
    <t>PDK-7281 : Pmic_powerSetIntr: Test Disable TWARN interrupt</t>
  </si>
  <si>
    <t>PDK-6120 : Pmic_rtcDisable : Parameter validation for handle</t>
  </si>
  <si>
    <t>Board_Diag: Temperature Sensor Diagnostic Functional Test</t>
  </si>
  <si>
    <t>PDK-4605 : Uniflash HyperFlash writer verification</t>
  </si>
  <si>
    <t>PDK-3515 : TR make utility test case</t>
  </si>
  <si>
    <t>PDK-7242 : Pmic_powerSetCommonConfig: Test mcuRailTrig as soc power error</t>
  </si>
  <si>
    <t>VHWA: MSC Driver Luma only mode</t>
  </si>
  <si>
    <t>SCICLIENT:RM: Expose RM SCI Message core structures.</t>
  </si>
  <si>
    <t>DSS YUV to RGB CSC Support</t>
  </si>
  <si>
    <t>Mailbox Interrupt Mode - A72 (Bios)</t>
  </si>
  <si>
    <t>PROCESSOR_SDK_07.01.00,PROCESSOR_SDK_07.02.00,PROCESSOR_SDK_07.03.00,PROCESSOR-CORESDK-SAFETY_07.02.00,PROCESSOR_SDK_08.00.00</t>
  </si>
  <si>
    <t>PDK-7786 : Pmic_esmSetConfiguration: Parameter validation for esmHMAX</t>
  </si>
  <si>
    <t>K3 IP FMA VIM: Safety Diagnostic API support to configure and initialize ECC for VIM</t>
  </si>
  <si>
    <t>DSS eDP Interface Support</t>
  </si>
  <si>
    <t>MMCSD: Support for SD : HS mode</t>
  </si>
  <si>
    <t>PDK-7780 : Pmic_esmSetConfiguration: Test to configure ESM SOC in Level Mode</t>
  </si>
  <si>
    <t>CSL-FL: DSS Support</t>
  </si>
  <si>
    <t>IPC between A72 (Linux) to MCU R5F (BIOS) with remote CPU loaded via Uboot/SPL</t>
  </si>
  <si>
    <t>PDK-9440 : OSPI_Flash_Cache_TestApp</t>
  </si>
  <si>
    <t>I2C:Transfer Configuration:Start Condition</t>
  </si>
  <si>
    <t>PDK-7331 : Pmic_wdgSetCfg : Parameter validation for win1Duration_us min value</t>
  </si>
  <si>
    <t>PMIC: Driver shall support LP8764x (Hera)</t>
  </si>
  <si>
    <t>PDK-7223 : Pmic_powerSetCommonConfig: Test Enable pgoodPolarity high</t>
  </si>
  <si>
    <t>MMCSD: Support for eMMC</t>
  </si>
  <si>
    <t>PDK-6115 : Pmic_rtcSetTimerIntr : Parameter validation for timerPeriod.</t>
  </si>
  <si>
    <t>[boardlib] Support for reading MAC addresses from EEPROM</t>
  </si>
  <si>
    <t>PDK-6215 : Pmic_gpioSetConfiguration : Gpio pin configuration validation for deglitchEnable</t>
  </si>
  <si>
    <t>PDK-4289 : PM: Voltage Read Test</t>
  </si>
  <si>
    <t>PDK-4251 : MCAN Evm Loopback csl example</t>
  </si>
  <si>
    <t>FVID2 VPAC NF Driver Support</t>
  </si>
  <si>
    <t>R5:Core: SW shall provide access to the R5 Hard error Cache</t>
  </si>
  <si>
    <t>Sciclient driver and example support for Firewall</t>
  </si>
  <si>
    <t>PDK-7839 : Pmic_esmSetInterrupt: Test to verify ESM MCU PWM Mode FAIL Interrupt</t>
  </si>
  <si>
    <t>VHWA: DOF Configurable Vertical Search range</t>
  </si>
  <si>
    <t>Common: Data Sheet (Feature Performance Guide)</t>
  </si>
  <si>
    <t>PROCESSOR_SDK_07.01.00,PROCESSOR_SDK_07.00.00,PROCESSOR_SDK_07.02.00,PROCESSOR_SDK_07.03.00,PROCESSOR_SDK_AM64x_00.02.00,PROCESSOR_SDK_AM64x_00.03.00,PROCESSOR_SDK_AM64x_00.05.00,PROCESSOR_SDK_AM64x_00.06.00,PROCESSOR_SDK_AM64x_00.08.00,PROCESSOR_SDK_AM64x_00.09.00,PROCESSOR_SDK_AM64x_01.00.00,PROCESSOR_SDK_AM64x_00.01.00,PROCESSOR_SDK_08.00.00</t>
  </si>
  <si>
    <t>Board_Diag: UART Diagnostic Functional Test</t>
  </si>
  <si>
    <t>CCM:API to invoke the PULSAR CPU CCM self-tests</t>
  </si>
  <si>
    <t>DSS Video Pipe Downscaling Support</t>
  </si>
  <si>
    <t>PDK-7958 : Pmic_wdgStartQaSequence : Parameter validation for maxCnt</t>
  </si>
  <si>
    <t>CSL-FL: Mailbox Support</t>
  </si>
  <si>
    <t>R5 CSL: Support configuration of MAIN and MCU domian R5 VIM</t>
  </si>
  <si>
    <t>CSI2RX: FVID2 DeInit API</t>
  </si>
  <si>
    <t>PDK-6112 : Pmic_rtcGetAlarmIntr : Parameter validation for dataCfg</t>
  </si>
  <si>
    <t>PDK-6181 : Pmic_rtcSetFreqComp : Parameter validation for handle</t>
  </si>
  <si>
    <t>VHWA: MSC Driver Chroma only mode</t>
  </si>
  <si>
    <t>Board_Diag: DDR Diagnostic Functional Test</t>
  </si>
  <si>
    <t>CSL-FL: McASP Support</t>
  </si>
  <si>
    <t>VHWA: MSC 12b packed to 12b packed Storage Format</t>
  </si>
  <si>
    <t>PDK-3497 : MCU NAVSS Blockcpy MSMC to MSMC circular 1KBx1K (1MB) from multiple tasks</t>
  </si>
  <si>
    <t>PDK-6170 : Pmic_rtcSetTimeDateInfo : Parameter range validation for month</t>
  </si>
  <si>
    <t>PDK-6095 : Pmic_rtcSetAlarmIntr : Parameter validation for hour when timeMode = 0</t>
  </si>
  <si>
    <t>Safety Example: Watchdog Timer (WDT/RTI)</t>
  </si>
  <si>
    <t>PDK-7334 : Pmic_wdgSetCfg : Parameter validation for win2Duration_us max value</t>
  </si>
  <si>
    <t>PDK-7850 : Pmic_esmSetInterrupt: Test to verify ESM MCU Level Mode PIN, Fail and RST Interrupts disabled</t>
  </si>
  <si>
    <t>PDK-6174 : Pmic_rtcSetTimeDateInfo : Parameter range validation for day for Non-leap year(year %4 != 0 ) and month = 2 (february)</t>
  </si>
  <si>
    <t>PDK-8322 : Pmic_setScratchPadValue : Parameter validation for scratchPadRegId.</t>
  </si>
  <si>
    <t>PDK-3496 : Main_NAVSS/BCDMA Blockcpy MSMC to MSMC 1KBx1K (1MB) circular from multiple tasks</t>
  </si>
  <si>
    <t>PDK-7775 : Pmic_esmGetEnableState: Test to verify ESM MCU Enable readback</t>
  </si>
  <si>
    <t>SBL: support booting both RTOS and HLOS images in OSPI/xSPI boot</t>
  </si>
  <si>
    <t>ALGDMAUTILS: Auto-increment use case in 3D Support</t>
  </si>
  <si>
    <t>DSS Data Integrity Check Support in Video Pipe</t>
  </si>
  <si>
    <t>PDK-7335 : Pmic_wdgSetCfg : Parameter validation for failThreshold max Value</t>
  </si>
  <si>
    <t>PDK-3682 : Ring Get Memory Pointer API test case</t>
  </si>
  <si>
    <t>R5:Core: SW shall support setup and control of R5 MPU</t>
  </si>
  <si>
    <t>UDMA: Utility API for Descriptor Make</t>
  </si>
  <si>
    <t>PDK-6774 : PMIC Driver shall be independent of TI Processor SDK for standalone use case</t>
  </si>
  <si>
    <t>SBL: Selective Logging to reduce UART prints</t>
  </si>
  <si>
    <t>SA2UL: SHA2-512 Support</t>
  </si>
  <si>
    <t>PDK-6169 : Pmic_rtcSetTimeDateInfo : Negative test for month = 0</t>
  </si>
  <si>
    <t>PDK-3520 : VHWA MSC Instance 0 YUV420 8b packed 10 output</t>
  </si>
  <si>
    <t>PM: Support for setting peripherals and CPU subsystems to OFF state</t>
  </si>
  <si>
    <t>PDK-3493 : MCU NAVSS 2D Blockcpy MSMC circular 1KB to MSMC circular 1KB performance test</t>
  </si>
  <si>
    <t>Board_Utils: Uniflash OSPI Flash Programmer</t>
  </si>
  <si>
    <t>DSS DMA Configuration Support</t>
  </si>
  <si>
    <t>R5:Core: SW shall provide routines to handle single bit error exception (reports)</t>
  </si>
  <si>
    <t>PDK-6207 : Pmic_gpioSetConfiguration : configure gpio pin 8 as Watchdog disable function</t>
  </si>
  <si>
    <t>PDK-6183 : Pmic_rtcGetFreqComp : Parameter validation for handle</t>
  </si>
  <si>
    <t>CSI2RX: FIFO  Overflow Recovery</t>
  </si>
  <si>
    <t>[UDMA] Support independent prime queue and set doorbell API in ring mode</t>
  </si>
  <si>
    <t>PDK-3488 : Main_NAVSS/BCDMA 2D Blockcpy MSMC circular 1KB to MSMC circular 1KB performance test</t>
  </si>
  <si>
    <t>DSS M2M: Single Channel Support</t>
  </si>
  <si>
    <t>Platform(s)</t>
  </si>
  <si>
    <t>PDK-7333 : Pmic_wdgSetCfg : Parameter validation for win2Duration_us min value</t>
  </si>
  <si>
    <t>MMCSD: Support for UHS-I: DDR50</t>
  </si>
  <si>
    <t>SA2UL: GCM core Support</t>
  </si>
  <si>
    <t>ESM: SW shall provide API to read back ESM registers</t>
  </si>
  <si>
    <t>DSS DISPDRV: Periodic Callback Support</t>
  </si>
  <si>
    <t xml:space="preserve">Leo PMIC: Support for programming Leo GPIO </t>
  </si>
  <si>
    <t>FVID2 CSI2-RX Driver shall have bare-metal sample application</t>
  </si>
  <si>
    <t>PDK-3258 : UDMA Direct DRU Example</t>
  </si>
  <si>
    <t>PDK-7785 : Pmic_esmSetConfiguration: Parameter validation for esmDelay2</t>
  </si>
  <si>
    <t>PMIC: Driver shall support Ultra Low Power Standby with CAN Wake-Up for PMIC</t>
  </si>
  <si>
    <t xml:space="preserve">[Board]GESI RMII board mux and pin mux </t>
  </si>
  <si>
    <t>PDK-4185 : PMIC diagnostic test</t>
  </si>
  <si>
    <t>PDK-7132 : Pmic_powerSetPwrResourceCfg : Test Disable residual voltage checking</t>
  </si>
  <si>
    <t>UDMA: C7x Core Support</t>
  </si>
  <si>
    <t>VHWA: VISS Single input</t>
  </si>
  <si>
    <t>PDK-4638 : Ring Monitor High Threshold Mode test</t>
  </si>
  <si>
    <t>IPC LLD Driver for TI-RTOS Any CPU to TI-RTOS Any CPU</t>
  </si>
  <si>
    <t>Common: Installation</t>
  </si>
  <si>
    <t>PDK OSAL Support for FreeRTOS on R5F</t>
  </si>
  <si>
    <t>0 %</t>
  </si>
  <si>
    <t>OSPI Driver migration to FreeRTOS on R5F</t>
  </si>
  <si>
    <t>OSPI: Support DAC DMA mode</t>
  </si>
  <si>
    <t>UDMA: Check Intermediate Completion Event API</t>
  </si>
  <si>
    <t>R5:Core: SW shall provide sample handlers to trap all ARM exceptions</t>
  </si>
  <si>
    <t>CSL shall support functional layer for enabling ACP based limited IO coherency</t>
  </si>
  <si>
    <t>PROCESSOR_SDK_07.01.00,PROCESSOR_SDK_07.00.00,PROCESSOR_SDK_07.03.00,PROCESSOR-CORESDK-SAFETY_07.00.00,PROCESSOR-CORESDK-SAFETY_07.01.00,AM65X-SAFETY-SW_01.00.00,PROCESSOR_SDK_08.00.00</t>
  </si>
  <si>
    <t>RTI-WWDT: SW shall provide API to use WWDT during normal operation</t>
  </si>
  <si>
    <t>PDK-7768 : Pmic_irqGetErrStatus : Test ENABLE_INT interrupt.</t>
  </si>
  <si>
    <t>UDMA: A72 Core Support</t>
  </si>
  <si>
    <t>PDK-7228 : Pmic_powerSetCommonConfig: Test severeErrorTrig as oderly shutdown</t>
  </si>
  <si>
    <t>PDK-2907 : Sciclient: Sciclient_service() invalid pReqPrm</t>
  </si>
  <si>
    <t>Board_Diag: QSPI Flash Diagnostic Functional Test</t>
  </si>
  <si>
    <t>PDK-4301 : GPIO Drv Led blink testcase</t>
  </si>
  <si>
    <t>DSS M2M: Color Space Conversion - RGB to YUV</t>
  </si>
  <si>
    <t>PDK-3964 : fatfs test read and write to a file</t>
  </si>
  <si>
    <t>PMIC: Driver shall support dual I2C interface</t>
  </si>
  <si>
    <t>PDK-7274 : Pmic_powerSetPwrRsrcIntr: Test Disable UV interrupt</t>
  </si>
  <si>
    <t>Dual CSI2 Rx Enablement</t>
  </si>
  <si>
    <t>PDK-7336 : Pmic_wdgSetCfg : Parameter validation for rstThreshold max Value</t>
  </si>
  <si>
    <t>DSS Video Lite 1 Pipeline Support</t>
  </si>
  <si>
    <t>CSI2TX: Current Frame Status</t>
  </si>
  <si>
    <t>VHWA: SDE performance MUST be 80MP/s under system load</t>
  </si>
  <si>
    <t>PDK-8054 : Baremetal DOF TestApp : 2040x1024 12b packed</t>
  </si>
  <si>
    <t>PDK-7236 : Pmic_powerSetCommonConfig: Test socRailTrig as oderly shutdown</t>
  </si>
  <si>
    <t>PDK-8058 : Baremetal SDE TestApp: 1280x720 12b packed</t>
  </si>
  <si>
    <t>PDK-7276 : Pmic_powerSetPwrRsrcIntr: Test Disable ILIM interrupt</t>
  </si>
  <si>
    <t>DSS CBA Configuration Support</t>
  </si>
  <si>
    <t>VHWA: VISS-Configuration</t>
  </si>
  <si>
    <t>DSS Video Pipe Input Width Supoort</t>
  </si>
  <si>
    <t>PROCESSOR_SDK_07.01.00,PROCESSOR_SDK_07.02.00,PROCESSOR_SDK_07.03.00,PROCESSOR-CORESDK-SAFETY_07.02.00,PROCESSOR-CORESDK-SAFETY_07.03.00,PROCESSOR_SDK_08.00.00,PMIC-FSQ_07.02.00</t>
  </si>
  <si>
    <t>DSS M2M: Multi-Channel Support</t>
  </si>
  <si>
    <t>CSL-FL: UDMA RA Support</t>
  </si>
  <si>
    <t>PDK-7257 : Pmic_powerSetConfigPowerGood : Test pgoodSelType as TDIE WARN</t>
  </si>
  <si>
    <t>VHWA: NF Coefficients</t>
  </si>
  <si>
    <t>Common: Makefile Based Build</t>
  </si>
  <si>
    <t>PDK-6110 : Pmic_rtcGetAlarmIntr : Parameter validation for handle</t>
  </si>
  <si>
    <t>PDK-7561 : CSL-FL OSPI Flash Example</t>
  </si>
  <si>
    <t>SPI LLD: support polling mode</t>
  </si>
  <si>
    <t>PDK-7729 : Pmic_powerGetPwrThermalStat: Test Get Oderly Shutdown Status.</t>
  </si>
  <si>
    <t>PDK-6189 : Pmic_gpioSetConfiguration : configure a gpio pin as WAKEUP1 function</t>
  </si>
  <si>
    <t>SBL: PM CPU OFF if no image is present</t>
  </si>
  <si>
    <t>PDK-6107 : Pmic_rtcSetAlarmIntr : Parameter range validation for day for Non-leap year(year %4 != 0 ) and month = 2 (february)</t>
  </si>
  <si>
    <t>CSI2RX: CRC Error Recovery</t>
  </si>
  <si>
    <t>CSL-FL: CSI2-RX SHIM/PSI-L</t>
  </si>
  <si>
    <t>SBL: Bootime Requirement</t>
  </si>
  <si>
    <t>PDK-7733 : SBL boots U-boot on J721E - MMCSD boot</t>
  </si>
  <si>
    <t>MCUREQ-152,PROC_SOC-315</t>
  </si>
  <si>
    <t>VHWA: MSC Filter parameters</t>
  </si>
  <si>
    <t>CSI2TX: FVID2 DeInit API</t>
  </si>
  <si>
    <t>PDK-7714 : Pmic_irqGetErrStatus : Test I2C2_CRC_ERR_INT interrupt.</t>
  </si>
  <si>
    <t>PDK-7279 : Pmic_powerSetPwrRsrcIntr: Parameter validation for handle</t>
  </si>
  <si>
    <t>Collaterals as part of PDK release</t>
  </si>
  <si>
    <t>VHWA: LDC with Multiple Regions</t>
  </si>
  <si>
    <t>PDK-6257 : Pmic_gpioSetIntr-Parameter validation for pin</t>
  </si>
  <si>
    <t>PROCESSOR_SDK_07.01.00,PROCESSOR_SDK_07.00.00,PDK_J7_00.09.00_Bringup,PDK_J7_01.00.00_RTM,PROCESSOR_SDK_07.03.00,PDK_J7_06.02.00,PROCESSOR_SDK_AM64x_00.02.00,PROCESSOR_SDK_AM64x_00.03.00,PROCESSOR_SDK_AM64x_00.05.00,PROCESSOR_SDK_AM64x_00.06.00,PROCESSOR_SDK_AM64x_00.08.00,PROCESSOR_SDK_AM64x_00.09.00,PROCESSOR_SDK_AM64x_01.00.00,PROCESSOR_SDK_AM64x_00.01.00,PROCESSOR_SDK_08.00.00</t>
  </si>
  <si>
    <t>PDK-7254 : Pmic_powerSetConfigPowerGood : Test pgoodSelType as masked</t>
  </si>
  <si>
    <t>CSI2TX: Stream Configuration API</t>
  </si>
  <si>
    <t>[UDMA] Udma driver flow attach API to attach to flow ID which is already allocated</t>
  </si>
  <si>
    <t xml:space="preserve">PDK-5031 : OSAL Unit Test: Queue test </t>
  </si>
  <si>
    <t xml:space="preserve">PDK-6222 : Pmic_gpioGetConfiguration : Parameter validation for GpioCfg </t>
  </si>
  <si>
    <t>DSS DISPDRV:  Set DSS Params IOCTL Support</t>
  </si>
  <si>
    <t>SA2UL Unit test supporting verification of PKA ip in sa2ul</t>
  </si>
  <si>
    <t>PDK-6177 : Pmic_rtcGetTimeDateInfo : Parameter validation for handle</t>
  </si>
  <si>
    <t>PDK-3300 : IPC echo-test - MCU R5F (Bios) to C7x (Bios)</t>
  </si>
  <si>
    <t>PDK-7360 : Pmic_fsmDeviceOffRequestCfg : Parameter validation for handle</t>
  </si>
  <si>
    <t>CSI2RX: Datapath Configuration API</t>
  </si>
  <si>
    <t>PDK-7255 : Pmic_powerSetConfigPowerGood : Test pgoodSelType as NRSTOUT</t>
  </si>
  <si>
    <t>PDK-7374 : Pmic_irqMaskIntr/Pmic_irqGpioMaskIntr : Masking all interrupts test</t>
  </si>
  <si>
    <t>PDK-4208 : eMMC Flash diagnostic test</t>
  </si>
  <si>
    <t>PROCESSOR_SDK_07.01.00,PROCESSOR_SDK_07.00.00,PROCESSOR_SDK_07.03.00,PROCESSOR_SDK_AM64x_00.02.00,PROCESSOR_SDK_AM64x_00.03.00,PROCESSOR_SDK_AM64x_00.05.00,PROCESSOR_SDK_AM64x_00.06.00,PROCESSOR_SDK_AM64x_00.08.00,PROCESSOR_SDK_AM64x_00.09.00,PROCESSOR_SDK_AM64x_01.00.00,PROCESSOR_SDK_AM64x_00.01.00,PROCESSOR_SDK_08.00.00</t>
  </si>
  <si>
    <t>VHWA: Create and Delete API</t>
  </si>
  <si>
    <t>UDMA: RM Behavior</t>
  </si>
  <si>
    <t>UART LLD Rx trigger level user configurable</t>
  </si>
  <si>
    <t>PMIC: Driver shall support PMIC watchdog in trigger mode</t>
  </si>
  <si>
    <t>FVID2 VPAC VISS Driver Support</t>
  </si>
  <si>
    <t>PROCESSOR_SDK_07.01.00,PROCESSOR_SDK_07.00.00,PDK_J7_00.05.00_EA5,PDK_J7_00.08.00_EA8,PDK_J7_00.09.00_Bringup,PDK_J7_01.00.00_RTM,PROCESSOR_SDK_07.03.00,PDK_J7_06.02.00,PROCESSOR_SDK_AM64x_01.00.00,PROCESSOR_SDK_08.00.00</t>
  </si>
  <si>
    <t>UDMA: Support for Dma channel pause and resume APIs</t>
  </si>
  <si>
    <t>BT601 output format support</t>
  </si>
  <si>
    <t>[udma] Ring API to get original ring memory pointer</t>
  </si>
  <si>
    <t>PDK-3506 : DRU Indirect Blockcpy MSMC to MSMC 1KBx1K (1MB) circular from multiple tasks</t>
  </si>
  <si>
    <t>MCASP: Support for FIFO configuration</t>
  </si>
  <si>
    <t>PDK-6569 : OSPI_Baremetal_Flash_TestApp</t>
  </si>
  <si>
    <t>DSS M2M: Chrominance Subsampling - YUV422 to YUV420</t>
  </si>
  <si>
    <t>VIM-ECC: SW shall provide an API to configure ECC on VIM Rams</t>
  </si>
  <si>
    <t>PDK-6256 : Pmic_gpioSetIntr-Parameter validation for handle</t>
  </si>
  <si>
    <t>MRD ID</t>
  </si>
  <si>
    <t>IPC between A72 (BIOS) to C7x (BIOS)</t>
  </si>
  <si>
    <t>PDK-3489 : MCU NAVSS 2D Blockcpy OCMC circular 1KB to OCMC circular 1KB performance test</t>
  </si>
  <si>
    <t>PDK-6167 : Pmic_rtcSetTimeDateInfo : Parameter validation for hour when timeMode = 0</t>
  </si>
  <si>
    <t>PMIC: Driver shall read PMIC registers to decipher a startup source</t>
  </si>
  <si>
    <t>DSS RGB24-888 Format Support</t>
  </si>
  <si>
    <t>PDK-7631 : Pmic_SetRecoveryCntCfg: Parameter validation for clrCnt.</t>
  </si>
  <si>
    <t>PDK-7467 : Pmic_getRtcStatus : Parameter validation for ValidParams</t>
  </si>
  <si>
    <t>PDK-4257 : Spinlock csl example</t>
  </si>
  <si>
    <t>PDK-3743 : mcu navss mcrc semi cpu pat size 8</t>
  </si>
  <si>
    <t>PDK-3514 : OSAL params test case</t>
  </si>
  <si>
    <t>VIM: SW to provide API to configure PULSAR VIM</t>
  </si>
  <si>
    <t>PDK-6172 : Pmic_rtcSetTimeDateInfo : Parameter range validation for day for months with 30 days</t>
  </si>
  <si>
    <t>PDK-6178 : Pmic_rtcGetTimeDateInfo : Parameter validation for timeCfg</t>
  </si>
  <si>
    <t>PMIC: Driver shall configure the RTC for PMIC low power</t>
  </si>
  <si>
    <t>CRC: SW shall provide API to manage interrupts</t>
  </si>
  <si>
    <t>PDK-7221 : Pmic_powerSetCommonConfig: Test pgoodWindow uv monitor enable</t>
  </si>
  <si>
    <t>UDMA: MCU R5F Core Support</t>
  </si>
  <si>
    <t>DSS Overlay of Video and Video Lite Pipelines</t>
  </si>
  <si>
    <t>VHWA: SDE Configuration</t>
  </si>
  <si>
    <t>OSAL: RTOS Support for Semaphore operations</t>
  </si>
  <si>
    <t>CSL-FL: DCC Support</t>
  </si>
  <si>
    <t>PDK-7694 : Pmic_fsmSetNsleepSignalMask : Test Unmask Nsleep1.</t>
  </si>
  <si>
    <t>UDMA: Provide option to use allocated flow instead of default flow</t>
  </si>
  <si>
    <t>PMIC: Driver shall configure LP STANDBY state</t>
  </si>
  <si>
    <t>[udma] Ring monitor support</t>
  </si>
  <si>
    <t>767</t>
  </si>
  <si>
    <t>VISS/MSC/LDC -  VHWA Driver migration to FreeRTOS on R5F</t>
  </si>
  <si>
    <t>CSI-Rx Driver migration to FreeRTOS on R5F</t>
  </si>
  <si>
    <t>UART:  support multiple instances simultaneously</t>
  </si>
  <si>
    <t>Hand-off of Platform SW Core SDK for Processor SDK Sitara</t>
  </si>
  <si>
    <t>UDMA: Exclusive Event Registration</t>
  </si>
  <si>
    <t>PDK-4690 : Expansion header diagnostic test</t>
  </si>
  <si>
    <t>PDK-7713 : Pmic_irqGetErrStatus : Test COMM_CRC_ERR_INT interrupt.</t>
  </si>
  <si>
    <t>PMIC: Driver shall read PMIC registers to decipher a Severe Error</t>
  </si>
  <si>
    <t>PDK UART Driver migration to FreeRTOS on R5F</t>
  </si>
  <si>
    <t>PM: Support for Main R5F, A72, MCU R5F, C7x, C6x</t>
  </si>
  <si>
    <t>PDK-7291 : Pmic_powerSetIntr: Test Disable IMM_SHUTDOWN interrupt</t>
  </si>
  <si>
    <t>JACINTOREQ-467,CATREQ-809</t>
  </si>
  <si>
    <t>Common: C++ Build Compliant</t>
  </si>
  <si>
    <t>PDK-6520 : MCU R5 VTM API Test</t>
  </si>
  <si>
    <t>UDMA wrappers for CPSW PSIL thread offsets</t>
  </si>
  <si>
    <t>Not satisfied (&lt;50% TC Passing)</t>
  </si>
  <si>
    <t>SBL: support interleaved loading and booting of device cores</t>
  </si>
  <si>
    <t>VHWA: LDC Driver Luma only mode</t>
  </si>
  <si>
    <t>CSI2TX: FVID2 Queue API</t>
  </si>
  <si>
    <t>UDMA: Intermediate Trigger API</t>
  </si>
  <si>
    <t>SBL: Will include example app that will demonstrate how to branch to an XIP app in OSPI flash</t>
  </si>
  <si>
    <t>OSAL: BAREMETAL: Support for delay operations</t>
  </si>
  <si>
    <t>DSS DPI Signal Polarity Support</t>
  </si>
  <si>
    <t>JACINTOREQ-441,PROC_SOC-58</t>
  </si>
  <si>
    <t>VHWA: LDC YUV420 12b packed to YUV420 12b packed Storage Format</t>
  </si>
  <si>
    <t>PDK-7266 : Pmic_powerSetThermalConfig: Test thermalWarnThold as low</t>
  </si>
  <si>
    <t>Common: MISRAC 2012 Compliant</t>
  </si>
  <si>
    <t>MMCSD: Support for UHS-I: SDR104</t>
  </si>
  <si>
    <t>DSS Overlay 4 Support</t>
  </si>
  <si>
    <t>PDK-4258 : Mcspi csl example</t>
  </si>
  <si>
    <t>SA2UL: SHA2-256 Support</t>
  </si>
  <si>
    <t>PDK-4111 : MCU NAVSS HC Blockcpy MSMC to MSMC 1KBx1K (1MB) circular from multiple tasks</t>
  </si>
  <si>
    <t>PDK-3893 : McASP Device Loopback Test - Main R5F</t>
  </si>
  <si>
    <t>PDK-4110 : MCU NAVSS HC Blockcpy DDR 1MB to DDR 1MB from multiple tasks</t>
  </si>
  <si>
    <t>PDK-2915 : Sciclient: Performance of all APIs</t>
  </si>
  <si>
    <t>R5:Core SW shall enable use of RAM ECC in R5 cluster</t>
  </si>
  <si>
    <t>PDK-7711 : Pmic_irqGetErrStatus : Test COMM_ADR_ERR_INT interrupt.</t>
  </si>
  <si>
    <t>PDK-4252 : ADC single shot csl example</t>
  </si>
  <si>
    <t>PDK-7343 : Pmic_wdgEnable : Parameter validation for handle</t>
  </si>
  <si>
    <t>PROCESSOR_SDK_07.01.00,PROCESSOR_SDK_07.00.00,PROCESSOR_SDK_07.03.00,PROCESSOR-CORESDK-SAFETY_07.00.00,PROCESSOR-CORESDK-SAFETY_07.01.00,AM65X-SAFETY-SW_01.00.00,CSL-FSQ_07.00.00,CSL-FSQ_07.01.00,PROCESSOR_SDK_08.00.00</t>
  </si>
  <si>
    <t>RTOS: UART LLD requirements: multiple instances</t>
  </si>
  <si>
    <t>Board_Lib: Audio Codec Control Library</t>
  </si>
  <si>
    <t>PDK-6252 : Pmic_gpioSetIntr-GPIO10 Fall Interrupt Test</t>
  </si>
  <si>
    <t>CRC: SW shall provide API to read registers</t>
  </si>
  <si>
    <t>Mailbox Interrupt Mode - C66x</t>
  </si>
  <si>
    <t>DSS Video Port 2 Support</t>
  </si>
  <si>
    <t>PMIC: Driver shall read PMIC registers to decipher a Catastrophic Error</t>
  </si>
  <si>
    <t>PDK-6193 : Pmic_gpioSetConfiguration : configure gpio pin 2 as I2C2 SDA function</t>
  </si>
  <si>
    <t>Board_Utils: Uniflash eMMC Flash Programmer</t>
  </si>
  <si>
    <t>PMIC: Customer deliverables independent of Processor SDK</t>
  </si>
  <si>
    <t>SCI Client Support</t>
  </si>
  <si>
    <t>Board_Utils: Uniflash QSPI Flash Programmer</t>
  </si>
  <si>
    <t>PDK-4707 : VHWA MSC performance test</t>
  </si>
  <si>
    <t>PDK-6091 : Pmic_rtcSetAlarmIntr : Parameter validation for minutes</t>
  </si>
  <si>
    <t>PDK-7700 : Pmic_fsmSetMissionState : Test Set State to LP-Standby.</t>
  </si>
  <si>
    <t>PMIC: Processor SDK shall contain automated PMIC driver unit test, implemented using Unity test framework</t>
  </si>
  <si>
    <t>CSL-FL: TIMERMGR Support</t>
  </si>
  <si>
    <t>PDK-2906 : Sciclient: Sciclient timeout</t>
  </si>
  <si>
    <t>PDK-7951 : Pmic_gpioSetIntr: Test to verify GPIO7 rise Asynchronous interrupt</t>
  </si>
  <si>
    <t>UDMA: Userguide</t>
  </si>
  <si>
    <t>PMIC: Driver shall support an application registered call table for the PMIC SPI interface using TI SPI LLD API</t>
  </si>
  <si>
    <t>PDK-7131 : Pmic_powerSetPwrResourceCfg : Test Enable residual voltage checking</t>
  </si>
  <si>
    <t>PDK-6094 : Pmic_rtcSetAlarmIntr : Parameter validation for hourwhen timeMode= 1</t>
  </si>
  <si>
    <t>PMIC: Driver shall execute runtime-BIST</t>
  </si>
  <si>
    <t>IPC migration to FreeRTOS on R5F</t>
  </si>
  <si>
    <t>Only use proxy1 for claiming and accessing  CTRL_MMR</t>
  </si>
  <si>
    <t>PDK-7153 : Pmic_powerSetPwrResourceCfg : Test Enable the power regulator.</t>
  </si>
  <si>
    <t>PDK-7794 : Pmic_esmGetConfiguration: Parameter validation for handle</t>
  </si>
  <si>
    <t>ECC: SW shall provide API to write configuration registers</t>
  </si>
  <si>
    <t>PDK-7182 : Pmic_powerSetPwrResourceCfg : Parameter validation for Power Resource for voltage_mV.</t>
  </si>
  <si>
    <t>ESM: SW shall provide an API to enable/disable ESM error forcing mode</t>
  </si>
  <si>
    <t>PROCESSOR_SDK_07.01.00,PROCESSOR_SDK_07.00.00,PROCESSOR_SDK_07.03.00,PROCESSOR-CORESDK-SAFETY_07.00.00,PROCESSOR-CORESDK-SAFETY_07.01.00,CSL-FSQ_07.00.00,CSL-FSQ_07.01.00,PROCESSOR_SDK_08.00.00</t>
  </si>
  <si>
    <t>CSI2RX: Reset Handling</t>
  </si>
  <si>
    <t>PM: Support for setting peripherals and CPU subsystems to ON state</t>
  </si>
  <si>
    <t>PDK-8056 : Baremetal VISS TestApp: single RAW input and Dual YUV420 output</t>
  </si>
  <si>
    <t>DSS Image Flip/Mirror Support</t>
  </si>
  <si>
    <t>PM: Support for CPU in different performance point states.</t>
  </si>
  <si>
    <t>PDK-8326 : Pmic_getScratchPadValue : Parameter validation for data.</t>
  </si>
  <si>
    <t>PDK-4841 : Main_NAVSS/BCDMA UDMA chaining</t>
  </si>
  <si>
    <t>PDK-7339 : Pmic_wdgSetCfg : Parameter validation for qaQuesSeed max Value</t>
  </si>
  <si>
    <t>PDK-7272 : Pmic_powerSetPwrRsrcIntr: Test Disable OV interrupt</t>
  </si>
  <si>
    <t>UDMA: UDMAP TX Channel Configure API</t>
  </si>
  <si>
    <t>PMIC: Driver shall configure for voltage monitor for over/under voltage</t>
  </si>
  <si>
    <t>Date</t>
  </si>
  <si>
    <t>PDK-10274 : DSS M2M DRV: Scaling Test</t>
  </si>
  <si>
    <t>R5:Core:SW shall provide a self test of PULSAR RAT</t>
  </si>
  <si>
    <t>PDK-6512 : MCU R5 Core test</t>
  </si>
  <si>
    <t xml:space="preserve">PDK-5028 : OSAL Unit Test: HWI test </t>
  </si>
  <si>
    <t>R5:Core: SW shall provide sample handlers for MPU exceptions</t>
  </si>
  <si>
    <t>DSS: eDP display shall support eDP to HDMI adapter in single display mode</t>
  </si>
  <si>
    <t>PDK-7706 : Pmic_fsmRuntimeBistRequest : Parameter validation for handle.</t>
  </si>
  <si>
    <t>PDK-7350 : Pmic_wdgGetFailCount : Test get wdg failcount</t>
  </si>
  <si>
    <t>Board_Diag: OSPI Flash Diagnostic Functional Test</t>
  </si>
  <si>
    <t>PDK-6578 : UART_TestApp</t>
  </si>
  <si>
    <t>Board_Lib: Audio FPD-link Control Library</t>
  </si>
  <si>
    <t>DSS Video Lite 2 Pipeline Support</t>
  </si>
  <si>
    <t>VHWA: DOF Min/Max Frame size</t>
  </si>
  <si>
    <t>PDK-3739 : navss mcrc semi cpu 720p framesize</t>
  </si>
  <si>
    <t>PDK-3253 : Main NAVSS UDMA CRC Example on mpu1_0</t>
  </si>
  <si>
    <t xml:space="preserve">PDK OSAL : Support for Heap and Load modules </t>
  </si>
  <si>
    <t>Common: Profile - Debug</t>
  </si>
  <si>
    <t>PDK-3504 : DRU Indirect 2D Blockcpy MSMC circular 1KB to MSMC circular 1KB performance test</t>
  </si>
  <si>
    <t>PDK-7300 : Pmic_powerGetPwrResourceCfg : Parameter validation for Pmic_PowerResourceCfg_t</t>
  </si>
  <si>
    <t>PDK-3737 : navss mcrc semi cpu small framesize</t>
  </si>
  <si>
    <t>UDMA: PDMA Channel Configure API</t>
  </si>
  <si>
    <t>PDK-6092 : Pmic_rtcSetAlarmIntr : Parameter validation for timeMode</t>
  </si>
  <si>
    <t>PDK-7795 : Pmic_esmGetConfiguration: Parameter validation for pEsmCfg</t>
  </si>
  <si>
    <t>CSI2RX: Pixels Output per Pixel Clock</t>
  </si>
  <si>
    <t>PDK-7330 : Pmic_wdgSetCfg : Parameter validation for longWindow_ms max value</t>
  </si>
  <si>
    <t>CSI2TX: Datapath Configuration API</t>
  </si>
  <si>
    <t>CSI2RX: RGB888 Data Format Support</t>
  </si>
  <si>
    <t>PDK-7290 : Pmic_powerSetIntr: Test Enable IMM_SHUTDOWN interrupt</t>
  </si>
  <si>
    <t>DSS DCTRLDRV: Set Overlay Parameters IOCTL Support</t>
  </si>
  <si>
    <t>VHWA: VISS Dual output in YUV420 and YUV422 format</t>
  </si>
  <si>
    <t>PDK-7133 : Pmic_powerSetPwrResourceCfg : Parameter validation for Power Resource for rvCheckEn.</t>
  </si>
  <si>
    <t>IMPLEMENTED</t>
  </si>
  <si>
    <t>VHWA: LDC Configuration</t>
  </si>
  <si>
    <t>PDK_TDA_01.07.00,PDK_TDA_01.08.00,PDK_TDA_01.08.01,PDK_TDA_01.09.00,PDK_TDA_01.10.00,PROCESSOR_SDK_07.03.00,PDK_TDA_01.10.01,PDK_TDA_01.10.02,PDK_TDA_01.10.03,PDK_TDA_01.10.04,PROCESSOR-CORESDK-SAFETY_07.03.00,CSL-FSQ_07.03.00,PROCESSOR_SDK_08.00.00</t>
  </si>
  <si>
    <t>PDK-3746 : navss mcrc semi cpu Msmc buf</t>
  </si>
  <si>
    <t>PDK-3305 : DSS Display RTOS VID1/VIDL1 test on mcu2_0</t>
  </si>
  <si>
    <t>PDK-4133 : SD card diagnostic test</t>
  </si>
  <si>
    <t>PDK-3885 : DSS Display RTOS RGB16-565 buffer test on mcu2_0</t>
  </si>
  <si>
    <t>VHWA: NF 12b packed to 12b packed Storage Format</t>
  </si>
  <si>
    <t>PDK-7776 : Pmic_esmGetEnableState: Test to verify ESM SOC Enable readback</t>
  </si>
  <si>
    <t>PM: Support for placing peripherals or CPU subsystems out of reset.</t>
  </si>
  <si>
    <t>PDK-3293 : IPC echo-test - A72 (Bios) to MCU R5F (Bios)</t>
  </si>
  <si>
    <t>Board_Diag: LIN interface Diagnostic Functional Test</t>
  </si>
  <si>
    <t>Board_Diag: IO Expansion &amp; Test headers Diagnostic Functional Test</t>
  </si>
  <si>
    <t>PDK-3524 : VHWA MSC Instance 0-&gt;5 output Instance 1-&gt;5 output YUV420 12b packed</t>
  </si>
  <si>
    <t>PDK-7328 : Pmic_wdgSetCfg : Parameter validation for handle</t>
  </si>
  <si>
    <t>PDK-6497 : SBL for J721E/J7200 supported functions - OSPI boot</t>
  </si>
  <si>
    <t>SCICLIENT: Single Blocking API to service DMSC requests</t>
  </si>
  <si>
    <t>PDK-7270 : Pmic_powerSetThermalConfig: Parameter validation for handle</t>
  </si>
  <si>
    <t>VHWA: NF 8b packed to 8b packed Storage Format</t>
  </si>
  <si>
    <t>PDK-7021 : Pmic_rtcSetTimeDateInfo: Parameter range validation for year</t>
  </si>
  <si>
    <t>SPI LLD: programmable clock phase and polarity</t>
  </si>
  <si>
    <t xml:space="preserve">PDK-5029 : OSAL Unit Test: Semaphore test </t>
  </si>
  <si>
    <t>PDK-7636 : Pmic_getRecoveryCnt: Parameter validation for recovCntVal.</t>
  </si>
  <si>
    <t>PROCESSOR_SDK_07.01.00,PROCESSOR_SDK_07.02.00,PROCESSOR_SDK_07.03.00,PROCESSOR-CORESDK-SAFETY_07.02.00,PROCESSOR_SDK_08.00.00,PMIC-FSQ_07.02.00</t>
  </si>
  <si>
    <t>SBL: OSPI Boot Media Support</t>
  </si>
  <si>
    <t>SBL: Re-entrant</t>
  </si>
  <si>
    <t>PDK-3314 : DSS Display RTOS YUV422I-UYVY buffer test on mcu2_0</t>
  </si>
  <si>
    <t>VHWA: Multiple instance of MSC</t>
  </si>
  <si>
    <t>SA2UL: SHA2-384 Support</t>
  </si>
  <si>
    <t>PDK-3501 : DRU Indirect Blockcpy DDR 1MB to DDR 1MB performance test</t>
  </si>
  <si>
    <t>RTOS: UART LLD requirements: error handling</t>
  </si>
  <si>
    <t>PDK-6100 : Pmic_rtcSetAlarmIntr : Negative test for day= 0</t>
  </si>
  <si>
    <t>SPI LLD: support callback mode</t>
  </si>
  <si>
    <t>DSS Z order Support</t>
  </si>
  <si>
    <t>PROCESSOR_SDK_07.01.00,PROCESSOR_SDK_07.00.00,PROCESSOR_SDK_07.03.00,PROCESSOR-CORESDK-SAFETY_07.02.00,PROCESSOR_SDK_08.00.00,PMIC-FSQ_07.02.00</t>
  </si>
  <si>
    <t>CSL-FL: UDMA PSILCFG Support</t>
  </si>
  <si>
    <t>PDK-7201 : Pmic_powerSetPwrResourceCfg : Test LDO residual voltage check timeout select for 0.5MS.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</si>
</sst>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sz val="10"/>
      <color indexed="9"/>
      <name val="Arial"/>
    </font>
    <font>
      <u/>
      <sz val="10"/>
      <color indexed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18"/>
      </patternFill>
    </fill>
    <fill>
      <patternFill patternType="solid">
        <fgColor indexed="15"/>
        <bgColor indexed="18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bgColor indexed="8"/>
      </patternFill>
    </fill>
    <fill>
      <patternFill patternType="solid">
        <fgColor indexed="11"/>
        <bgColor indexed="18"/>
      </patternFill>
    </fill>
    <fill>
      <patternFill patternType="solid">
        <fgColor indexed="9"/>
        <bgColor indexed="18"/>
      </patternFill>
    </fill>
    <fill>
      <patternFill patternType="solid">
        <fgColor indexed="13"/>
        <bgColor indexed="18"/>
      </patternFill>
    </fill>
    <fill>
      <patternFill patternType="solid">
        <fgColor indexed="14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1" fillId="0" borderId="0" xfId="0" applyFont="1"/>
    <xf numFmtId="0" fontId="0" fillId="0" borderId="0" xfId="0"/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/>
    <xf numFmtId="0" fontId="2" fillId="6" borderId="0" xfId="0" applyFont="1" applyFill="1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 wrapText="1"/>
    </xf>
    <xf numFmtId="0" fontId="0" fillId="9" borderId="0" xfId="0" applyFont="1" applyFill="1" applyAlignment="1">
      <alignment horizontal="left" vertical="center" wrapText="1"/>
    </xf>
    <xf numFmtId="0" fontId="0" fillId="10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/>
    </xf>
    <xf numFmtId="0" fontId="0" fillId="0" borderId="0" xfId="0"/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9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FFFFFF"/>
      <rgbColor rgb="000000FF"/>
      <rgbColor rgb="00008000"/>
      <rgbColor rgb="00FFA500"/>
      <rgbColor rgb="00FF0000"/>
      <rgbColor rgb="00FFFF00"/>
      <rgbColor rgb="00F5DEB3"/>
      <rgbColor rgb="0020B2AA"/>
      <rgbColor rgb="00ADD8E6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2:G23"/>
  <sheetViews>
    <sheetView tabSelected="1" workbookViewId="0"/>
  </sheetViews>
  <sheetFormatPr defaultColWidth="9.1328125" defaultRowHeight="12.75" x14ac:dyDescent="0.35"/>
  <cols>
    <col min="2" max="2" width="35" style="1" customWidth="1"/>
    <col min="3" max="7" width="25" style="1" customWidth="1"/>
  </cols>
  <sheetData>
    <row r="2" spans="2:7" x14ac:dyDescent="0.35">
      <c r="B2" s="13" t="s">
        <v>1158</v>
      </c>
      <c r="C2" s="14"/>
      <c r="D2" s="14"/>
      <c r="E2" s="14"/>
      <c r="F2" s="14"/>
      <c r="G2" s="14"/>
    </row>
    <row r="4" spans="2:7" x14ac:dyDescent="0.35">
      <c r="B4" s="15" t="s">
        <v>1077</v>
      </c>
      <c r="C4" s="15"/>
      <c r="D4" s="14"/>
      <c r="E4" s="14"/>
      <c r="F4" s="14"/>
      <c r="G4" s="14"/>
    </row>
    <row r="5" spans="2:7" x14ac:dyDescent="0.35">
      <c r="B5" s="2" t="s">
        <v>87</v>
      </c>
      <c r="C5" s="16" t="s">
        <v>168</v>
      </c>
      <c r="D5" s="14"/>
      <c r="E5" s="14"/>
      <c r="F5" s="14"/>
      <c r="G5" s="14"/>
    </row>
    <row r="6" spans="2:7" x14ac:dyDescent="0.35">
      <c r="B6" s="2" t="s">
        <v>1613</v>
      </c>
      <c r="C6" s="16" t="s">
        <v>150</v>
      </c>
      <c r="D6" s="14"/>
      <c r="E6" s="14"/>
      <c r="F6" s="14"/>
      <c r="G6" s="14"/>
    </row>
    <row r="7" spans="2:7" x14ac:dyDescent="0.35">
      <c r="B7" s="2" t="s">
        <v>1397</v>
      </c>
      <c r="C7" s="16" t="s">
        <v>1277</v>
      </c>
      <c r="D7" s="14"/>
      <c r="E7" s="14"/>
      <c r="F7" s="14"/>
      <c r="G7" s="14"/>
    </row>
    <row r="8" spans="2:7" x14ac:dyDescent="0.35">
      <c r="B8" s="2" t="s">
        <v>1137</v>
      </c>
      <c r="C8" s="16" t="s">
        <v>755</v>
      </c>
      <c r="D8" s="14"/>
      <c r="E8" s="14"/>
      <c r="F8" s="14"/>
      <c r="G8" s="14"/>
    </row>
    <row r="11" spans="2:7" x14ac:dyDescent="0.35">
      <c r="B11" s="17" t="s">
        <v>779</v>
      </c>
      <c r="C11" s="14"/>
      <c r="D11" s="14"/>
    </row>
    <row r="12" spans="2:7" x14ac:dyDescent="0.35">
      <c r="B12" s="3" t="s">
        <v>978</v>
      </c>
      <c r="C12" s="3" t="s">
        <v>953</v>
      </c>
      <c r="D12" s="3" t="s">
        <v>1060</v>
      </c>
    </row>
    <row r="13" spans="2:7" x14ac:dyDescent="0.35">
      <c r="B13" s="1" t="s">
        <v>967</v>
      </c>
      <c r="C13" s="4">
        <v>708</v>
      </c>
      <c r="D13" s="4" t="s">
        <v>339</v>
      </c>
    </row>
    <row r="14" spans="2:7" x14ac:dyDescent="0.35">
      <c r="B14" s="1" t="s">
        <v>1257</v>
      </c>
      <c r="C14" s="4">
        <v>21</v>
      </c>
      <c r="D14" s="4" t="s">
        <v>1255</v>
      </c>
    </row>
    <row r="15" spans="2:7" x14ac:dyDescent="0.35">
      <c r="B15" s="1" t="s">
        <v>1545</v>
      </c>
      <c r="C15" s="4">
        <v>36</v>
      </c>
      <c r="D15" s="4" t="s">
        <v>337</v>
      </c>
    </row>
    <row r="16" spans="2:7" x14ac:dyDescent="0.35">
      <c r="B16" s="1" t="s">
        <v>863</v>
      </c>
      <c r="C16" s="4">
        <v>2</v>
      </c>
      <c r="D16" s="4" t="s">
        <v>1417</v>
      </c>
    </row>
    <row r="17" spans="2:7" x14ac:dyDescent="0.35">
      <c r="B17" s="5" t="s">
        <v>395</v>
      </c>
      <c r="C17" s="3" t="s">
        <v>1529</v>
      </c>
      <c r="D17" s="3"/>
    </row>
    <row r="21" spans="2:7" x14ac:dyDescent="0.35">
      <c r="B21" s="17" t="s">
        <v>289</v>
      </c>
      <c r="C21" s="14"/>
      <c r="D21" s="14"/>
      <c r="E21" s="14"/>
      <c r="F21" s="14"/>
      <c r="G21" s="14"/>
    </row>
    <row r="22" spans="2:7" x14ac:dyDescent="0.35">
      <c r="B22" s="3" t="s">
        <v>971</v>
      </c>
      <c r="C22" s="3" t="s">
        <v>1123</v>
      </c>
      <c r="D22" s="3" t="s">
        <v>491</v>
      </c>
      <c r="E22" s="3" t="s">
        <v>451</v>
      </c>
      <c r="F22" s="3" t="s">
        <v>413</v>
      </c>
      <c r="G22" s="3" t="s">
        <v>1222</v>
      </c>
    </row>
    <row r="23" spans="2:7" x14ac:dyDescent="0.35">
      <c r="B23" s="1" t="s">
        <v>1277</v>
      </c>
      <c r="C23" s="4">
        <v>1440</v>
      </c>
      <c r="D23" s="4">
        <v>24</v>
      </c>
      <c r="E23" s="4">
        <v>21</v>
      </c>
      <c r="F23" s="4">
        <v>17</v>
      </c>
    </row>
  </sheetData>
  <mergeCells count="8">
    <mergeCell ref="B11:D11"/>
    <mergeCell ref="B21:G21"/>
    <mergeCell ref="B2:G2"/>
    <mergeCell ref="B4:G4"/>
    <mergeCell ref="C5:G5"/>
    <mergeCell ref="C6:G6"/>
    <mergeCell ref="C7:G7"/>
    <mergeCell ref="C8:G8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06"/>
  <sheetViews>
    <sheetView workbookViewId="0">
      <pane ySplit="1" topLeftCell="A2" activePane="bottomLeft" state="frozen"/>
      <selection pane="bottomLeft"/>
    </sheetView>
  </sheetViews>
  <sheetFormatPr defaultColWidth="15" defaultRowHeight="12.75" x14ac:dyDescent="0.35"/>
  <cols>
    <col min="1" max="2" width="25" style="1" customWidth="1"/>
    <col min="3" max="3" width="50" style="1" customWidth="1"/>
    <col min="4" max="4" width="27" style="1" customWidth="1"/>
    <col min="5" max="6" width="15" style="1" customWidth="1"/>
    <col min="7" max="7" width="50" style="1" customWidth="1"/>
    <col min="8" max="9" width="12" style="1" customWidth="1"/>
  </cols>
  <sheetData>
    <row r="1" spans="1:9" x14ac:dyDescent="0.35">
      <c r="A1" s="6" t="s">
        <v>1503</v>
      </c>
      <c r="B1" s="6" t="s">
        <v>769</v>
      </c>
      <c r="C1" s="6" t="s">
        <v>700</v>
      </c>
      <c r="D1" s="6" t="s">
        <v>47</v>
      </c>
      <c r="E1" s="6" t="s">
        <v>487</v>
      </c>
      <c r="F1" s="6" t="s">
        <v>126</v>
      </c>
      <c r="G1" s="6" t="s">
        <v>57</v>
      </c>
      <c r="H1" s="6" t="s">
        <v>1277</v>
      </c>
      <c r="I1" s="6" t="s">
        <v>1189</v>
      </c>
    </row>
    <row r="2" spans="1:9" ht="25.5" x14ac:dyDescent="0.35">
      <c r="A2" s="18" t="s">
        <v>820</v>
      </c>
      <c r="B2" s="19" t="str">
        <f>HYPERLINK("https://jira.itg.ti.com/browse/PDK-6083","PDK-6083")</f>
        <v>PDK-6083</v>
      </c>
      <c r="C2" s="18" t="s">
        <v>1216</v>
      </c>
      <c r="D2" s="18" t="s">
        <v>1423</v>
      </c>
      <c r="E2" s="18" t="s">
        <v>1645</v>
      </c>
      <c r="F2" s="20" t="s">
        <v>1229</v>
      </c>
      <c r="G2" s="9" t="s">
        <v>223</v>
      </c>
      <c r="H2" s="8" t="s">
        <v>394</v>
      </c>
      <c r="I2" s="7" t="s">
        <v>1031</v>
      </c>
    </row>
    <row r="3" spans="1:9" ht="25.5" x14ac:dyDescent="0.35">
      <c r="A3" s="18" t="s">
        <v>267</v>
      </c>
      <c r="B3" s="19" t="str">
        <f>HYPERLINK("https://jira.itg.ti.com/browse/PDK-6075","PDK-6075")</f>
        <v>PDK-6075</v>
      </c>
      <c r="C3" s="18" t="s">
        <v>498</v>
      </c>
      <c r="D3" s="18" t="s">
        <v>1423</v>
      </c>
      <c r="E3" s="18" t="s">
        <v>1645</v>
      </c>
      <c r="F3" s="20" t="s">
        <v>1229</v>
      </c>
      <c r="G3" s="9" t="s">
        <v>223</v>
      </c>
      <c r="H3" s="8" t="s">
        <v>394</v>
      </c>
      <c r="I3" s="7" t="s">
        <v>1031</v>
      </c>
    </row>
    <row r="4" spans="1:9" ht="25.5" x14ac:dyDescent="0.35">
      <c r="A4" s="18" t="s">
        <v>158</v>
      </c>
      <c r="B4" s="19" t="str">
        <f>HYPERLINK("https://jira.itg.ti.com/browse/PDK-6079","PDK-6079")</f>
        <v>PDK-6079</v>
      </c>
      <c r="C4" s="18" t="s">
        <v>1082</v>
      </c>
      <c r="D4" s="18" t="s">
        <v>1423</v>
      </c>
      <c r="E4" s="18" t="s">
        <v>1645</v>
      </c>
      <c r="F4" s="20" t="s">
        <v>1229</v>
      </c>
      <c r="G4" s="9" t="s">
        <v>223</v>
      </c>
      <c r="H4" s="8" t="s">
        <v>394</v>
      </c>
      <c r="I4" s="7" t="s">
        <v>1031</v>
      </c>
    </row>
    <row r="5" spans="1:9" ht="25.5" x14ac:dyDescent="0.35">
      <c r="A5" s="18" t="s">
        <v>897</v>
      </c>
      <c r="B5" s="19" t="str">
        <f>HYPERLINK("https://jira.itg.ti.com/browse/PDK-6078","PDK-6078")</f>
        <v>PDK-6078</v>
      </c>
      <c r="C5" s="18" t="s">
        <v>892</v>
      </c>
      <c r="D5" s="18" t="s">
        <v>1423</v>
      </c>
      <c r="E5" s="18" t="s">
        <v>1645</v>
      </c>
      <c r="F5" s="20" t="s">
        <v>1229</v>
      </c>
      <c r="G5" s="9" t="s">
        <v>223</v>
      </c>
      <c r="H5" s="8" t="s">
        <v>394</v>
      </c>
      <c r="I5" s="7" t="s">
        <v>1031</v>
      </c>
    </row>
    <row r="6" spans="1:9" ht="25.5" x14ac:dyDescent="0.35">
      <c r="A6" s="18" t="s">
        <v>1283</v>
      </c>
      <c r="B6" s="19" t="str">
        <f>HYPERLINK("https://jira.itg.ti.com/browse/PDK-6022","PDK-6022")</f>
        <v>PDK-6022</v>
      </c>
      <c r="C6" s="18" t="s">
        <v>377</v>
      </c>
      <c r="D6" s="18" t="s">
        <v>1569</v>
      </c>
      <c r="E6" s="18" t="s">
        <v>1645</v>
      </c>
      <c r="F6" s="20" t="s">
        <v>1229</v>
      </c>
      <c r="G6" s="9" t="s">
        <v>223</v>
      </c>
      <c r="H6" s="8" t="s">
        <v>394</v>
      </c>
      <c r="I6" s="7" t="s">
        <v>1031</v>
      </c>
    </row>
    <row r="7" spans="1:9" x14ac:dyDescent="0.35">
      <c r="A7" s="18"/>
      <c r="B7" s="19"/>
      <c r="C7" s="18"/>
      <c r="D7" s="18"/>
      <c r="E7" s="18"/>
      <c r="F7" s="20"/>
      <c r="G7" s="10" t="s">
        <v>176</v>
      </c>
      <c r="H7" s="8" t="s">
        <v>394</v>
      </c>
    </row>
    <row r="8" spans="1:9" x14ac:dyDescent="0.35">
      <c r="A8" s="18" t="s">
        <v>1283</v>
      </c>
      <c r="B8" s="19" t="str">
        <f>HYPERLINK("https://jira.itg.ti.com/browse/PDK-6023","PDK-6023")</f>
        <v>PDK-6023</v>
      </c>
      <c r="C8" s="18" t="s">
        <v>1379</v>
      </c>
      <c r="D8" s="18" t="s">
        <v>1569</v>
      </c>
      <c r="E8" s="18" t="s">
        <v>1645</v>
      </c>
      <c r="F8" s="20" t="s">
        <v>1229</v>
      </c>
      <c r="G8" s="9" t="s">
        <v>1616</v>
      </c>
      <c r="H8" s="8" t="s">
        <v>394</v>
      </c>
      <c r="I8" s="7" t="s">
        <v>1031</v>
      </c>
    </row>
    <row r="9" spans="1:9" x14ac:dyDescent="0.35">
      <c r="A9" s="18" t="s">
        <v>1283</v>
      </c>
      <c r="B9" s="19" t="str">
        <f>HYPERLINK("https://jira.itg.ti.com/browse/PDK-6026","PDK-6026")</f>
        <v>PDK-6026</v>
      </c>
      <c r="C9" s="18" t="s">
        <v>905</v>
      </c>
      <c r="D9" s="18" t="s">
        <v>1569</v>
      </c>
      <c r="E9" s="18" t="s">
        <v>1645</v>
      </c>
      <c r="F9" s="20" t="s">
        <v>1229</v>
      </c>
      <c r="G9" s="9" t="s">
        <v>1616</v>
      </c>
      <c r="H9" s="8" t="s">
        <v>394</v>
      </c>
      <c r="I9" s="7" t="s">
        <v>1031</v>
      </c>
    </row>
    <row r="10" spans="1:9" x14ac:dyDescent="0.35">
      <c r="A10" s="18" t="s">
        <v>1283</v>
      </c>
      <c r="B10" s="19" t="str">
        <f>HYPERLINK("https://jira.itg.ti.com/browse/PDK-6032","PDK-6032")</f>
        <v>PDK-6032</v>
      </c>
      <c r="C10" s="18" t="s">
        <v>869</v>
      </c>
      <c r="D10" s="18" t="s">
        <v>1569</v>
      </c>
      <c r="E10" s="18" t="s">
        <v>1645</v>
      </c>
      <c r="F10" s="20" t="s">
        <v>1229</v>
      </c>
      <c r="G10" s="9" t="s">
        <v>1616</v>
      </c>
      <c r="H10" s="8" t="s">
        <v>394</v>
      </c>
      <c r="I10" s="7" t="s">
        <v>1031</v>
      </c>
    </row>
    <row r="11" spans="1:9" x14ac:dyDescent="0.35">
      <c r="A11" s="18" t="s">
        <v>1283</v>
      </c>
      <c r="B11" s="19" t="str">
        <f>HYPERLINK("https://jira.itg.ti.com/browse/PDK-6033","PDK-6033")</f>
        <v>PDK-6033</v>
      </c>
      <c r="C11" s="18" t="s">
        <v>980</v>
      </c>
      <c r="D11" s="18" t="s">
        <v>1569</v>
      </c>
      <c r="E11" s="18" t="s">
        <v>1645</v>
      </c>
      <c r="F11" s="20" t="s">
        <v>1229</v>
      </c>
      <c r="G11" s="9" t="s">
        <v>488</v>
      </c>
      <c r="H11" s="8" t="s">
        <v>394</v>
      </c>
      <c r="I11" s="7" t="s">
        <v>1031</v>
      </c>
    </row>
    <row r="12" spans="1:9" x14ac:dyDescent="0.35">
      <c r="A12" s="18" t="s">
        <v>1283</v>
      </c>
      <c r="B12" s="19" t="str">
        <f>HYPERLINK("https://jira.itg.ti.com/browse/PDK-6044","PDK-6044")</f>
        <v>PDK-6044</v>
      </c>
      <c r="C12" s="18" t="s">
        <v>1224</v>
      </c>
      <c r="D12" s="18" t="s">
        <v>1569</v>
      </c>
      <c r="E12" s="18" t="s">
        <v>1645</v>
      </c>
      <c r="F12" s="20" t="s">
        <v>1229</v>
      </c>
      <c r="G12" s="9" t="s">
        <v>488</v>
      </c>
      <c r="H12" s="8" t="s">
        <v>394</v>
      </c>
      <c r="I12" s="7" t="s">
        <v>1031</v>
      </c>
    </row>
    <row r="13" spans="1:9" x14ac:dyDescent="0.35">
      <c r="A13" s="18" t="s">
        <v>1283</v>
      </c>
      <c r="B13" s="19" t="str">
        <f>HYPERLINK("https://jira.itg.ti.com/browse/PDK-6045","PDK-6045")</f>
        <v>PDK-6045</v>
      </c>
      <c r="C13" s="18" t="s">
        <v>1089</v>
      </c>
      <c r="D13" s="18" t="s">
        <v>1569</v>
      </c>
      <c r="E13" s="18" t="s">
        <v>1645</v>
      </c>
      <c r="F13" s="20" t="s">
        <v>1229</v>
      </c>
      <c r="G13" s="9" t="s">
        <v>488</v>
      </c>
      <c r="H13" s="8" t="s">
        <v>394</v>
      </c>
      <c r="I13" s="7" t="s">
        <v>1031</v>
      </c>
    </row>
    <row r="14" spans="1:9" x14ac:dyDescent="0.35">
      <c r="A14" s="18" t="s">
        <v>1283</v>
      </c>
      <c r="B14" s="19" t="str">
        <f>HYPERLINK("https://jira.itg.ti.com/browse/PDK-6047","PDK-6047")</f>
        <v>PDK-6047</v>
      </c>
      <c r="C14" s="18" t="s">
        <v>719</v>
      </c>
      <c r="D14" s="18" t="s">
        <v>1569</v>
      </c>
      <c r="E14" s="18" t="s">
        <v>1645</v>
      </c>
      <c r="F14" s="20" t="s">
        <v>1229</v>
      </c>
      <c r="G14" s="9" t="s">
        <v>176</v>
      </c>
      <c r="H14" s="8" t="s">
        <v>394</v>
      </c>
      <c r="I14" s="7" t="s">
        <v>1031</v>
      </c>
    </row>
    <row r="15" spans="1:9" x14ac:dyDescent="0.35">
      <c r="A15" s="18" t="s">
        <v>1283</v>
      </c>
      <c r="B15" s="19" t="str">
        <f>HYPERLINK("https://jira.itg.ti.com/browse/PDK-6048","PDK-6048")</f>
        <v>PDK-6048</v>
      </c>
      <c r="C15" s="18" t="s">
        <v>716</v>
      </c>
      <c r="D15" s="18" t="s">
        <v>1569</v>
      </c>
      <c r="E15" s="18" t="s">
        <v>1645</v>
      </c>
      <c r="F15" s="20" t="s">
        <v>1229</v>
      </c>
      <c r="G15" s="9" t="s">
        <v>1616</v>
      </c>
      <c r="H15" s="8" t="s">
        <v>394</v>
      </c>
      <c r="I15" s="7" t="s">
        <v>1031</v>
      </c>
    </row>
    <row r="16" spans="1:9" x14ac:dyDescent="0.35">
      <c r="A16" s="18" t="s">
        <v>1283</v>
      </c>
      <c r="B16" s="19" t="str">
        <f>HYPERLINK("https://jira.itg.ti.com/browse/PDK-6050","PDK-6050")</f>
        <v>PDK-6050</v>
      </c>
      <c r="C16" s="18" t="s">
        <v>1514</v>
      </c>
      <c r="D16" s="18" t="s">
        <v>1569</v>
      </c>
      <c r="E16" s="18" t="s">
        <v>1645</v>
      </c>
      <c r="F16" s="20" t="s">
        <v>1229</v>
      </c>
      <c r="G16" s="9" t="s">
        <v>176</v>
      </c>
      <c r="H16" s="8" t="s">
        <v>394</v>
      </c>
      <c r="I16" s="7" t="s">
        <v>1031</v>
      </c>
    </row>
    <row r="17" spans="1:9" x14ac:dyDescent="0.35">
      <c r="A17" s="18" t="s">
        <v>1283</v>
      </c>
      <c r="B17" s="19" t="str">
        <f>HYPERLINK("https://jira.itg.ti.com/browse/PDK-6058","PDK-6058")</f>
        <v>PDK-6058</v>
      </c>
      <c r="C17" s="18" t="s">
        <v>1501</v>
      </c>
      <c r="D17" s="18" t="s">
        <v>1569</v>
      </c>
      <c r="E17" s="18" t="s">
        <v>1645</v>
      </c>
      <c r="F17" s="20" t="s">
        <v>1229</v>
      </c>
      <c r="G17" s="9" t="s">
        <v>101</v>
      </c>
      <c r="H17" s="8" t="s">
        <v>394</v>
      </c>
      <c r="I17" s="7" t="s">
        <v>1031</v>
      </c>
    </row>
    <row r="18" spans="1:9" ht="25.5" x14ac:dyDescent="0.35">
      <c r="A18" s="18"/>
      <c r="B18" s="19"/>
      <c r="C18" s="18"/>
      <c r="D18" s="18"/>
      <c r="E18" s="18"/>
      <c r="F18" s="20"/>
      <c r="G18" s="10" t="s">
        <v>223</v>
      </c>
      <c r="H18" s="8" t="s">
        <v>394</v>
      </c>
    </row>
    <row r="19" spans="1:9" x14ac:dyDescent="0.35">
      <c r="A19" s="18" t="s">
        <v>1283</v>
      </c>
      <c r="B19" s="19" t="str">
        <f>HYPERLINK("https://jira.itg.ti.com/browse/PDK-6059","PDK-6059")</f>
        <v>PDK-6059</v>
      </c>
      <c r="C19" s="18" t="s">
        <v>1421</v>
      </c>
      <c r="D19" s="18" t="s">
        <v>1423</v>
      </c>
      <c r="E19" s="18" t="s">
        <v>1645</v>
      </c>
      <c r="F19" s="20" t="s">
        <v>1229</v>
      </c>
      <c r="G19" s="9" t="s">
        <v>1616</v>
      </c>
      <c r="H19" s="8" t="s">
        <v>394</v>
      </c>
      <c r="I19" s="7" t="s">
        <v>1031</v>
      </c>
    </row>
    <row r="20" spans="1:9" x14ac:dyDescent="0.35">
      <c r="A20" s="18" t="s">
        <v>1283</v>
      </c>
      <c r="B20" s="19" t="str">
        <f>HYPERLINK("https://jira.itg.ti.com/browse/PDK-6060","PDK-6060")</f>
        <v>PDK-6060</v>
      </c>
      <c r="C20" s="18" t="s">
        <v>1234</v>
      </c>
      <c r="D20" s="18" t="s">
        <v>1423</v>
      </c>
      <c r="E20" s="18" t="s">
        <v>1645</v>
      </c>
      <c r="F20" s="20" t="s">
        <v>1229</v>
      </c>
      <c r="G20" s="9" t="s">
        <v>1616</v>
      </c>
      <c r="H20" s="8" t="s">
        <v>394</v>
      </c>
      <c r="I20" s="7" t="s">
        <v>1031</v>
      </c>
    </row>
    <row r="21" spans="1:9" ht="25.5" x14ac:dyDescent="0.35">
      <c r="A21" s="18" t="s">
        <v>1283</v>
      </c>
      <c r="B21" s="19" t="str">
        <f>HYPERLINK("https://jira.itg.ti.com/browse/PDK-6061","PDK-6061")</f>
        <v>PDK-6061</v>
      </c>
      <c r="C21" s="18" t="s">
        <v>927</v>
      </c>
      <c r="D21" s="18" t="s">
        <v>1423</v>
      </c>
      <c r="E21" s="18" t="s">
        <v>1645</v>
      </c>
      <c r="F21" s="20" t="s">
        <v>1229</v>
      </c>
      <c r="G21" s="9" t="s">
        <v>223</v>
      </c>
      <c r="H21" s="8" t="s">
        <v>394</v>
      </c>
      <c r="I21" s="7" t="s">
        <v>1031</v>
      </c>
    </row>
    <row r="22" spans="1:9" ht="25.5" x14ac:dyDescent="0.35">
      <c r="A22" s="18" t="s">
        <v>1283</v>
      </c>
      <c r="B22" s="19" t="str">
        <f>HYPERLINK("https://jira.itg.ti.com/browse/PDK-6062","PDK-6062")</f>
        <v>PDK-6062</v>
      </c>
      <c r="C22" s="18" t="s">
        <v>1390</v>
      </c>
      <c r="D22" s="18" t="s">
        <v>1423</v>
      </c>
      <c r="E22" s="18" t="s">
        <v>1645</v>
      </c>
      <c r="F22" s="20" t="s">
        <v>1229</v>
      </c>
      <c r="G22" s="9" t="s">
        <v>223</v>
      </c>
      <c r="H22" s="8" t="s">
        <v>394</v>
      </c>
      <c r="I22" s="7" t="s">
        <v>1031</v>
      </c>
    </row>
    <row r="23" spans="1:9" ht="25.5" x14ac:dyDescent="0.35">
      <c r="A23" s="18" t="s">
        <v>1283</v>
      </c>
      <c r="B23" s="19" t="str">
        <f>HYPERLINK("https://jira.itg.ti.com/browse/PDK-6067","PDK-6067")</f>
        <v>PDK-6067</v>
      </c>
      <c r="C23" s="18" t="s">
        <v>1327</v>
      </c>
      <c r="D23" s="18" t="s">
        <v>297</v>
      </c>
      <c r="E23" s="18" t="s">
        <v>1645</v>
      </c>
      <c r="F23" s="20" t="s">
        <v>1229</v>
      </c>
      <c r="G23" s="9" t="s">
        <v>223</v>
      </c>
      <c r="H23" s="8" t="s">
        <v>394</v>
      </c>
      <c r="I23" s="7" t="s">
        <v>1031</v>
      </c>
    </row>
    <row r="24" spans="1:9" ht="25.5" x14ac:dyDescent="0.35">
      <c r="A24" s="18" t="s">
        <v>1283</v>
      </c>
      <c r="B24" s="19" t="str">
        <f>HYPERLINK("https://jira.itg.ti.com/browse/PDK-6076","PDK-6076")</f>
        <v>PDK-6076</v>
      </c>
      <c r="C24" s="18" t="s">
        <v>376</v>
      </c>
      <c r="D24" s="18" t="s">
        <v>1423</v>
      </c>
      <c r="E24" s="18" t="s">
        <v>1645</v>
      </c>
      <c r="F24" s="20" t="s">
        <v>1229</v>
      </c>
      <c r="G24" s="9" t="s">
        <v>223</v>
      </c>
      <c r="H24" s="8" t="s">
        <v>394</v>
      </c>
      <c r="I24" s="7" t="s">
        <v>1031</v>
      </c>
    </row>
    <row r="25" spans="1:9" x14ac:dyDescent="0.35">
      <c r="A25" s="18" t="s">
        <v>1283</v>
      </c>
      <c r="B25" s="19" t="str">
        <f>HYPERLINK("https://jira.itg.ti.com/browse/PDK-6046","PDK-6046")</f>
        <v>PDK-6046</v>
      </c>
      <c r="C25" s="18" t="s">
        <v>795</v>
      </c>
      <c r="D25" s="18" t="s">
        <v>1569</v>
      </c>
      <c r="E25" s="18" t="s">
        <v>1645</v>
      </c>
      <c r="F25" s="20" t="s">
        <v>1229</v>
      </c>
      <c r="G25" s="9" t="s">
        <v>225</v>
      </c>
      <c r="H25" s="8" t="s">
        <v>394</v>
      </c>
      <c r="I25" s="7" t="s">
        <v>1031</v>
      </c>
    </row>
    <row r="26" spans="1:9" x14ac:dyDescent="0.35">
      <c r="A26" s="18" t="s">
        <v>1283</v>
      </c>
      <c r="B26" s="19" t="str">
        <f>HYPERLINK("https://jira.itg.ti.com/browse/PDK-6055","PDK-6055")</f>
        <v>PDK-6055</v>
      </c>
      <c r="C26" s="18" t="s">
        <v>189</v>
      </c>
      <c r="D26" s="18" t="s">
        <v>1569</v>
      </c>
      <c r="E26" s="18" t="s">
        <v>1645</v>
      </c>
      <c r="F26" s="20" t="s">
        <v>1229</v>
      </c>
      <c r="G26" s="9" t="s">
        <v>225</v>
      </c>
      <c r="H26" s="8" t="s">
        <v>394</v>
      </c>
      <c r="I26" s="7" t="s">
        <v>1031</v>
      </c>
    </row>
    <row r="27" spans="1:9" x14ac:dyDescent="0.35">
      <c r="A27" s="18" t="s">
        <v>1283</v>
      </c>
      <c r="B27" s="19" t="str">
        <f>HYPERLINK("https://jira.itg.ti.com/browse/PDK-6056","PDK-6056")</f>
        <v>PDK-6056</v>
      </c>
      <c r="C27" s="18" t="s">
        <v>655</v>
      </c>
      <c r="D27" s="18" t="s">
        <v>1569</v>
      </c>
      <c r="E27" s="18" t="s">
        <v>1645</v>
      </c>
      <c r="F27" s="20" t="s">
        <v>1229</v>
      </c>
      <c r="G27" s="9" t="s">
        <v>225</v>
      </c>
      <c r="H27" s="8" t="s">
        <v>394</v>
      </c>
      <c r="I27" s="7" t="s">
        <v>1031</v>
      </c>
    </row>
    <row r="28" spans="1:9" x14ac:dyDescent="0.35">
      <c r="A28" s="18" t="s">
        <v>1283</v>
      </c>
      <c r="B28" s="19" t="str">
        <f>HYPERLINK("https://jira.itg.ti.com/browse/PDK-6057","PDK-6057")</f>
        <v>PDK-6057</v>
      </c>
      <c r="C28" s="18" t="s">
        <v>437</v>
      </c>
      <c r="D28" s="18" t="s">
        <v>1569</v>
      </c>
      <c r="E28" s="18" t="s">
        <v>1645</v>
      </c>
      <c r="F28" s="20" t="s">
        <v>1229</v>
      </c>
      <c r="G28" s="9" t="s">
        <v>225</v>
      </c>
      <c r="H28" s="8" t="s">
        <v>394</v>
      </c>
      <c r="I28" s="7" t="s">
        <v>1031</v>
      </c>
    </row>
    <row r="29" spans="1:9" ht="25.5" x14ac:dyDescent="0.35">
      <c r="A29" s="19" t="str">
        <f>HYPERLINK("https://jira.itg.ti.com/browse/IVIREQ-780","IVIREQ-780")</f>
        <v>IVIREQ-780</v>
      </c>
      <c r="B29" s="19" t="str">
        <f>HYPERLINK("https://jira.itg.ti.com/browse/PDK-4120","PDK-4120")</f>
        <v>PDK-4120</v>
      </c>
      <c r="C29" s="18" t="s">
        <v>1191</v>
      </c>
      <c r="D29" s="18" t="s">
        <v>1268</v>
      </c>
      <c r="E29" s="18" t="s">
        <v>1645</v>
      </c>
      <c r="F29" s="20" t="s">
        <v>1229</v>
      </c>
      <c r="G29" s="9" t="s">
        <v>142</v>
      </c>
      <c r="H29" s="8" t="s">
        <v>394</v>
      </c>
      <c r="I29" s="7" t="s">
        <v>1031</v>
      </c>
    </row>
    <row r="30" spans="1:9" ht="25.5" x14ac:dyDescent="0.35">
      <c r="A30" s="19" t="str">
        <f>HYPERLINK("https://jira.itg.ti.com/browse/JACINTOREQ-1086","JACINTOREQ-1086")</f>
        <v>JACINTOREQ-1086</v>
      </c>
      <c r="B30" s="19" t="str">
        <f>HYPERLINK("https://jira.itg.ti.com/browse/PDK-5811","PDK-5811")</f>
        <v>PDK-5811</v>
      </c>
      <c r="C30" s="18" t="s">
        <v>1129</v>
      </c>
      <c r="D30" s="18" t="s">
        <v>1679</v>
      </c>
      <c r="E30" s="18" t="s">
        <v>1645</v>
      </c>
      <c r="F30" s="20" t="s">
        <v>1229</v>
      </c>
      <c r="G30" s="9" t="s">
        <v>1112</v>
      </c>
      <c r="H30" s="8" t="s">
        <v>394</v>
      </c>
      <c r="I30" s="7" t="s">
        <v>1031</v>
      </c>
    </row>
    <row r="31" spans="1:9" ht="25.5" x14ac:dyDescent="0.35">
      <c r="A31" s="18" t="s">
        <v>1027</v>
      </c>
      <c r="B31" s="19" t="str">
        <f>HYPERLINK("https://jira.itg.ti.com/browse/PDK-5809","PDK-5809")</f>
        <v>PDK-5809</v>
      </c>
      <c r="C31" s="18" t="s">
        <v>974</v>
      </c>
      <c r="D31" s="18" t="s">
        <v>1160</v>
      </c>
      <c r="E31" s="18" t="s">
        <v>1645</v>
      </c>
      <c r="F31" s="20" t="s">
        <v>1229</v>
      </c>
      <c r="G31" s="9" t="s">
        <v>268</v>
      </c>
      <c r="H31" s="8" t="s">
        <v>394</v>
      </c>
      <c r="I31" s="7" t="s">
        <v>1031</v>
      </c>
    </row>
    <row r="32" spans="1:9" ht="25.5" x14ac:dyDescent="0.35">
      <c r="A32" s="14"/>
      <c r="B32" s="14"/>
      <c r="C32" s="14"/>
      <c r="D32" s="14"/>
      <c r="E32" s="14"/>
      <c r="F32" s="14"/>
      <c r="G32" s="10" t="s">
        <v>354</v>
      </c>
      <c r="H32" s="8" t="s">
        <v>394</v>
      </c>
    </row>
    <row r="33" spans="1:9" ht="25.5" x14ac:dyDescent="0.35">
      <c r="A33" s="14"/>
      <c r="B33" s="14"/>
      <c r="C33" s="14"/>
      <c r="D33" s="14"/>
      <c r="E33" s="14"/>
      <c r="F33" s="14"/>
      <c r="G33" s="10" t="s">
        <v>1000</v>
      </c>
      <c r="H33" s="8" t="s">
        <v>394</v>
      </c>
    </row>
    <row r="34" spans="1:9" ht="25.5" x14ac:dyDescent="0.35">
      <c r="A34" s="14"/>
      <c r="B34" s="14"/>
      <c r="C34" s="14"/>
      <c r="D34" s="14"/>
      <c r="E34" s="14"/>
      <c r="F34" s="14"/>
      <c r="G34" s="10" t="s">
        <v>1509</v>
      </c>
      <c r="H34" s="8" t="s">
        <v>394</v>
      </c>
    </row>
    <row r="35" spans="1:9" ht="25.5" x14ac:dyDescent="0.35">
      <c r="A35" s="14"/>
      <c r="B35" s="14"/>
      <c r="C35" s="14"/>
      <c r="D35" s="14"/>
      <c r="E35" s="14"/>
      <c r="F35" s="14"/>
      <c r="G35" s="10" t="s">
        <v>440</v>
      </c>
      <c r="H35" s="8" t="s">
        <v>394</v>
      </c>
    </row>
    <row r="36" spans="1:9" ht="25.5" x14ac:dyDescent="0.35">
      <c r="A36" s="14"/>
      <c r="B36" s="14"/>
      <c r="C36" s="14"/>
      <c r="D36" s="14"/>
      <c r="E36" s="14"/>
      <c r="F36" s="14"/>
      <c r="G36" s="10" t="s">
        <v>425</v>
      </c>
      <c r="H36" s="8" t="s">
        <v>394</v>
      </c>
    </row>
    <row r="37" spans="1:9" ht="25.5" x14ac:dyDescent="0.35">
      <c r="A37" s="14"/>
      <c r="B37" s="14"/>
      <c r="C37" s="14"/>
      <c r="D37" s="14"/>
      <c r="E37" s="14"/>
      <c r="F37" s="14"/>
      <c r="G37" s="10" t="s">
        <v>949</v>
      </c>
      <c r="H37" s="8" t="s">
        <v>394</v>
      </c>
    </row>
    <row r="38" spans="1:9" ht="25.5" x14ac:dyDescent="0.35">
      <c r="A38" s="14"/>
      <c r="B38" s="14"/>
      <c r="C38" s="14"/>
      <c r="D38" s="14"/>
      <c r="E38" s="14"/>
      <c r="F38" s="14"/>
      <c r="G38" s="10" t="s">
        <v>645</v>
      </c>
      <c r="H38" s="8" t="s">
        <v>394</v>
      </c>
    </row>
    <row r="39" spans="1:9" ht="25.5" x14ac:dyDescent="0.35">
      <c r="A39" s="14"/>
      <c r="B39" s="14"/>
      <c r="C39" s="14"/>
      <c r="D39" s="14"/>
      <c r="E39" s="14"/>
      <c r="F39" s="14"/>
      <c r="G39" s="10" t="s">
        <v>1667</v>
      </c>
      <c r="H39" s="8" t="s">
        <v>394</v>
      </c>
    </row>
    <row r="40" spans="1:9" ht="25.5" x14ac:dyDescent="0.35">
      <c r="A40" s="18"/>
      <c r="B40" s="19"/>
      <c r="C40" s="18"/>
      <c r="D40" s="18"/>
      <c r="E40" s="18"/>
      <c r="F40" s="20"/>
      <c r="G40" s="10" t="s">
        <v>913</v>
      </c>
      <c r="H40" s="8" t="s">
        <v>394</v>
      </c>
    </row>
    <row r="41" spans="1:9" ht="25.5" x14ac:dyDescent="0.35">
      <c r="A41" s="18" t="s">
        <v>1027</v>
      </c>
      <c r="B41" s="19" t="str">
        <f>HYPERLINK("https://jira.itg.ti.com/browse/PDK-5816","PDK-5816")</f>
        <v>PDK-5816</v>
      </c>
      <c r="C41" s="18" t="s">
        <v>1261</v>
      </c>
      <c r="D41" s="18" t="s">
        <v>1679</v>
      </c>
      <c r="E41" s="18" t="s">
        <v>1645</v>
      </c>
      <c r="F41" s="20" t="s">
        <v>1229</v>
      </c>
      <c r="G41" s="9" t="s">
        <v>1381</v>
      </c>
      <c r="H41" s="8" t="s">
        <v>394</v>
      </c>
      <c r="I41" s="7" t="s">
        <v>1031</v>
      </c>
    </row>
    <row r="42" spans="1:9" ht="25.5" x14ac:dyDescent="0.35">
      <c r="A42" s="18" t="s">
        <v>1027</v>
      </c>
      <c r="B42" s="19" t="str">
        <f>HYPERLINK("https://jira.itg.ti.com/browse/PDK-5817","PDK-5817")</f>
        <v>PDK-5817</v>
      </c>
      <c r="C42" s="18" t="s">
        <v>369</v>
      </c>
      <c r="D42" s="18" t="s">
        <v>352</v>
      </c>
      <c r="E42" s="18" t="s">
        <v>1645</v>
      </c>
      <c r="F42" s="20" t="s">
        <v>1229</v>
      </c>
      <c r="G42" s="9" t="s">
        <v>1112</v>
      </c>
      <c r="H42" s="8" t="s">
        <v>394</v>
      </c>
      <c r="I42" s="7" t="s">
        <v>1031</v>
      </c>
    </row>
    <row r="43" spans="1:9" ht="25.5" x14ac:dyDescent="0.35">
      <c r="A43" s="18" t="s">
        <v>1027</v>
      </c>
      <c r="B43" s="19" t="str">
        <f>HYPERLINK("https://jira.itg.ti.com/browse/PDK-5818","PDK-5818")</f>
        <v>PDK-5818</v>
      </c>
      <c r="C43" s="18" t="s">
        <v>759</v>
      </c>
      <c r="D43" s="18" t="s">
        <v>1679</v>
      </c>
      <c r="E43" s="18" t="s">
        <v>1645</v>
      </c>
      <c r="F43" s="20" t="s">
        <v>1229</v>
      </c>
      <c r="G43" s="9" t="s">
        <v>512</v>
      </c>
      <c r="H43" s="8" t="s">
        <v>394</v>
      </c>
      <c r="I43" s="7" t="s">
        <v>1031</v>
      </c>
    </row>
    <row r="44" spans="1:9" ht="25.5" x14ac:dyDescent="0.35">
      <c r="A44" s="18" t="s">
        <v>1027</v>
      </c>
      <c r="B44" s="19" t="str">
        <f>HYPERLINK("https://jira.itg.ti.com/browse/PDK-5819","PDK-5819")</f>
        <v>PDK-5819</v>
      </c>
      <c r="C44" s="18" t="s">
        <v>1579</v>
      </c>
      <c r="D44" s="18" t="s">
        <v>1679</v>
      </c>
      <c r="E44" s="18" t="s">
        <v>1645</v>
      </c>
      <c r="F44" s="20" t="s">
        <v>1229</v>
      </c>
      <c r="G44" s="9" t="s">
        <v>996</v>
      </c>
      <c r="H44" s="8" t="s">
        <v>394</v>
      </c>
      <c r="I44" s="7" t="s">
        <v>1031</v>
      </c>
    </row>
    <row r="45" spans="1:9" ht="25.5" x14ac:dyDescent="0.35">
      <c r="A45" s="18" t="s">
        <v>1027</v>
      </c>
      <c r="B45" s="19" t="str">
        <f>HYPERLINK("https://jira.itg.ti.com/browse/PDK-5820","PDK-5820")</f>
        <v>PDK-5820</v>
      </c>
      <c r="C45" s="18" t="s">
        <v>447</v>
      </c>
      <c r="D45" s="18" t="s">
        <v>352</v>
      </c>
      <c r="E45" s="18" t="s">
        <v>1645</v>
      </c>
      <c r="F45" s="20" t="s">
        <v>1229</v>
      </c>
      <c r="G45" s="9" t="s">
        <v>1112</v>
      </c>
      <c r="H45" s="8" t="s">
        <v>394</v>
      </c>
      <c r="I45" s="7" t="s">
        <v>1031</v>
      </c>
    </row>
    <row r="46" spans="1:9" ht="25.5" x14ac:dyDescent="0.35">
      <c r="A46" s="18" t="s">
        <v>1027</v>
      </c>
      <c r="B46" s="19" t="str">
        <f>HYPERLINK("https://jira.itg.ti.com/browse/PDK-5821","PDK-5821")</f>
        <v>PDK-5821</v>
      </c>
      <c r="C46" s="18" t="s">
        <v>1153</v>
      </c>
      <c r="D46" s="18" t="s">
        <v>352</v>
      </c>
      <c r="E46" s="18" t="s">
        <v>1645</v>
      </c>
      <c r="F46" s="20" t="s">
        <v>1229</v>
      </c>
      <c r="G46" s="9" t="s">
        <v>1112</v>
      </c>
      <c r="H46" s="8" t="s">
        <v>394</v>
      </c>
      <c r="I46" s="7" t="s">
        <v>1031</v>
      </c>
    </row>
    <row r="47" spans="1:9" ht="25.5" x14ac:dyDescent="0.35">
      <c r="A47" s="18" t="s">
        <v>1027</v>
      </c>
      <c r="B47" s="19" t="str">
        <f>HYPERLINK("https://jira.itg.ti.com/browse/PDK-5822","PDK-5822")</f>
        <v>PDK-5822</v>
      </c>
      <c r="C47" s="18" t="s">
        <v>32</v>
      </c>
      <c r="D47" s="18" t="s">
        <v>352</v>
      </c>
      <c r="E47" s="18" t="s">
        <v>1645</v>
      </c>
      <c r="F47" s="20" t="s">
        <v>1229</v>
      </c>
      <c r="G47" s="9" t="s">
        <v>1112</v>
      </c>
      <c r="H47" s="8" t="s">
        <v>394</v>
      </c>
      <c r="I47" s="7" t="s">
        <v>1031</v>
      </c>
    </row>
    <row r="48" spans="1:9" ht="25.5" x14ac:dyDescent="0.35">
      <c r="A48" s="18" t="s">
        <v>1027</v>
      </c>
      <c r="B48" s="19" t="str">
        <f>HYPERLINK("https://jira.itg.ti.com/browse/PDK-5823","PDK-5823")</f>
        <v>PDK-5823</v>
      </c>
      <c r="C48" s="18" t="s">
        <v>68</v>
      </c>
      <c r="D48" s="18" t="s">
        <v>352</v>
      </c>
      <c r="E48" s="18" t="s">
        <v>1645</v>
      </c>
      <c r="F48" s="20" t="s">
        <v>1229</v>
      </c>
      <c r="G48" s="9" t="s">
        <v>1253</v>
      </c>
      <c r="H48" s="8" t="s">
        <v>394</v>
      </c>
      <c r="I48" s="7" t="s">
        <v>1031</v>
      </c>
    </row>
    <row r="49" spans="1:9" ht="25.5" x14ac:dyDescent="0.35">
      <c r="A49" s="18" t="s">
        <v>1027</v>
      </c>
      <c r="B49" s="19" t="str">
        <f>HYPERLINK("https://jira.itg.ti.com/browse/PDK-5825","PDK-5825")</f>
        <v>PDK-5825</v>
      </c>
      <c r="C49" s="18" t="s">
        <v>1013</v>
      </c>
      <c r="D49" s="18" t="s">
        <v>352</v>
      </c>
      <c r="E49" s="18" t="s">
        <v>1645</v>
      </c>
      <c r="F49" s="20" t="s">
        <v>1229</v>
      </c>
      <c r="G49" s="9" t="s">
        <v>1253</v>
      </c>
      <c r="H49" s="8" t="s">
        <v>394</v>
      </c>
      <c r="I49" s="7" t="s">
        <v>1031</v>
      </c>
    </row>
    <row r="50" spans="1:9" ht="25.5" x14ac:dyDescent="0.35">
      <c r="A50" s="18" t="s">
        <v>1027</v>
      </c>
      <c r="B50" s="19" t="str">
        <f>HYPERLINK("https://jira.itg.ti.com/browse/PDK-5826","PDK-5826")</f>
        <v>PDK-5826</v>
      </c>
      <c r="C50" s="18" t="s">
        <v>1302</v>
      </c>
      <c r="D50" s="18" t="s">
        <v>352</v>
      </c>
      <c r="E50" s="18" t="s">
        <v>1645</v>
      </c>
      <c r="F50" s="20" t="s">
        <v>1229</v>
      </c>
      <c r="G50" s="9" t="s">
        <v>1253</v>
      </c>
      <c r="H50" s="8" t="s">
        <v>394</v>
      </c>
      <c r="I50" s="7" t="s">
        <v>1031</v>
      </c>
    </row>
    <row r="51" spans="1:9" ht="25.5" x14ac:dyDescent="0.35">
      <c r="A51" s="18" t="s">
        <v>1027</v>
      </c>
      <c r="B51" s="19" t="str">
        <f>HYPERLINK("https://jira.itg.ti.com/browse/PDK-5827","PDK-5827")</f>
        <v>PDK-5827</v>
      </c>
      <c r="C51" s="18" t="s">
        <v>1585</v>
      </c>
      <c r="D51" s="18" t="s">
        <v>352</v>
      </c>
      <c r="E51" s="18" t="s">
        <v>1645</v>
      </c>
      <c r="F51" s="20" t="s">
        <v>1229</v>
      </c>
      <c r="G51" s="9" t="s">
        <v>1253</v>
      </c>
      <c r="H51" s="8" t="s">
        <v>394</v>
      </c>
      <c r="I51" s="7" t="s">
        <v>1031</v>
      </c>
    </row>
    <row r="52" spans="1:9" ht="25.5" x14ac:dyDescent="0.35">
      <c r="A52" s="19" t="str">
        <f>HYPERLINK("https://jira.itg.ti.com/browse/JACINTOREQ-1087","JACINTOREQ-1087")</f>
        <v>JACINTOREQ-1087</v>
      </c>
      <c r="B52" s="19" t="str">
        <f>HYPERLINK("https://jira.itg.ti.com/browse/PDK-5853","PDK-5853")</f>
        <v>PDK-5853</v>
      </c>
      <c r="C52" s="18" t="s">
        <v>1336</v>
      </c>
      <c r="D52" s="18" t="s">
        <v>1160</v>
      </c>
      <c r="E52" s="18" t="s">
        <v>1645</v>
      </c>
      <c r="F52" s="20" t="s">
        <v>1229</v>
      </c>
      <c r="G52" s="9" t="s">
        <v>726</v>
      </c>
      <c r="H52" s="8" t="s">
        <v>394</v>
      </c>
      <c r="I52" s="7" t="s">
        <v>1031</v>
      </c>
    </row>
    <row r="53" spans="1:9" x14ac:dyDescent="0.35">
      <c r="A53" s="19" t="str">
        <f>HYPERLINK("https://jira.itg.ti.com/browse/JACINTOREQ-1088","JACINTOREQ-1088")</f>
        <v>JACINTOREQ-1088</v>
      </c>
      <c r="B53" s="19" t="str">
        <f>HYPERLINK("https://jira.itg.ti.com/browse/PDK-5810","PDK-5810")</f>
        <v>PDK-5810</v>
      </c>
      <c r="C53" s="18" t="s">
        <v>311</v>
      </c>
      <c r="D53" s="18" t="s">
        <v>1679</v>
      </c>
      <c r="E53" s="18" t="s">
        <v>1645</v>
      </c>
      <c r="F53" s="20" t="s">
        <v>1229</v>
      </c>
      <c r="G53" s="9" t="s">
        <v>837</v>
      </c>
      <c r="H53" s="8" t="s">
        <v>394</v>
      </c>
      <c r="I53" s="7" t="s">
        <v>1031</v>
      </c>
    </row>
    <row r="54" spans="1:9" ht="25.5" x14ac:dyDescent="0.35">
      <c r="A54" s="14"/>
      <c r="B54" s="14"/>
      <c r="C54" s="14"/>
      <c r="D54" s="14"/>
      <c r="E54" s="14"/>
      <c r="F54" s="14"/>
      <c r="G54" s="10" t="s">
        <v>66</v>
      </c>
      <c r="H54" s="8" t="s">
        <v>394</v>
      </c>
    </row>
    <row r="55" spans="1:9" ht="25.5" x14ac:dyDescent="0.35">
      <c r="A55" s="14"/>
      <c r="B55" s="14"/>
      <c r="C55" s="14"/>
      <c r="D55" s="14"/>
      <c r="E55" s="14"/>
      <c r="F55" s="14"/>
      <c r="G55" s="10" t="s">
        <v>689</v>
      </c>
      <c r="H55" s="8" t="s">
        <v>394</v>
      </c>
    </row>
    <row r="56" spans="1:9" ht="25.5" x14ac:dyDescent="0.35">
      <c r="A56" s="14"/>
      <c r="B56" s="14"/>
      <c r="C56" s="14"/>
      <c r="D56" s="14"/>
      <c r="E56" s="14"/>
      <c r="F56" s="14"/>
      <c r="G56" s="10" t="s">
        <v>309</v>
      </c>
      <c r="H56" s="8" t="s">
        <v>394</v>
      </c>
    </row>
    <row r="57" spans="1:9" ht="25.5" x14ac:dyDescent="0.35">
      <c r="A57" s="14"/>
      <c r="B57" s="14"/>
      <c r="C57" s="14"/>
      <c r="D57" s="14"/>
      <c r="E57" s="14"/>
      <c r="F57" s="14"/>
      <c r="G57" s="10" t="s">
        <v>134</v>
      </c>
      <c r="H57" s="8" t="s">
        <v>394</v>
      </c>
    </row>
    <row r="58" spans="1:9" ht="25.5" x14ac:dyDescent="0.35">
      <c r="A58" s="14"/>
      <c r="B58" s="14"/>
      <c r="C58" s="14"/>
      <c r="D58" s="14"/>
      <c r="E58" s="14"/>
      <c r="F58" s="14"/>
      <c r="G58" s="10" t="s">
        <v>727</v>
      </c>
      <c r="H58" s="8" t="s">
        <v>394</v>
      </c>
    </row>
    <row r="59" spans="1:9" ht="25.5" x14ac:dyDescent="0.35">
      <c r="A59" s="14"/>
      <c r="B59" s="14"/>
      <c r="C59" s="14"/>
      <c r="D59" s="14"/>
      <c r="E59" s="14"/>
      <c r="F59" s="14"/>
      <c r="G59" s="10" t="s">
        <v>1371</v>
      </c>
      <c r="H59" s="8" t="s">
        <v>394</v>
      </c>
    </row>
    <row r="60" spans="1:9" ht="25.5" x14ac:dyDescent="0.35">
      <c r="A60" s="14"/>
      <c r="B60" s="14"/>
      <c r="C60" s="14"/>
      <c r="D60" s="14"/>
      <c r="E60" s="14"/>
      <c r="F60" s="14"/>
      <c r="G60" s="10" t="s">
        <v>26</v>
      </c>
      <c r="H60" s="8" t="s">
        <v>394</v>
      </c>
    </row>
    <row r="61" spans="1:9" ht="25.5" x14ac:dyDescent="0.35">
      <c r="A61" s="14"/>
      <c r="B61" s="14"/>
      <c r="C61" s="14"/>
      <c r="D61" s="14"/>
      <c r="E61" s="14"/>
      <c r="F61" s="14"/>
      <c r="G61" s="10" t="s">
        <v>1054</v>
      </c>
      <c r="H61" s="8" t="s">
        <v>394</v>
      </c>
    </row>
    <row r="62" spans="1:9" ht="25.5" x14ac:dyDescent="0.35">
      <c r="A62" s="14"/>
      <c r="B62" s="14"/>
      <c r="C62" s="14"/>
      <c r="D62" s="14"/>
      <c r="E62" s="14"/>
      <c r="F62" s="14"/>
      <c r="G62" s="10" t="s">
        <v>1236</v>
      </c>
      <c r="H62" s="8" t="s">
        <v>394</v>
      </c>
    </row>
    <row r="63" spans="1:9" ht="25.5" x14ac:dyDescent="0.35">
      <c r="A63" s="19"/>
      <c r="B63" s="19"/>
      <c r="C63" s="18"/>
      <c r="D63" s="18"/>
      <c r="E63" s="18"/>
      <c r="F63" s="20"/>
      <c r="G63" s="10" t="s">
        <v>1607</v>
      </c>
      <c r="H63" s="8" t="s">
        <v>394</v>
      </c>
    </row>
    <row r="64" spans="1:9" ht="25.5" x14ac:dyDescent="0.35">
      <c r="A64" s="19" t="str">
        <f>HYPERLINK("https://jira.itg.ti.com/browse/JACINTOREQ-1088","JACINTOREQ-1088")</f>
        <v>JACINTOREQ-1088</v>
      </c>
      <c r="B64" s="19" t="str">
        <f>HYPERLINK("https://jira.itg.ti.com/browse/PDK-5813","PDK-5813")</f>
        <v>PDK-5813</v>
      </c>
      <c r="C64" s="18" t="s">
        <v>1433</v>
      </c>
      <c r="D64" s="18" t="s">
        <v>1679</v>
      </c>
      <c r="E64" s="18" t="s">
        <v>1645</v>
      </c>
      <c r="F64" s="20" t="s">
        <v>1229</v>
      </c>
      <c r="G64" s="9" t="s">
        <v>1253</v>
      </c>
      <c r="H64" s="8" t="s">
        <v>394</v>
      </c>
      <c r="I64" s="7" t="s">
        <v>1031</v>
      </c>
    </row>
    <row r="65" spans="1:9" ht="25.5" x14ac:dyDescent="0.35">
      <c r="A65" s="14"/>
      <c r="B65" s="14"/>
      <c r="C65" s="14"/>
      <c r="D65" s="14"/>
      <c r="E65" s="14"/>
      <c r="F65" s="14"/>
      <c r="G65" s="10" t="s">
        <v>577</v>
      </c>
      <c r="H65" s="8" t="s">
        <v>394</v>
      </c>
    </row>
    <row r="66" spans="1:9" ht="25.5" x14ac:dyDescent="0.35">
      <c r="A66" s="19"/>
      <c r="B66" s="19"/>
      <c r="C66" s="18"/>
      <c r="D66" s="18"/>
      <c r="E66" s="18"/>
      <c r="F66" s="20"/>
      <c r="G66" s="10" t="s">
        <v>220</v>
      </c>
      <c r="H66" s="8" t="s">
        <v>394</v>
      </c>
    </row>
    <row r="67" spans="1:9" x14ac:dyDescent="0.35">
      <c r="A67" s="19" t="str">
        <f>HYPERLINK("https://jira.itg.ti.com/browse/JACINTOREQ-1088","JACINTOREQ-1088")</f>
        <v>JACINTOREQ-1088</v>
      </c>
      <c r="B67" s="19" t="str">
        <f>HYPERLINK("https://jira.itg.ti.com/browse/PDK-5814","PDK-5814")</f>
        <v>PDK-5814</v>
      </c>
      <c r="C67" s="18" t="s">
        <v>661</v>
      </c>
      <c r="D67" s="18" t="s">
        <v>1679</v>
      </c>
      <c r="E67" s="18" t="s">
        <v>1645</v>
      </c>
      <c r="F67" s="20" t="s">
        <v>1229</v>
      </c>
      <c r="G67" s="9" t="s">
        <v>837</v>
      </c>
      <c r="H67" s="8" t="s">
        <v>394</v>
      </c>
      <c r="I67" s="7" t="s">
        <v>1031</v>
      </c>
    </row>
    <row r="68" spans="1:9" ht="25.5" x14ac:dyDescent="0.35">
      <c r="A68" s="19" t="str">
        <f>HYPERLINK("https://jira.itg.ti.com/browse/JACINTOREQ-1088","JACINTOREQ-1088")</f>
        <v>JACINTOREQ-1088</v>
      </c>
      <c r="B68" s="19" t="str">
        <f>HYPERLINK("https://jira.itg.ti.com/browse/PDK-5824","PDK-5824")</f>
        <v>PDK-5824</v>
      </c>
      <c r="C68" s="18" t="s">
        <v>1058</v>
      </c>
      <c r="D68" s="18" t="s">
        <v>352</v>
      </c>
      <c r="E68" s="18" t="s">
        <v>1645</v>
      </c>
      <c r="F68" s="20" t="s">
        <v>1229</v>
      </c>
      <c r="G68" s="9" t="s">
        <v>1253</v>
      </c>
      <c r="H68" s="8" t="s">
        <v>394</v>
      </c>
      <c r="I68" s="7" t="s">
        <v>1031</v>
      </c>
    </row>
    <row r="69" spans="1:9" ht="25.5" x14ac:dyDescent="0.35">
      <c r="A69" s="19" t="str">
        <f>HYPERLINK("https://jira.itg.ti.com/browse/JACINTOREQ-1088","JACINTOREQ-1088")</f>
        <v>JACINTOREQ-1088</v>
      </c>
      <c r="B69" s="19" t="str">
        <f>HYPERLINK("https://jira.itg.ti.com/browse/PDK-5843","PDK-5843")</f>
        <v>PDK-5843</v>
      </c>
      <c r="C69" s="18" t="s">
        <v>1155</v>
      </c>
      <c r="D69" s="18" t="s">
        <v>1668</v>
      </c>
      <c r="E69" s="18" t="s">
        <v>1645</v>
      </c>
      <c r="F69" s="20" t="s">
        <v>1229</v>
      </c>
      <c r="G69" s="9" t="s">
        <v>1482</v>
      </c>
      <c r="H69" s="8" t="s">
        <v>394</v>
      </c>
      <c r="I69" s="7" t="s">
        <v>1031</v>
      </c>
    </row>
    <row r="70" spans="1:9" ht="25.5" x14ac:dyDescent="0.35">
      <c r="A70" s="14"/>
      <c r="B70" s="14"/>
      <c r="C70" s="14"/>
      <c r="D70" s="14"/>
      <c r="E70" s="14"/>
      <c r="F70" s="14"/>
      <c r="G70" s="10" t="s">
        <v>727</v>
      </c>
      <c r="H70" s="8" t="s">
        <v>394</v>
      </c>
    </row>
    <row r="71" spans="1:9" ht="25.5" x14ac:dyDescent="0.35">
      <c r="A71" s="14"/>
      <c r="B71" s="14"/>
      <c r="C71" s="14"/>
      <c r="D71" s="14"/>
      <c r="E71" s="14"/>
      <c r="F71" s="14"/>
      <c r="G71" s="10" t="s">
        <v>1371</v>
      </c>
      <c r="H71" s="8" t="s">
        <v>394</v>
      </c>
    </row>
    <row r="72" spans="1:9" ht="25.5" x14ac:dyDescent="0.35">
      <c r="A72" s="14"/>
      <c r="B72" s="14"/>
      <c r="C72" s="14"/>
      <c r="D72" s="14"/>
      <c r="E72" s="14"/>
      <c r="F72" s="14"/>
      <c r="G72" s="10" t="s">
        <v>26</v>
      </c>
      <c r="H72" s="8" t="s">
        <v>394</v>
      </c>
    </row>
    <row r="73" spans="1:9" ht="25.5" x14ac:dyDescent="0.35">
      <c r="A73" s="14"/>
      <c r="B73" s="14"/>
      <c r="C73" s="14"/>
      <c r="D73" s="14"/>
      <c r="E73" s="14"/>
      <c r="F73" s="14"/>
      <c r="G73" s="10" t="s">
        <v>1054</v>
      </c>
      <c r="H73" s="8" t="s">
        <v>394</v>
      </c>
    </row>
    <row r="74" spans="1:9" ht="25.5" x14ac:dyDescent="0.35">
      <c r="A74" s="14"/>
      <c r="B74" s="14"/>
      <c r="C74" s="14"/>
      <c r="D74" s="14"/>
      <c r="E74" s="14"/>
      <c r="F74" s="14"/>
      <c r="G74" s="10" t="s">
        <v>1236</v>
      </c>
      <c r="H74" s="8" t="s">
        <v>394</v>
      </c>
    </row>
    <row r="75" spans="1:9" ht="25.5" x14ac:dyDescent="0.35">
      <c r="A75" s="19"/>
      <c r="B75" s="19"/>
      <c r="C75" s="18"/>
      <c r="D75" s="18"/>
      <c r="E75" s="18"/>
      <c r="F75" s="20"/>
      <c r="G75" s="10" t="s">
        <v>1607</v>
      </c>
      <c r="H75" s="8" t="s">
        <v>394</v>
      </c>
    </row>
    <row r="76" spans="1:9" ht="25.5" x14ac:dyDescent="0.35">
      <c r="A76" s="19" t="str">
        <f>HYPERLINK("https://jira.itg.ti.com/browse/JACINTOREQ-1088","JACINTOREQ-1088")</f>
        <v>JACINTOREQ-1088</v>
      </c>
      <c r="B76" s="19" t="str">
        <f>HYPERLINK("https://jira.itg.ti.com/browse/PDK-5858","PDK-5858")</f>
        <v>PDK-5858</v>
      </c>
      <c r="C76" s="18" t="s">
        <v>1590</v>
      </c>
      <c r="D76" s="18" t="s">
        <v>1325</v>
      </c>
      <c r="E76" s="18" t="s">
        <v>1645</v>
      </c>
      <c r="F76" s="20" t="s">
        <v>1229</v>
      </c>
      <c r="G76" s="9" t="s">
        <v>1253</v>
      </c>
      <c r="H76" s="8" t="s">
        <v>394</v>
      </c>
      <c r="I76" s="7" t="s">
        <v>1031</v>
      </c>
    </row>
    <row r="77" spans="1:9" ht="25.5" x14ac:dyDescent="0.35">
      <c r="A77" s="14"/>
      <c r="B77" s="14"/>
      <c r="C77" s="14"/>
      <c r="D77" s="14"/>
      <c r="E77" s="14"/>
      <c r="F77" s="14"/>
      <c r="G77" s="10" t="s">
        <v>1112</v>
      </c>
      <c r="H77" s="8" t="s">
        <v>394</v>
      </c>
    </row>
    <row r="78" spans="1:9" ht="25.5" x14ac:dyDescent="0.35">
      <c r="A78" s="14"/>
      <c r="B78" s="14"/>
      <c r="C78" s="14"/>
      <c r="D78" s="14"/>
      <c r="E78" s="14"/>
      <c r="F78" s="14"/>
      <c r="G78" s="10" t="s">
        <v>689</v>
      </c>
      <c r="H78" s="8" t="s">
        <v>394</v>
      </c>
    </row>
    <row r="79" spans="1:9" ht="25.5" x14ac:dyDescent="0.35">
      <c r="A79" s="14"/>
      <c r="B79" s="14"/>
      <c r="C79" s="14"/>
      <c r="D79" s="14"/>
      <c r="E79" s="14"/>
      <c r="F79" s="14"/>
      <c r="G79" s="10" t="s">
        <v>1457</v>
      </c>
      <c r="H79" s="8" t="s">
        <v>394</v>
      </c>
    </row>
    <row r="80" spans="1:9" ht="25.5" x14ac:dyDescent="0.35">
      <c r="A80" s="19"/>
      <c r="B80" s="19"/>
      <c r="C80" s="18"/>
      <c r="D80" s="18"/>
      <c r="E80" s="18"/>
      <c r="F80" s="20"/>
      <c r="G80" s="10" t="s">
        <v>1186</v>
      </c>
      <c r="H80" s="8" t="s">
        <v>394</v>
      </c>
    </row>
    <row r="81" spans="1:9" ht="38.25" x14ac:dyDescent="0.35">
      <c r="A81" s="19" t="str">
        <f>HYPERLINK("https://jira.itg.ti.com/browse/JACINTOREQ-1089","JACINTOREQ-1089")</f>
        <v>JACINTOREQ-1089</v>
      </c>
      <c r="B81" s="19" t="str">
        <f>HYPERLINK("https://jira.itg.ti.com/browse/PDK-5831","PDK-5831")</f>
        <v>PDK-5831</v>
      </c>
      <c r="C81" s="18" t="s">
        <v>658</v>
      </c>
      <c r="D81" s="18" t="s">
        <v>1447</v>
      </c>
      <c r="E81" s="18" t="s">
        <v>1645</v>
      </c>
      <c r="F81" s="20" t="s">
        <v>1229</v>
      </c>
      <c r="G81" s="9" t="s">
        <v>312</v>
      </c>
      <c r="H81" s="8" t="s">
        <v>394</v>
      </c>
      <c r="I81" s="7" t="s">
        <v>1031</v>
      </c>
    </row>
    <row r="82" spans="1:9" ht="38.25" x14ac:dyDescent="0.35">
      <c r="A82" s="14"/>
      <c r="B82" s="14"/>
      <c r="C82" s="14"/>
      <c r="D82" s="14"/>
      <c r="E82" s="14"/>
      <c r="F82" s="14"/>
      <c r="G82" s="10" t="s">
        <v>39</v>
      </c>
      <c r="H82" s="8" t="s">
        <v>394</v>
      </c>
    </row>
    <row r="83" spans="1:9" ht="25.5" x14ac:dyDescent="0.35">
      <c r="A83" s="19"/>
      <c r="B83" s="19"/>
      <c r="C83" s="18"/>
      <c r="D83" s="18"/>
      <c r="E83" s="18"/>
      <c r="F83" s="20"/>
      <c r="G83" s="10" t="s">
        <v>1072</v>
      </c>
      <c r="H83" s="8" t="s">
        <v>394</v>
      </c>
    </row>
    <row r="84" spans="1:9" ht="25.5" x14ac:dyDescent="0.35">
      <c r="A84" s="19" t="str">
        <f>HYPERLINK("https://jira.itg.ti.com/browse/JACINTOREQ-1089","JACINTOREQ-1089")</f>
        <v>JACINTOREQ-1089</v>
      </c>
      <c r="B84" s="19" t="str">
        <f>HYPERLINK("https://jira.itg.ti.com/browse/PDK-5855","PDK-5855")</f>
        <v>PDK-5855</v>
      </c>
      <c r="C84" s="18" t="s">
        <v>1517</v>
      </c>
      <c r="D84" s="18" t="s">
        <v>1447</v>
      </c>
      <c r="E84" s="18" t="s">
        <v>1645</v>
      </c>
      <c r="F84" s="21" t="s">
        <v>419</v>
      </c>
      <c r="G84" s="9" t="s">
        <v>422</v>
      </c>
      <c r="H84" s="8" t="s">
        <v>394</v>
      </c>
      <c r="I84" s="7" t="s">
        <v>1031</v>
      </c>
    </row>
    <row r="85" spans="1:9" ht="25.5" x14ac:dyDescent="0.35">
      <c r="A85" s="14"/>
      <c r="B85" s="14"/>
      <c r="C85" s="14"/>
      <c r="D85" s="14"/>
      <c r="E85" s="14"/>
      <c r="F85" s="14"/>
      <c r="G85" s="10" t="s">
        <v>605</v>
      </c>
      <c r="H85" s="8" t="s">
        <v>394</v>
      </c>
    </row>
    <row r="86" spans="1:9" ht="25.5" x14ac:dyDescent="0.35">
      <c r="A86" s="14"/>
      <c r="B86" s="14"/>
      <c r="C86" s="14"/>
      <c r="D86" s="14"/>
      <c r="E86" s="14"/>
      <c r="F86" s="14"/>
      <c r="G86" s="10" t="s">
        <v>789</v>
      </c>
      <c r="H86" s="8" t="s">
        <v>394</v>
      </c>
    </row>
    <row r="87" spans="1:9" ht="25.5" x14ac:dyDescent="0.35">
      <c r="A87" s="14"/>
      <c r="B87" s="14"/>
      <c r="C87" s="14"/>
      <c r="D87" s="14"/>
      <c r="E87" s="14"/>
      <c r="F87" s="14"/>
      <c r="G87" s="10" t="s">
        <v>1583</v>
      </c>
      <c r="H87" s="8" t="s">
        <v>394</v>
      </c>
    </row>
    <row r="88" spans="1:9" ht="25.5" x14ac:dyDescent="0.35">
      <c r="A88" s="14"/>
      <c r="B88" s="14"/>
      <c r="C88" s="14"/>
      <c r="D88" s="14"/>
      <c r="E88" s="14"/>
      <c r="F88" s="14"/>
      <c r="G88" s="10" t="s">
        <v>1635</v>
      </c>
      <c r="H88" s="8" t="s">
        <v>394</v>
      </c>
    </row>
    <row r="89" spans="1:9" ht="25.5" x14ac:dyDescent="0.35">
      <c r="A89" s="14"/>
      <c r="B89" s="14"/>
      <c r="C89" s="14"/>
      <c r="D89" s="14"/>
      <c r="E89" s="14"/>
      <c r="F89" s="14"/>
      <c r="G89" s="10" t="s">
        <v>745</v>
      </c>
      <c r="H89" s="8" t="s">
        <v>394</v>
      </c>
    </row>
    <row r="90" spans="1:9" ht="25.5" x14ac:dyDescent="0.35">
      <c r="A90" s="14"/>
      <c r="B90" s="14"/>
      <c r="C90" s="14"/>
      <c r="D90" s="14"/>
      <c r="E90" s="14"/>
      <c r="F90" s="14"/>
      <c r="G90" s="10" t="s">
        <v>1592</v>
      </c>
      <c r="H90" s="8" t="s">
        <v>394</v>
      </c>
    </row>
    <row r="91" spans="1:9" ht="25.5" x14ac:dyDescent="0.35">
      <c r="A91" s="14"/>
      <c r="B91" s="14"/>
      <c r="C91" s="14"/>
      <c r="D91" s="14"/>
      <c r="E91" s="14"/>
      <c r="F91" s="14"/>
      <c r="G91" s="10" t="s">
        <v>1366</v>
      </c>
      <c r="H91" s="8" t="s">
        <v>394</v>
      </c>
    </row>
    <row r="92" spans="1:9" ht="25.5" x14ac:dyDescent="0.35">
      <c r="A92" s="14"/>
      <c r="B92" s="14"/>
      <c r="C92" s="14"/>
      <c r="D92" s="14"/>
      <c r="E92" s="14"/>
      <c r="F92" s="14"/>
      <c r="G92" s="10" t="s">
        <v>808</v>
      </c>
      <c r="H92" s="8" t="s">
        <v>394</v>
      </c>
    </row>
    <row r="93" spans="1:9" ht="25.5" x14ac:dyDescent="0.35">
      <c r="A93" s="14"/>
      <c r="B93" s="14"/>
      <c r="C93" s="14"/>
      <c r="D93" s="14"/>
      <c r="E93" s="14"/>
      <c r="F93" s="14"/>
      <c r="G93" s="10" t="s">
        <v>54</v>
      </c>
      <c r="H93" s="8" t="s">
        <v>394</v>
      </c>
    </row>
    <row r="94" spans="1:9" x14ac:dyDescent="0.35">
      <c r="A94" s="14"/>
      <c r="B94" s="14"/>
      <c r="C94" s="14"/>
      <c r="D94" s="14"/>
      <c r="E94" s="14"/>
      <c r="F94" s="14"/>
      <c r="G94" s="10" t="s">
        <v>1676</v>
      </c>
      <c r="H94" s="8" t="s">
        <v>394</v>
      </c>
    </row>
    <row r="95" spans="1:9" ht="25.5" x14ac:dyDescent="0.35">
      <c r="A95" s="14"/>
      <c r="B95" s="14"/>
      <c r="C95" s="14"/>
      <c r="D95" s="14"/>
      <c r="E95" s="14"/>
      <c r="F95" s="14"/>
      <c r="G95" s="10" t="s">
        <v>38</v>
      </c>
      <c r="H95" s="8" t="s">
        <v>394</v>
      </c>
    </row>
    <row r="96" spans="1:9" ht="25.5" x14ac:dyDescent="0.35">
      <c r="A96" s="14"/>
      <c r="B96" s="14"/>
      <c r="C96" s="14"/>
      <c r="D96" s="14"/>
      <c r="E96" s="14"/>
      <c r="F96" s="14"/>
      <c r="G96" s="10" t="s">
        <v>1174</v>
      </c>
      <c r="H96" s="8" t="s">
        <v>394</v>
      </c>
    </row>
    <row r="97" spans="1:8" ht="25.5" x14ac:dyDescent="0.35">
      <c r="A97" s="14"/>
      <c r="B97" s="14"/>
      <c r="C97" s="14"/>
      <c r="D97" s="14"/>
      <c r="E97" s="14"/>
      <c r="F97" s="14"/>
      <c r="G97" s="10" t="s">
        <v>827</v>
      </c>
      <c r="H97" s="8" t="s">
        <v>394</v>
      </c>
    </row>
    <row r="98" spans="1:8" ht="38.25" x14ac:dyDescent="0.35">
      <c r="A98" s="14"/>
      <c r="B98" s="14"/>
      <c r="C98" s="14"/>
      <c r="D98" s="14"/>
      <c r="E98" s="14"/>
      <c r="F98" s="14"/>
      <c r="G98" s="10" t="s">
        <v>766</v>
      </c>
      <c r="H98" s="8" t="s">
        <v>394</v>
      </c>
    </row>
    <row r="99" spans="1:8" ht="38.25" x14ac:dyDescent="0.35">
      <c r="A99" s="14"/>
      <c r="B99" s="14"/>
      <c r="C99" s="14"/>
      <c r="D99" s="14"/>
      <c r="E99" s="14"/>
      <c r="F99" s="14"/>
      <c r="G99" s="10" t="s">
        <v>1459</v>
      </c>
      <c r="H99" s="8" t="s">
        <v>394</v>
      </c>
    </row>
    <row r="100" spans="1:8" ht="25.5" x14ac:dyDescent="0.35">
      <c r="A100" s="14"/>
      <c r="B100" s="14"/>
      <c r="C100" s="14"/>
      <c r="D100" s="14"/>
      <c r="E100" s="14"/>
      <c r="F100" s="14"/>
      <c r="G100" s="10" t="s">
        <v>461</v>
      </c>
      <c r="H100" s="8" t="s">
        <v>394</v>
      </c>
    </row>
    <row r="101" spans="1:8" ht="25.5" x14ac:dyDescent="0.35">
      <c r="A101" s="14"/>
      <c r="B101" s="14"/>
      <c r="C101" s="14"/>
      <c r="D101" s="14"/>
      <c r="E101" s="14"/>
      <c r="F101" s="14"/>
      <c r="G101" s="10" t="s">
        <v>1453</v>
      </c>
      <c r="H101" s="8" t="s">
        <v>394</v>
      </c>
    </row>
    <row r="102" spans="1:8" ht="25.5" x14ac:dyDescent="0.35">
      <c r="A102" s="14"/>
      <c r="B102" s="14"/>
      <c r="C102" s="14"/>
      <c r="D102" s="14"/>
      <c r="E102" s="14"/>
      <c r="F102" s="14"/>
      <c r="G102" s="10" t="s">
        <v>714</v>
      </c>
      <c r="H102" s="8" t="s">
        <v>394</v>
      </c>
    </row>
    <row r="103" spans="1:8" ht="25.5" x14ac:dyDescent="0.35">
      <c r="A103" s="14"/>
      <c r="B103" s="14"/>
      <c r="C103" s="14"/>
      <c r="D103" s="14"/>
      <c r="E103" s="14"/>
      <c r="F103" s="14"/>
      <c r="G103" s="10" t="s">
        <v>1358</v>
      </c>
      <c r="H103" s="8" t="s">
        <v>394</v>
      </c>
    </row>
    <row r="104" spans="1:8" ht="25.5" x14ac:dyDescent="0.35">
      <c r="A104" s="14"/>
      <c r="B104" s="14"/>
      <c r="C104" s="14"/>
      <c r="D104" s="14"/>
      <c r="E104" s="14"/>
      <c r="F104" s="14"/>
      <c r="G104" s="10" t="s">
        <v>585</v>
      </c>
      <c r="H104" s="8" t="s">
        <v>394</v>
      </c>
    </row>
    <row r="105" spans="1:8" ht="25.5" x14ac:dyDescent="0.35">
      <c r="A105" s="14"/>
      <c r="B105" s="14"/>
      <c r="C105" s="14"/>
      <c r="D105" s="14"/>
      <c r="E105" s="14"/>
      <c r="F105" s="14"/>
      <c r="G105" s="10" t="s">
        <v>318</v>
      </c>
      <c r="H105" s="8" t="s">
        <v>394</v>
      </c>
    </row>
    <row r="106" spans="1:8" ht="25.5" x14ac:dyDescent="0.35">
      <c r="A106" s="14"/>
      <c r="B106" s="14"/>
      <c r="C106" s="14"/>
      <c r="D106" s="14"/>
      <c r="E106" s="14"/>
      <c r="F106" s="14"/>
      <c r="G106" s="10" t="s">
        <v>1339</v>
      </c>
      <c r="H106" s="8" t="s">
        <v>394</v>
      </c>
    </row>
    <row r="107" spans="1:8" ht="25.5" x14ac:dyDescent="0.35">
      <c r="A107" s="14"/>
      <c r="B107" s="14"/>
      <c r="C107" s="14"/>
      <c r="D107" s="14"/>
      <c r="E107" s="14"/>
      <c r="F107" s="14"/>
      <c r="G107" s="10" t="s">
        <v>329</v>
      </c>
      <c r="H107" s="8" t="s">
        <v>394</v>
      </c>
    </row>
    <row r="108" spans="1:8" ht="25.5" x14ac:dyDescent="0.35">
      <c r="A108" s="14"/>
      <c r="B108" s="14"/>
      <c r="C108" s="14"/>
      <c r="D108" s="14"/>
      <c r="E108" s="14"/>
      <c r="F108" s="14"/>
      <c r="G108" s="10" t="s">
        <v>527</v>
      </c>
      <c r="H108" s="8" t="s">
        <v>394</v>
      </c>
    </row>
    <row r="109" spans="1:8" ht="25.5" x14ac:dyDescent="0.35">
      <c r="A109" s="14"/>
      <c r="B109" s="14"/>
      <c r="C109" s="14"/>
      <c r="D109" s="14"/>
      <c r="E109" s="14"/>
      <c r="F109" s="14"/>
      <c r="G109" s="10" t="s">
        <v>592</v>
      </c>
      <c r="H109" s="8" t="s">
        <v>394</v>
      </c>
    </row>
    <row r="110" spans="1:8" x14ac:dyDescent="0.35">
      <c r="A110" s="14"/>
      <c r="B110" s="14"/>
      <c r="C110" s="14"/>
      <c r="D110" s="14"/>
      <c r="E110" s="14"/>
      <c r="F110" s="14"/>
      <c r="G110" s="10" t="s">
        <v>1220</v>
      </c>
      <c r="H110" s="8" t="s">
        <v>394</v>
      </c>
    </row>
    <row r="111" spans="1:8" ht="25.5" x14ac:dyDescent="0.35">
      <c r="A111" s="14"/>
      <c r="B111" s="14"/>
      <c r="C111" s="14"/>
      <c r="D111" s="14"/>
      <c r="E111" s="14"/>
      <c r="F111" s="14"/>
      <c r="G111" s="10" t="s">
        <v>1316</v>
      </c>
      <c r="H111" s="8" t="s">
        <v>394</v>
      </c>
    </row>
    <row r="112" spans="1:8" x14ac:dyDescent="0.35">
      <c r="A112" s="14"/>
      <c r="B112" s="14"/>
      <c r="C112" s="14"/>
      <c r="D112" s="14"/>
      <c r="E112" s="14"/>
      <c r="F112" s="14"/>
      <c r="G112" s="10" t="s">
        <v>355</v>
      </c>
      <c r="H112" s="8" t="s">
        <v>394</v>
      </c>
    </row>
    <row r="113" spans="1:8" ht="25.5" x14ac:dyDescent="0.35">
      <c r="A113" s="14"/>
      <c r="B113" s="14"/>
      <c r="C113" s="14"/>
      <c r="D113" s="14"/>
      <c r="E113" s="14"/>
      <c r="F113" s="14"/>
      <c r="G113" s="10" t="s">
        <v>1167</v>
      </c>
      <c r="H113" s="8" t="s">
        <v>394</v>
      </c>
    </row>
    <row r="114" spans="1:8" x14ac:dyDescent="0.35">
      <c r="A114" s="14"/>
      <c r="B114" s="14"/>
      <c r="C114" s="14"/>
      <c r="D114" s="14"/>
      <c r="E114" s="14"/>
      <c r="F114" s="14"/>
      <c r="G114" s="10" t="s">
        <v>397</v>
      </c>
      <c r="H114" s="8" t="s">
        <v>394</v>
      </c>
    </row>
    <row r="115" spans="1:8" ht="25.5" x14ac:dyDescent="0.35">
      <c r="A115" s="14"/>
      <c r="B115" s="14"/>
      <c r="C115" s="14"/>
      <c r="D115" s="14"/>
      <c r="E115" s="14"/>
      <c r="F115" s="14"/>
      <c r="G115" s="10" t="s">
        <v>736</v>
      </c>
      <c r="H115" s="8" t="s">
        <v>394</v>
      </c>
    </row>
    <row r="116" spans="1:8" ht="25.5" x14ac:dyDescent="0.35">
      <c r="A116" s="14"/>
      <c r="B116" s="14"/>
      <c r="C116" s="14"/>
      <c r="D116" s="14"/>
      <c r="E116" s="14"/>
      <c r="F116" s="14"/>
      <c r="G116" s="10" t="s">
        <v>950</v>
      </c>
      <c r="H116" s="8" t="s">
        <v>394</v>
      </c>
    </row>
    <row r="117" spans="1:8" ht="25.5" x14ac:dyDescent="0.35">
      <c r="A117" s="14"/>
      <c r="B117" s="14"/>
      <c r="C117" s="14"/>
      <c r="D117" s="14"/>
      <c r="E117" s="14"/>
      <c r="F117" s="14"/>
      <c r="G117" s="10" t="s">
        <v>145</v>
      </c>
      <c r="H117" s="8" t="s">
        <v>394</v>
      </c>
    </row>
    <row r="118" spans="1:8" ht="25.5" x14ac:dyDescent="0.35">
      <c r="A118" s="14"/>
      <c r="B118" s="14"/>
      <c r="C118" s="14"/>
      <c r="D118" s="14"/>
      <c r="E118" s="14"/>
      <c r="F118" s="14"/>
      <c r="G118" s="10" t="s">
        <v>180</v>
      </c>
      <c r="H118" s="8" t="s">
        <v>394</v>
      </c>
    </row>
    <row r="119" spans="1:8" ht="25.5" x14ac:dyDescent="0.35">
      <c r="A119" s="14"/>
      <c r="B119" s="14"/>
      <c r="C119" s="14"/>
      <c r="D119" s="14"/>
      <c r="E119" s="14"/>
      <c r="F119" s="14"/>
      <c r="G119" s="10" t="s">
        <v>197</v>
      </c>
      <c r="H119" s="8" t="s">
        <v>394</v>
      </c>
    </row>
    <row r="120" spans="1:8" ht="25.5" x14ac:dyDescent="0.35">
      <c r="A120" s="14"/>
      <c r="B120" s="14"/>
      <c r="C120" s="14"/>
      <c r="D120" s="14"/>
      <c r="E120" s="14"/>
      <c r="F120" s="14"/>
      <c r="G120" s="10" t="s">
        <v>823</v>
      </c>
      <c r="H120" s="8" t="s">
        <v>394</v>
      </c>
    </row>
    <row r="121" spans="1:8" ht="25.5" x14ac:dyDescent="0.35">
      <c r="A121" s="14"/>
      <c r="B121" s="14"/>
      <c r="C121" s="14"/>
      <c r="D121" s="14"/>
      <c r="E121" s="14"/>
      <c r="F121" s="14"/>
      <c r="G121" s="10" t="s">
        <v>1506</v>
      </c>
      <c r="H121" s="8" t="s">
        <v>394</v>
      </c>
    </row>
    <row r="122" spans="1:8" ht="25.5" x14ac:dyDescent="0.35">
      <c r="A122" s="14"/>
      <c r="B122" s="14"/>
      <c r="C122" s="14"/>
      <c r="D122" s="14"/>
      <c r="E122" s="14"/>
      <c r="F122" s="14"/>
      <c r="G122" s="10" t="s">
        <v>836</v>
      </c>
      <c r="H122" s="8" t="s">
        <v>394</v>
      </c>
    </row>
    <row r="123" spans="1:8" ht="25.5" x14ac:dyDescent="0.35">
      <c r="A123" s="14"/>
      <c r="B123" s="14"/>
      <c r="C123" s="14"/>
      <c r="D123" s="14"/>
      <c r="E123" s="14"/>
      <c r="F123" s="14"/>
      <c r="G123" s="10" t="s">
        <v>1384</v>
      </c>
      <c r="H123" s="8" t="s">
        <v>394</v>
      </c>
    </row>
    <row r="124" spans="1:8" ht="25.5" x14ac:dyDescent="0.35">
      <c r="A124" s="14"/>
      <c r="B124" s="14"/>
      <c r="C124" s="14"/>
      <c r="D124" s="14"/>
      <c r="E124" s="14"/>
      <c r="F124" s="14"/>
      <c r="G124" s="10" t="s">
        <v>1365</v>
      </c>
      <c r="H124" s="8" t="s">
        <v>394</v>
      </c>
    </row>
    <row r="125" spans="1:8" ht="25.5" x14ac:dyDescent="0.35">
      <c r="A125" s="14"/>
      <c r="B125" s="14"/>
      <c r="C125" s="14"/>
      <c r="D125" s="14"/>
      <c r="E125" s="14"/>
      <c r="F125" s="14"/>
      <c r="G125" s="10" t="s">
        <v>50</v>
      </c>
      <c r="H125" s="8" t="s">
        <v>394</v>
      </c>
    </row>
    <row r="126" spans="1:8" ht="25.5" x14ac:dyDescent="0.35">
      <c r="A126" s="14"/>
      <c r="B126" s="14"/>
      <c r="C126" s="14"/>
      <c r="D126" s="14"/>
      <c r="E126" s="14"/>
      <c r="F126" s="14"/>
      <c r="G126" s="10" t="s">
        <v>1515</v>
      </c>
      <c r="H126" s="8" t="s">
        <v>394</v>
      </c>
    </row>
    <row r="127" spans="1:8" ht="38.25" x14ac:dyDescent="0.35">
      <c r="A127" s="14"/>
      <c r="B127" s="14"/>
      <c r="C127" s="14"/>
      <c r="D127" s="14"/>
      <c r="E127" s="14"/>
      <c r="F127" s="14"/>
      <c r="G127" s="10" t="s">
        <v>729</v>
      </c>
      <c r="H127" s="8" t="s">
        <v>394</v>
      </c>
    </row>
    <row r="128" spans="1:8" ht="38.25" x14ac:dyDescent="0.35">
      <c r="A128" s="14"/>
      <c r="B128" s="14"/>
      <c r="C128" s="14"/>
      <c r="D128" s="14"/>
      <c r="E128" s="14"/>
      <c r="F128" s="14"/>
      <c r="G128" s="10" t="s">
        <v>1370</v>
      </c>
      <c r="H128" s="8" t="s">
        <v>394</v>
      </c>
    </row>
    <row r="129" spans="1:8" ht="25.5" x14ac:dyDescent="0.35">
      <c r="A129" s="14"/>
      <c r="B129" s="14"/>
      <c r="C129" s="14"/>
      <c r="D129" s="14"/>
      <c r="E129" s="14"/>
      <c r="F129" s="14"/>
      <c r="G129" s="10" t="s">
        <v>593</v>
      </c>
      <c r="H129" s="8" t="s">
        <v>394</v>
      </c>
    </row>
    <row r="130" spans="1:8" x14ac:dyDescent="0.35">
      <c r="A130" s="14"/>
      <c r="B130" s="14"/>
      <c r="C130" s="14"/>
      <c r="D130" s="14"/>
      <c r="E130" s="14"/>
      <c r="F130" s="14"/>
      <c r="G130" s="10" t="s">
        <v>108</v>
      </c>
      <c r="H130" s="8" t="s">
        <v>394</v>
      </c>
    </row>
    <row r="131" spans="1:8" ht="25.5" x14ac:dyDescent="0.35">
      <c r="A131" s="14"/>
      <c r="B131" s="14"/>
      <c r="C131" s="14"/>
      <c r="D131" s="14"/>
      <c r="E131" s="14"/>
      <c r="F131" s="14"/>
      <c r="G131" s="10" t="s">
        <v>1480</v>
      </c>
      <c r="H131" s="8" t="s">
        <v>394</v>
      </c>
    </row>
    <row r="132" spans="1:8" ht="25.5" x14ac:dyDescent="0.35">
      <c r="A132" s="14"/>
      <c r="B132" s="14"/>
      <c r="C132" s="14"/>
      <c r="D132" s="14"/>
      <c r="E132" s="14"/>
      <c r="F132" s="14"/>
      <c r="G132" s="10" t="s">
        <v>1516</v>
      </c>
      <c r="H132" s="8" t="s">
        <v>394</v>
      </c>
    </row>
    <row r="133" spans="1:8" ht="25.5" x14ac:dyDescent="0.35">
      <c r="A133" s="14"/>
      <c r="B133" s="14"/>
      <c r="C133" s="14"/>
      <c r="D133" s="14"/>
      <c r="E133" s="14"/>
      <c r="F133" s="14"/>
      <c r="G133" s="10" t="s">
        <v>1042</v>
      </c>
      <c r="H133" s="8" t="s">
        <v>394</v>
      </c>
    </row>
    <row r="134" spans="1:8" ht="25.5" x14ac:dyDescent="0.35">
      <c r="A134" s="14"/>
      <c r="B134" s="14"/>
      <c r="C134" s="14"/>
      <c r="D134" s="14"/>
      <c r="E134" s="14"/>
      <c r="F134" s="14"/>
      <c r="G134" s="10" t="s">
        <v>496</v>
      </c>
      <c r="H134" s="8" t="s">
        <v>394</v>
      </c>
    </row>
    <row r="135" spans="1:8" ht="25.5" x14ac:dyDescent="0.35">
      <c r="A135" s="14"/>
      <c r="B135" s="14"/>
      <c r="C135" s="14"/>
      <c r="D135" s="14"/>
      <c r="E135" s="14"/>
      <c r="F135" s="14"/>
      <c r="G135" s="10" t="s">
        <v>1359</v>
      </c>
      <c r="H135" s="8" t="s">
        <v>394</v>
      </c>
    </row>
    <row r="136" spans="1:8" ht="25.5" x14ac:dyDescent="0.35">
      <c r="A136" s="14"/>
      <c r="B136" s="14"/>
      <c r="C136" s="14"/>
      <c r="D136" s="14"/>
      <c r="E136" s="14"/>
      <c r="F136" s="14"/>
      <c r="G136" s="10" t="s">
        <v>938</v>
      </c>
      <c r="H136" s="8" t="s">
        <v>394</v>
      </c>
    </row>
    <row r="137" spans="1:8" ht="25.5" x14ac:dyDescent="0.35">
      <c r="A137" s="14"/>
      <c r="B137" s="14"/>
      <c r="C137" s="14"/>
      <c r="D137" s="14"/>
      <c r="E137" s="14"/>
      <c r="F137" s="14"/>
      <c r="G137" s="10" t="s">
        <v>1392</v>
      </c>
      <c r="H137" s="8" t="s">
        <v>394</v>
      </c>
    </row>
    <row r="138" spans="1:8" ht="25.5" x14ac:dyDescent="0.35">
      <c r="A138" s="14"/>
      <c r="B138" s="14"/>
      <c r="C138" s="14"/>
      <c r="D138" s="14"/>
      <c r="E138" s="14"/>
      <c r="F138" s="14"/>
      <c r="G138" s="10" t="s">
        <v>298</v>
      </c>
      <c r="H138" s="8" t="s">
        <v>394</v>
      </c>
    </row>
    <row r="139" spans="1:8" ht="25.5" x14ac:dyDescent="0.35">
      <c r="A139" s="14"/>
      <c r="B139" s="14"/>
      <c r="C139" s="14"/>
      <c r="D139" s="14"/>
      <c r="E139" s="14"/>
      <c r="F139" s="14"/>
      <c r="G139" s="10" t="s">
        <v>236</v>
      </c>
      <c r="H139" s="8" t="s">
        <v>394</v>
      </c>
    </row>
    <row r="140" spans="1:8" ht="25.5" x14ac:dyDescent="0.35">
      <c r="A140" s="14"/>
      <c r="B140" s="14"/>
      <c r="C140" s="14"/>
      <c r="D140" s="14"/>
      <c r="E140" s="14"/>
      <c r="F140" s="14"/>
      <c r="G140" s="10" t="s">
        <v>247</v>
      </c>
      <c r="H140" s="8" t="s">
        <v>394</v>
      </c>
    </row>
    <row r="141" spans="1:8" ht="25.5" x14ac:dyDescent="0.35">
      <c r="A141" s="14"/>
      <c r="B141" s="14"/>
      <c r="C141" s="14"/>
      <c r="D141" s="14"/>
      <c r="E141" s="14"/>
      <c r="F141" s="14"/>
      <c r="G141" s="10" t="s">
        <v>1664</v>
      </c>
      <c r="H141" s="8" t="s">
        <v>394</v>
      </c>
    </row>
    <row r="142" spans="1:8" ht="25.5" x14ac:dyDescent="0.35">
      <c r="A142" s="14"/>
      <c r="B142" s="14"/>
      <c r="C142" s="14"/>
      <c r="D142" s="14"/>
      <c r="E142" s="14"/>
      <c r="F142" s="14"/>
      <c r="G142" s="10" t="s">
        <v>1043</v>
      </c>
      <c r="H142" s="8" t="s">
        <v>394</v>
      </c>
    </row>
    <row r="143" spans="1:8" ht="25.5" x14ac:dyDescent="0.35">
      <c r="A143" s="14"/>
      <c r="B143" s="14"/>
      <c r="C143" s="14"/>
      <c r="D143" s="14"/>
      <c r="E143" s="14"/>
      <c r="F143" s="14"/>
      <c r="G143" s="10" t="s">
        <v>866</v>
      </c>
      <c r="H143" s="8" t="s">
        <v>394</v>
      </c>
    </row>
    <row r="144" spans="1:8" ht="25.5" x14ac:dyDescent="0.35">
      <c r="A144" s="14"/>
      <c r="B144" s="14"/>
      <c r="C144" s="14"/>
      <c r="D144" s="14"/>
      <c r="E144" s="14"/>
      <c r="F144" s="14"/>
      <c r="G144" s="10" t="s">
        <v>1001</v>
      </c>
      <c r="H144" s="8" t="s">
        <v>394</v>
      </c>
    </row>
    <row r="145" spans="1:8" ht="25.5" x14ac:dyDescent="0.35">
      <c r="A145" s="14"/>
      <c r="B145" s="14"/>
      <c r="C145" s="14"/>
      <c r="D145" s="14"/>
      <c r="E145" s="14"/>
      <c r="F145" s="14"/>
      <c r="G145" s="10" t="s">
        <v>811</v>
      </c>
      <c r="H145" s="8" t="s">
        <v>394</v>
      </c>
    </row>
    <row r="146" spans="1:8" ht="25.5" x14ac:dyDescent="0.35">
      <c r="A146" s="14"/>
      <c r="B146" s="14"/>
      <c r="C146" s="14"/>
      <c r="D146" s="14"/>
      <c r="E146" s="14"/>
      <c r="F146" s="14"/>
      <c r="G146" s="10" t="s">
        <v>909</v>
      </c>
      <c r="H146" s="8" t="s">
        <v>394</v>
      </c>
    </row>
    <row r="147" spans="1:8" ht="25.5" x14ac:dyDescent="0.35">
      <c r="A147" s="14"/>
      <c r="B147" s="14"/>
      <c r="C147" s="14"/>
      <c r="D147" s="14"/>
      <c r="E147" s="14"/>
      <c r="F147" s="14"/>
      <c r="G147" s="10" t="s">
        <v>1113</v>
      </c>
      <c r="H147" s="8" t="s">
        <v>394</v>
      </c>
    </row>
    <row r="148" spans="1:8" ht="25.5" x14ac:dyDescent="0.35">
      <c r="A148" s="14"/>
      <c r="B148" s="14"/>
      <c r="C148" s="14"/>
      <c r="D148" s="14"/>
      <c r="E148" s="14"/>
      <c r="F148" s="14"/>
      <c r="G148" s="10" t="s">
        <v>153</v>
      </c>
      <c r="H148" s="8" t="s">
        <v>394</v>
      </c>
    </row>
    <row r="149" spans="1:8" ht="25.5" x14ac:dyDescent="0.35">
      <c r="A149" s="14"/>
      <c r="B149" s="14"/>
      <c r="C149" s="14"/>
      <c r="D149" s="14"/>
      <c r="E149" s="14"/>
      <c r="F149" s="14"/>
      <c r="G149" s="10" t="s">
        <v>696</v>
      </c>
      <c r="H149" s="8" t="s">
        <v>394</v>
      </c>
    </row>
    <row r="150" spans="1:8" ht="38.25" x14ac:dyDescent="0.35">
      <c r="A150" s="14"/>
      <c r="B150" s="14"/>
      <c r="C150" s="14"/>
      <c r="D150" s="14"/>
      <c r="E150" s="14"/>
      <c r="F150" s="14"/>
      <c r="G150" s="10" t="s">
        <v>312</v>
      </c>
      <c r="H150" s="8" t="s">
        <v>394</v>
      </c>
    </row>
    <row r="151" spans="1:8" ht="38.25" x14ac:dyDescent="0.35">
      <c r="A151" s="14"/>
      <c r="B151" s="14"/>
      <c r="C151" s="14"/>
      <c r="D151" s="14"/>
      <c r="E151" s="14"/>
      <c r="F151" s="14"/>
      <c r="G151" s="10" t="s">
        <v>39</v>
      </c>
      <c r="H151" s="8" t="s">
        <v>394</v>
      </c>
    </row>
    <row r="152" spans="1:8" ht="25.5" x14ac:dyDescent="0.35">
      <c r="A152" s="14"/>
      <c r="B152" s="14"/>
      <c r="C152" s="14"/>
      <c r="D152" s="14"/>
      <c r="E152" s="14"/>
      <c r="F152" s="14"/>
      <c r="G152" s="10" t="s">
        <v>1482</v>
      </c>
      <c r="H152" s="8" t="s">
        <v>394</v>
      </c>
    </row>
    <row r="153" spans="1:8" ht="25.5" x14ac:dyDescent="0.35">
      <c r="A153" s="14"/>
      <c r="B153" s="14"/>
      <c r="C153" s="14"/>
      <c r="D153" s="14"/>
      <c r="E153" s="14"/>
      <c r="F153" s="14"/>
      <c r="G153" s="10" t="s">
        <v>1165</v>
      </c>
      <c r="H153" s="8" t="s">
        <v>394</v>
      </c>
    </row>
    <row r="154" spans="1:8" ht="25.5" x14ac:dyDescent="0.35">
      <c r="A154" s="14"/>
      <c r="B154" s="14"/>
      <c r="C154" s="14"/>
      <c r="D154" s="14"/>
      <c r="E154" s="14"/>
      <c r="F154" s="14"/>
      <c r="G154" s="10" t="s">
        <v>690</v>
      </c>
      <c r="H154" s="8" t="s">
        <v>394</v>
      </c>
    </row>
    <row r="155" spans="1:8" ht="25.5" x14ac:dyDescent="0.35">
      <c r="A155" s="14"/>
      <c r="B155" s="14"/>
      <c r="C155" s="14"/>
      <c r="D155" s="14"/>
      <c r="E155" s="14"/>
      <c r="F155" s="14"/>
      <c r="G155" s="10" t="s">
        <v>999</v>
      </c>
      <c r="H155" s="8" t="s">
        <v>394</v>
      </c>
    </row>
    <row r="156" spans="1:8" ht="25.5" x14ac:dyDescent="0.35">
      <c r="A156" s="14"/>
      <c r="B156" s="14"/>
      <c r="C156" s="14"/>
      <c r="D156" s="14"/>
      <c r="E156" s="14"/>
      <c r="F156" s="14"/>
      <c r="G156" s="10" t="s">
        <v>685</v>
      </c>
      <c r="H156" s="8" t="s">
        <v>394</v>
      </c>
    </row>
    <row r="157" spans="1:8" ht="25.5" x14ac:dyDescent="0.35">
      <c r="A157" s="14"/>
      <c r="B157" s="14"/>
      <c r="C157" s="14"/>
      <c r="D157" s="14"/>
      <c r="E157" s="14"/>
      <c r="F157" s="14"/>
      <c r="G157" s="10" t="s">
        <v>1510</v>
      </c>
      <c r="H157" s="8" t="s">
        <v>394</v>
      </c>
    </row>
    <row r="158" spans="1:8" ht="25.5" x14ac:dyDescent="0.35">
      <c r="A158" s="14"/>
      <c r="B158" s="14"/>
      <c r="C158" s="14"/>
      <c r="D158" s="14"/>
      <c r="E158" s="14"/>
      <c r="F158" s="14"/>
      <c r="G158" s="10" t="s">
        <v>171</v>
      </c>
      <c r="H158" s="11" t="s">
        <v>711</v>
      </c>
    </row>
    <row r="159" spans="1:8" ht="25.5" x14ac:dyDescent="0.35">
      <c r="A159" s="14"/>
      <c r="B159" s="14"/>
      <c r="C159" s="14"/>
      <c r="D159" s="14"/>
      <c r="E159" s="14"/>
      <c r="F159" s="14"/>
      <c r="G159" s="10" t="s">
        <v>693</v>
      </c>
      <c r="H159" s="11" t="s">
        <v>711</v>
      </c>
    </row>
    <row r="160" spans="1:8" ht="25.5" x14ac:dyDescent="0.35">
      <c r="A160" s="14"/>
      <c r="B160" s="14"/>
      <c r="C160" s="14"/>
      <c r="D160" s="14"/>
      <c r="E160" s="14"/>
      <c r="F160" s="14"/>
      <c r="G160" s="10" t="s">
        <v>1010</v>
      </c>
      <c r="H160" s="11" t="s">
        <v>711</v>
      </c>
    </row>
    <row r="161" spans="1:9" ht="38.25" x14ac:dyDescent="0.35">
      <c r="A161" s="19"/>
      <c r="B161" s="19"/>
      <c r="C161" s="18"/>
      <c r="D161" s="18"/>
      <c r="E161" s="18"/>
      <c r="F161" s="21"/>
      <c r="G161" s="10" t="s">
        <v>1114</v>
      </c>
      <c r="H161" s="8" t="s">
        <v>394</v>
      </c>
    </row>
    <row r="162" spans="1:9" ht="25.5" x14ac:dyDescent="0.35">
      <c r="A162" s="19" t="str">
        <f>HYPERLINK("https://jira.itg.ti.com/browse/JACINTOREQ-1090","JACINTOREQ-1090")</f>
        <v>JACINTOREQ-1090</v>
      </c>
      <c r="B162" s="19" t="str">
        <f>HYPERLINK("https://jira.itg.ti.com/browse/PDK-5839","PDK-5839")</f>
        <v>PDK-5839</v>
      </c>
      <c r="C162" s="18" t="s">
        <v>1304</v>
      </c>
      <c r="D162" s="18" t="s">
        <v>1447</v>
      </c>
      <c r="E162" s="18" t="s">
        <v>1645</v>
      </c>
      <c r="F162" s="20" t="s">
        <v>1229</v>
      </c>
      <c r="G162" s="9" t="s">
        <v>1059</v>
      </c>
      <c r="H162" s="8" t="s">
        <v>394</v>
      </c>
      <c r="I162" s="7" t="s">
        <v>1031</v>
      </c>
    </row>
    <row r="163" spans="1:9" ht="25.5" x14ac:dyDescent="0.35">
      <c r="A163" s="14"/>
      <c r="B163" s="14"/>
      <c r="C163" s="14"/>
      <c r="D163" s="14"/>
      <c r="E163" s="14"/>
      <c r="F163" s="14"/>
      <c r="G163" s="10" t="s">
        <v>172</v>
      </c>
      <c r="H163" s="8" t="s">
        <v>394</v>
      </c>
    </row>
    <row r="164" spans="1:9" ht="25.5" x14ac:dyDescent="0.35">
      <c r="A164" s="14"/>
      <c r="B164" s="14"/>
      <c r="C164" s="14"/>
      <c r="D164" s="14"/>
      <c r="E164" s="14"/>
      <c r="F164" s="14"/>
      <c r="G164" s="10" t="s">
        <v>1306</v>
      </c>
      <c r="H164" s="8" t="s">
        <v>394</v>
      </c>
    </row>
    <row r="165" spans="1:9" ht="25.5" x14ac:dyDescent="0.35">
      <c r="A165" s="14"/>
      <c r="B165" s="14"/>
      <c r="C165" s="14"/>
      <c r="D165" s="14"/>
      <c r="E165" s="14"/>
      <c r="F165" s="14"/>
      <c r="G165" s="10" t="s">
        <v>973</v>
      </c>
      <c r="H165" s="8" t="s">
        <v>394</v>
      </c>
    </row>
    <row r="166" spans="1:9" ht="25.5" x14ac:dyDescent="0.35">
      <c r="A166" s="14"/>
      <c r="B166" s="14"/>
      <c r="C166" s="14"/>
      <c r="D166" s="14"/>
      <c r="E166" s="14"/>
      <c r="F166" s="14"/>
      <c r="G166" s="10" t="s">
        <v>821</v>
      </c>
      <c r="H166" s="8" t="s">
        <v>394</v>
      </c>
    </row>
    <row r="167" spans="1:9" ht="25.5" x14ac:dyDescent="0.35">
      <c r="A167" s="19"/>
      <c r="B167" s="19"/>
      <c r="C167" s="18"/>
      <c r="D167" s="18"/>
      <c r="E167" s="18"/>
      <c r="F167" s="20"/>
      <c r="G167" s="10" t="s">
        <v>1354</v>
      </c>
      <c r="H167" s="8" t="s">
        <v>394</v>
      </c>
    </row>
    <row r="168" spans="1:9" ht="25.5" x14ac:dyDescent="0.35">
      <c r="A168" s="19" t="str">
        <f>HYPERLINK("https://jira.itg.ti.com/browse/JACINTOREQ-1090","JACINTOREQ-1090")</f>
        <v>JACINTOREQ-1090</v>
      </c>
      <c r="B168" s="19" t="str">
        <f>HYPERLINK("https://jira.itg.ti.com/browse/PDK-5854","PDK-5854")</f>
        <v>PDK-5854</v>
      </c>
      <c r="C168" s="18" t="s">
        <v>1491</v>
      </c>
      <c r="D168" s="18" t="s">
        <v>1447</v>
      </c>
      <c r="E168" s="18" t="s">
        <v>1645</v>
      </c>
      <c r="F168" s="20" t="s">
        <v>1229</v>
      </c>
      <c r="G168" s="9" t="s">
        <v>1263</v>
      </c>
      <c r="H168" s="8" t="s">
        <v>394</v>
      </c>
      <c r="I168" s="7" t="s">
        <v>1031</v>
      </c>
    </row>
    <row r="169" spans="1:9" ht="25.5" x14ac:dyDescent="0.35">
      <c r="A169" s="14"/>
      <c r="B169" s="14"/>
      <c r="C169" s="14"/>
      <c r="D169" s="14"/>
      <c r="E169" s="14"/>
      <c r="F169" s="14"/>
      <c r="G169" s="10" t="s">
        <v>1659</v>
      </c>
      <c r="H169" s="8" t="s">
        <v>394</v>
      </c>
    </row>
    <row r="170" spans="1:9" ht="25.5" x14ac:dyDescent="0.35">
      <c r="A170" s="14"/>
      <c r="B170" s="14"/>
      <c r="C170" s="14"/>
      <c r="D170" s="14"/>
      <c r="E170" s="14"/>
      <c r="F170" s="14"/>
      <c r="G170" s="10" t="s">
        <v>389</v>
      </c>
      <c r="H170" s="8" t="s">
        <v>394</v>
      </c>
    </row>
    <row r="171" spans="1:9" ht="25.5" x14ac:dyDescent="0.35">
      <c r="A171" s="14"/>
      <c r="B171" s="14"/>
      <c r="C171" s="14"/>
      <c r="D171" s="14"/>
      <c r="E171" s="14"/>
      <c r="F171" s="14"/>
      <c r="G171" s="10" t="s">
        <v>1638</v>
      </c>
      <c r="H171" s="8" t="s">
        <v>394</v>
      </c>
    </row>
    <row r="172" spans="1:9" ht="25.5" x14ac:dyDescent="0.35">
      <c r="A172" s="14"/>
      <c r="B172" s="14"/>
      <c r="C172" s="14"/>
      <c r="D172" s="14"/>
      <c r="E172" s="14"/>
      <c r="F172" s="14"/>
      <c r="G172" s="10" t="s">
        <v>1335</v>
      </c>
      <c r="H172" s="8" t="s">
        <v>394</v>
      </c>
    </row>
    <row r="173" spans="1:9" ht="25.5" x14ac:dyDescent="0.35">
      <c r="A173" s="14"/>
      <c r="B173" s="14"/>
      <c r="C173" s="14"/>
      <c r="D173" s="14"/>
      <c r="E173" s="14"/>
      <c r="F173" s="14"/>
      <c r="G173" s="10" t="s">
        <v>550</v>
      </c>
      <c r="H173" s="8" t="s">
        <v>394</v>
      </c>
    </row>
    <row r="174" spans="1:9" ht="25.5" x14ac:dyDescent="0.35">
      <c r="A174" s="14"/>
      <c r="B174" s="14"/>
      <c r="C174" s="14"/>
      <c r="D174" s="14"/>
      <c r="E174" s="14"/>
      <c r="F174" s="14"/>
      <c r="G174" s="10" t="s">
        <v>1398</v>
      </c>
      <c r="H174" s="8" t="s">
        <v>394</v>
      </c>
    </row>
    <row r="175" spans="1:9" ht="25.5" x14ac:dyDescent="0.35">
      <c r="A175" s="14"/>
      <c r="B175" s="14"/>
      <c r="C175" s="14"/>
      <c r="D175" s="14"/>
      <c r="E175" s="14"/>
      <c r="F175" s="14"/>
      <c r="G175" s="10" t="s">
        <v>1368</v>
      </c>
      <c r="H175" s="8" t="s">
        <v>394</v>
      </c>
    </row>
    <row r="176" spans="1:9" ht="25.5" x14ac:dyDescent="0.35">
      <c r="A176" s="14"/>
      <c r="B176" s="14"/>
      <c r="C176" s="14"/>
      <c r="D176" s="14"/>
      <c r="E176" s="14"/>
      <c r="F176" s="14"/>
      <c r="G176" s="10" t="s">
        <v>1377</v>
      </c>
      <c r="H176" s="8" t="s">
        <v>394</v>
      </c>
    </row>
    <row r="177" spans="1:8" ht="25.5" x14ac:dyDescent="0.35">
      <c r="A177" s="14"/>
      <c r="B177" s="14"/>
      <c r="C177" s="14"/>
      <c r="D177" s="14"/>
      <c r="E177" s="14"/>
      <c r="F177" s="14"/>
      <c r="G177" s="10" t="s">
        <v>1436</v>
      </c>
      <c r="H177" s="8" t="s">
        <v>394</v>
      </c>
    </row>
    <row r="178" spans="1:8" ht="25.5" x14ac:dyDescent="0.35">
      <c r="A178" s="14"/>
      <c r="B178" s="14"/>
      <c r="C178" s="14"/>
      <c r="D178" s="14"/>
      <c r="E178" s="14"/>
      <c r="F178" s="14"/>
      <c r="G178" s="10" t="s">
        <v>335</v>
      </c>
      <c r="H178" s="8" t="s">
        <v>394</v>
      </c>
    </row>
    <row r="179" spans="1:8" ht="25.5" x14ac:dyDescent="0.35">
      <c r="A179" s="14"/>
      <c r="B179" s="14"/>
      <c r="C179" s="14"/>
      <c r="D179" s="14"/>
      <c r="E179" s="14"/>
      <c r="F179" s="14"/>
      <c r="G179" s="10" t="s">
        <v>864</v>
      </c>
      <c r="H179" s="8" t="s">
        <v>394</v>
      </c>
    </row>
    <row r="180" spans="1:8" ht="25.5" x14ac:dyDescent="0.35">
      <c r="A180" s="14"/>
      <c r="B180" s="14"/>
      <c r="C180" s="14"/>
      <c r="D180" s="14"/>
      <c r="E180" s="14"/>
      <c r="F180" s="14"/>
      <c r="G180" s="10" t="s">
        <v>1609</v>
      </c>
      <c r="H180" s="8" t="s">
        <v>394</v>
      </c>
    </row>
    <row r="181" spans="1:8" x14ac:dyDescent="0.35">
      <c r="A181" s="14"/>
      <c r="B181" s="14"/>
      <c r="C181" s="14"/>
      <c r="D181" s="14"/>
      <c r="E181" s="14"/>
      <c r="F181" s="14"/>
      <c r="G181" s="10" t="s">
        <v>568</v>
      </c>
      <c r="H181" s="8" t="s">
        <v>394</v>
      </c>
    </row>
    <row r="182" spans="1:8" ht="25.5" x14ac:dyDescent="0.35">
      <c r="A182" s="14"/>
      <c r="B182" s="14"/>
      <c r="C182" s="14"/>
      <c r="D182" s="14"/>
      <c r="E182" s="14"/>
      <c r="F182" s="14"/>
      <c r="G182" s="10" t="s">
        <v>258</v>
      </c>
      <c r="H182" s="8" t="s">
        <v>394</v>
      </c>
    </row>
    <row r="183" spans="1:8" ht="25.5" x14ac:dyDescent="0.35">
      <c r="A183" s="14"/>
      <c r="B183" s="14"/>
      <c r="C183" s="14"/>
      <c r="D183" s="14"/>
      <c r="E183" s="14"/>
      <c r="F183" s="14"/>
      <c r="G183" s="10" t="s">
        <v>680</v>
      </c>
      <c r="H183" s="8" t="s">
        <v>394</v>
      </c>
    </row>
    <row r="184" spans="1:8" ht="25.5" x14ac:dyDescent="0.35">
      <c r="A184" s="14"/>
      <c r="B184" s="14"/>
      <c r="C184" s="14"/>
      <c r="D184" s="14"/>
      <c r="E184" s="14"/>
      <c r="F184" s="14"/>
      <c r="G184" s="10" t="s">
        <v>1568</v>
      </c>
      <c r="H184" s="8" t="s">
        <v>394</v>
      </c>
    </row>
    <row r="185" spans="1:8" ht="25.5" x14ac:dyDescent="0.35">
      <c r="A185" s="14"/>
      <c r="B185" s="14"/>
      <c r="C185" s="14"/>
      <c r="D185" s="14"/>
      <c r="E185" s="14"/>
      <c r="F185" s="14"/>
      <c r="G185" s="10" t="s">
        <v>1310</v>
      </c>
      <c r="H185" s="8" t="s">
        <v>394</v>
      </c>
    </row>
    <row r="186" spans="1:8" ht="25.5" x14ac:dyDescent="0.35">
      <c r="A186" s="14"/>
      <c r="B186" s="14"/>
      <c r="C186" s="14"/>
      <c r="D186" s="14"/>
      <c r="E186" s="14"/>
      <c r="F186" s="14"/>
      <c r="G186" s="10" t="s">
        <v>1059</v>
      </c>
      <c r="H186" s="8" t="s">
        <v>394</v>
      </c>
    </row>
    <row r="187" spans="1:8" ht="25.5" x14ac:dyDescent="0.35">
      <c r="A187" s="14"/>
      <c r="B187" s="14"/>
      <c r="C187" s="14"/>
      <c r="D187" s="14"/>
      <c r="E187" s="14"/>
      <c r="F187" s="14"/>
      <c r="G187" s="10" t="s">
        <v>172</v>
      </c>
      <c r="H187" s="8" t="s">
        <v>394</v>
      </c>
    </row>
    <row r="188" spans="1:8" ht="25.5" x14ac:dyDescent="0.35">
      <c r="A188" s="14"/>
      <c r="B188" s="14"/>
      <c r="C188" s="14"/>
      <c r="D188" s="14"/>
      <c r="E188" s="14"/>
      <c r="F188" s="14"/>
      <c r="G188" s="10" t="s">
        <v>1306</v>
      </c>
      <c r="H188" s="8" t="s">
        <v>394</v>
      </c>
    </row>
    <row r="189" spans="1:8" ht="25.5" x14ac:dyDescent="0.35">
      <c r="A189" s="14"/>
      <c r="B189" s="14"/>
      <c r="C189" s="14"/>
      <c r="D189" s="14"/>
      <c r="E189" s="14"/>
      <c r="F189" s="14"/>
      <c r="G189" s="10" t="s">
        <v>973</v>
      </c>
      <c r="H189" s="8" t="s">
        <v>394</v>
      </c>
    </row>
    <row r="190" spans="1:8" ht="25.5" x14ac:dyDescent="0.35">
      <c r="A190" s="14"/>
      <c r="B190" s="14"/>
      <c r="C190" s="14"/>
      <c r="D190" s="14"/>
      <c r="E190" s="14"/>
      <c r="F190" s="14"/>
      <c r="G190" s="10" t="s">
        <v>821</v>
      </c>
      <c r="H190" s="8" t="s">
        <v>394</v>
      </c>
    </row>
    <row r="191" spans="1:8" ht="25.5" x14ac:dyDescent="0.35">
      <c r="A191" s="14"/>
      <c r="B191" s="14"/>
      <c r="C191" s="14"/>
      <c r="D191" s="14"/>
      <c r="E191" s="14"/>
      <c r="F191" s="14"/>
      <c r="G191" s="10" t="s">
        <v>449</v>
      </c>
      <c r="H191" s="8" t="s">
        <v>394</v>
      </c>
    </row>
    <row r="192" spans="1:8" ht="25.5" x14ac:dyDescent="0.35">
      <c r="A192" s="14"/>
      <c r="B192" s="14"/>
      <c r="C192" s="14"/>
      <c r="D192" s="14"/>
      <c r="E192" s="14"/>
      <c r="F192" s="14"/>
      <c r="G192" s="10" t="s">
        <v>1242</v>
      </c>
      <c r="H192" s="8" t="s">
        <v>394</v>
      </c>
    </row>
    <row r="193" spans="1:9" ht="25.5" x14ac:dyDescent="0.35">
      <c r="A193" s="14"/>
      <c r="B193" s="14"/>
      <c r="C193" s="14"/>
      <c r="D193" s="14"/>
      <c r="E193" s="14"/>
      <c r="F193" s="14"/>
      <c r="G193" s="10" t="s">
        <v>409</v>
      </c>
      <c r="H193" s="8" t="s">
        <v>394</v>
      </c>
    </row>
    <row r="194" spans="1:9" ht="25.5" x14ac:dyDescent="0.35">
      <c r="A194" s="14"/>
      <c r="B194" s="14"/>
      <c r="C194" s="14"/>
      <c r="D194" s="14"/>
      <c r="E194" s="14"/>
      <c r="F194" s="14"/>
      <c r="G194" s="10" t="s">
        <v>358</v>
      </c>
      <c r="H194" s="8" t="s">
        <v>394</v>
      </c>
    </row>
    <row r="195" spans="1:9" ht="25.5" x14ac:dyDescent="0.35">
      <c r="A195" s="19"/>
      <c r="B195" s="19"/>
      <c r="C195" s="18"/>
      <c r="D195" s="18"/>
      <c r="E195" s="18"/>
      <c r="F195" s="20"/>
      <c r="G195" s="10" t="s">
        <v>16</v>
      </c>
      <c r="H195" s="8" t="s">
        <v>394</v>
      </c>
    </row>
    <row r="196" spans="1:9" ht="25.5" x14ac:dyDescent="0.35">
      <c r="A196" s="19" t="str">
        <f>HYPERLINK("https://jira.itg.ti.com/browse/JACINTOREQ-1091","JACINTOREQ-1091")</f>
        <v>JACINTOREQ-1091</v>
      </c>
      <c r="B196" s="19" t="str">
        <f>HYPERLINK("https://jira.itg.ti.com/browse/PDK-5808","PDK-5808")</f>
        <v>PDK-5808</v>
      </c>
      <c r="C196" s="18" t="s">
        <v>12</v>
      </c>
      <c r="D196" s="18" t="s">
        <v>1679</v>
      </c>
      <c r="E196" s="18" t="s">
        <v>1645</v>
      </c>
      <c r="F196" s="21" t="s">
        <v>419</v>
      </c>
      <c r="G196" s="9" t="s">
        <v>1457</v>
      </c>
      <c r="H196" s="8" t="s">
        <v>394</v>
      </c>
      <c r="I196" s="7" t="s">
        <v>1031</v>
      </c>
    </row>
    <row r="197" spans="1:9" ht="25.5" x14ac:dyDescent="0.35">
      <c r="A197" s="14"/>
      <c r="B197" s="14"/>
      <c r="C197" s="14"/>
      <c r="D197" s="14"/>
      <c r="E197" s="14"/>
      <c r="F197" s="14"/>
      <c r="G197" s="10" t="s">
        <v>1186</v>
      </c>
      <c r="H197" s="8" t="s">
        <v>394</v>
      </c>
    </row>
    <row r="198" spans="1:9" ht="25.5" x14ac:dyDescent="0.35">
      <c r="A198" s="14"/>
      <c r="B198" s="14"/>
      <c r="C198" s="14"/>
      <c r="D198" s="14"/>
      <c r="E198" s="14"/>
      <c r="F198" s="14"/>
      <c r="G198" s="10" t="s">
        <v>726</v>
      </c>
      <c r="H198" s="8" t="s">
        <v>394</v>
      </c>
    </row>
    <row r="199" spans="1:9" ht="25.5" x14ac:dyDescent="0.35">
      <c r="A199" s="14"/>
      <c r="B199" s="14"/>
      <c r="C199" s="14"/>
      <c r="D199" s="14"/>
      <c r="E199" s="14"/>
      <c r="F199" s="14"/>
      <c r="G199" s="10" t="s">
        <v>958</v>
      </c>
      <c r="H199" s="8" t="s">
        <v>394</v>
      </c>
    </row>
    <row r="200" spans="1:9" ht="25.5" x14ac:dyDescent="0.35">
      <c r="A200" s="14"/>
      <c r="B200" s="14"/>
      <c r="C200" s="14"/>
      <c r="D200" s="14"/>
      <c r="E200" s="14"/>
      <c r="F200" s="14"/>
      <c r="G200" s="10" t="s">
        <v>1577</v>
      </c>
      <c r="H200" s="8" t="s">
        <v>394</v>
      </c>
    </row>
    <row r="201" spans="1:9" ht="25.5" x14ac:dyDescent="0.35">
      <c r="A201" s="14"/>
      <c r="B201" s="14"/>
      <c r="C201" s="14"/>
      <c r="D201" s="14"/>
      <c r="E201" s="14"/>
      <c r="F201" s="14"/>
      <c r="G201" s="10" t="s">
        <v>282</v>
      </c>
      <c r="H201" s="8" t="s">
        <v>394</v>
      </c>
    </row>
    <row r="202" spans="1:9" ht="25.5" x14ac:dyDescent="0.35">
      <c r="A202" s="14"/>
      <c r="B202" s="14"/>
      <c r="C202" s="14"/>
      <c r="D202" s="14"/>
      <c r="E202" s="14"/>
      <c r="F202" s="14"/>
      <c r="G202" s="10" t="s">
        <v>900</v>
      </c>
      <c r="H202" s="8" t="s">
        <v>394</v>
      </c>
    </row>
    <row r="203" spans="1:9" ht="25.5" x14ac:dyDescent="0.35">
      <c r="A203" s="14"/>
      <c r="B203" s="14"/>
      <c r="C203" s="14"/>
      <c r="D203" s="14"/>
      <c r="E203" s="14"/>
      <c r="F203" s="14"/>
      <c r="G203" s="10" t="s">
        <v>762</v>
      </c>
      <c r="H203" s="8" t="s">
        <v>394</v>
      </c>
    </row>
    <row r="204" spans="1:9" ht="25.5" x14ac:dyDescent="0.35">
      <c r="A204" s="14"/>
      <c r="B204" s="14"/>
      <c r="C204" s="14"/>
      <c r="D204" s="14"/>
      <c r="E204" s="14"/>
      <c r="F204" s="14"/>
      <c r="G204" s="10" t="s">
        <v>861</v>
      </c>
      <c r="H204" s="8" t="s">
        <v>394</v>
      </c>
    </row>
    <row r="205" spans="1:9" ht="25.5" x14ac:dyDescent="0.35">
      <c r="A205" s="14"/>
      <c r="B205" s="14"/>
      <c r="C205" s="14"/>
      <c r="D205" s="14"/>
      <c r="E205" s="14"/>
      <c r="F205" s="14"/>
      <c r="G205" s="10" t="s">
        <v>652</v>
      </c>
      <c r="H205" s="8" t="s">
        <v>394</v>
      </c>
    </row>
    <row r="206" spans="1:9" ht="25.5" x14ac:dyDescent="0.35">
      <c r="A206" s="14"/>
      <c r="B206" s="14"/>
      <c r="C206" s="14"/>
      <c r="D206" s="14"/>
      <c r="E206" s="14"/>
      <c r="F206" s="14"/>
      <c r="G206" s="10" t="s">
        <v>112</v>
      </c>
      <c r="H206" s="8" t="s">
        <v>394</v>
      </c>
    </row>
    <row r="207" spans="1:9" ht="25.5" x14ac:dyDescent="0.35">
      <c r="A207" s="14"/>
      <c r="B207" s="14"/>
      <c r="C207" s="14"/>
      <c r="D207" s="14"/>
      <c r="E207" s="14"/>
      <c r="F207" s="14"/>
      <c r="G207" s="10" t="s">
        <v>470</v>
      </c>
      <c r="H207" s="8" t="s">
        <v>394</v>
      </c>
    </row>
    <row r="208" spans="1:9" ht="25.5" x14ac:dyDescent="0.35">
      <c r="A208" s="14"/>
      <c r="B208" s="14"/>
      <c r="C208" s="14"/>
      <c r="D208" s="14"/>
      <c r="E208" s="14"/>
      <c r="F208" s="14"/>
      <c r="G208" s="10" t="s">
        <v>43</v>
      </c>
      <c r="H208" s="8" t="s">
        <v>394</v>
      </c>
    </row>
    <row r="209" spans="1:8" ht="25.5" x14ac:dyDescent="0.35">
      <c r="A209" s="14"/>
      <c r="B209" s="14"/>
      <c r="C209" s="14"/>
      <c r="D209" s="14"/>
      <c r="E209" s="14"/>
      <c r="F209" s="14"/>
      <c r="G209" s="10" t="s">
        <v>992</v>
      </c>
      <c r="H209" s="8" t="s">
        <v>394</v>
      </c>
    </row>
    <row r="210" spans="1:8" ht="25.5" x14ac:dyDescent="0.35">
      <c r="A210" s="14"/>
      <c r="B210" s="14"/>
      <c r="C210" s="14"/>
      <c r="D210" s="14"/>
      <c r="E210" s="14"/>
      <c r="F210" s="14"/>
      <c r="G210" s="10" t="s">
        <v>935</v>
      </c>
      <c r="H210" s="8" t="s">
        <v>394</v>
      </c>
    </row>
    <row r="211" spans="1:8" ht="25.5" x14ac:dyDescent="0.35">
      <c r="A211" s="14"/>
      <c r="B211" s="14"/>
      <c r="C211" s="14"/>
      <c r="D211" s="14"/>
      <c r="E211" s="14"/>
      <c r="F211" s="14"/>
      <c r="G211" s="10" t="s">
        <v>1391</v>
      </c>
      <c r="H211" s="8" t="s">
        <v>394</v>
      </c>
    </row>
    <row r="212" spans="1:8" ht="25.5" x14ac:dyDescent="0.35">
      <c r="A212" s="14"/>
      <c r="B212" s="14"/>
      <c r="C212" s="14"/>
      <c r="D212" s="14"/>
      <c r="E212" s="14"/>
      <c r="F212" s="14"/>
      <c r="G212" s="10" t="s">
        <v>24</v>
      </c>
      <c r="H212" s="8" t="s">
        <v>394</v>
      </c>
    </row>
    <row r="213" spans="1:8" ht="25.5" x14ac:dyDescent="0.35">
      <c r="A213" s="14"/>
      <c r="B213" s="14"/>
      <c r="C213" s="14"/>
      <c r="D213" s="14"/>
      <c r="E213" s="14"/>
      <c r="F213" s="14"/>
      <c r="G213" s="10" t="s">
        <v>1087</v>
      </c>
      <c r="H213" s="8" t="s">
        <v>394</v>
      </c>
    </row>
    <row r="214" spans="1:8" ht="25.5" x14ac:dyDescent="0.35">
      <c r="A214" s="14"/>
      <c r="B214" s="14"/>
      <c r="C214" s="14"/>
      <c r="D214" s="14"/>
      <c r="E214" s="14"/>
      <c r="F214" s="14"/>
      <c r="G214" s="10" t="s">
        <v>76</v>
      </c>
      <c r="H214" s="8" t="s">
        <v>394</v>
      </c>
    </row>
    <row r="215" spans="1:8" ht="25.5" x14ac:dyDescent="0.35">
      <c r="A215" s="14"/>
      <c r="B215" s="14"/>
      <c r="C215" s="14"/>
      <c r="D215" s="14"/>
      <c r="E215" s="14"/>
      <c r="F215" s="14"/>
      <c r="G215" s="10" t="s">
        <v>983</v>
      </c>
      <c r="H215" s="8" t="s">
        <v>394</v>
      </c>
    </row>
    <row r="216" spans="1:8" ht="25.5" x14ac:dyDescent="0.35">
      <c r="A216" s="14"/>
      <c r="B216" s="14"/>
      <c r="C216" s="14"/>
      <c r="D216" s="14"/>
      <c r="E216" s="14"/>
      <c r="F216" s="14"/>
      <c r="G216" s="10" t="s">
        <v>448</v>
      </c>
      <c r="H216" s="8" t="s">
        <v>394</v>
      </c>
    </row>
    <row r="217" spans="1:8" ht="25.5" x14ac:dyDescent="0.35">
      <c r="A217" s="14"/>
      <c r="B217" s="14"/>
      <c r="C217" s="14"/>
      <c r="D217" s="14"/>
      <c r="E217" s="14"/>
      <c r="F217" s="14"/>
      <c r="G217" s="10" t="s">
        <v>1341</v>
      </c>
      <c r="H217" s="8" t="s">
        <v>394</v>
      </c>
    </row>
    <row r="218" spans="1:8" ht="25.5" x14ac:dyDescent="0.35">
      <c r="A218" s="14"/>
      <c r="B218" s="14"/>
      <c r="C218" s="14"/>
      <c r="D218" s="14"/>
      <c r="E218" s="14"/>
      <c r="F218" s="14"/>
      <c r="G218" s="10" t="s">
        <v>253</v>
      </c>
      <c r="H218" s="8" t="s">
        <v>394</v>
      </c>
    </row>
    <row r="219" spans="1:8" ht="25.5" x14ac:dyDescent="0.35">
      <c r="A219" s="14"/>
      <c r="B219" s="14"/>
      <c r="C219" s="14"/>
      <c r="D219" s="14"/>
      <c r="E219" s="14"/>
      <c r="F219" s="14"/>
      <c r="G219" s="10" t="s">
        <v>1057</v>
      </c>
      <c r="H219" s="8" t="s">
        <v>394</v>
      </c>
    </row>
    <row r="220" spans="1:8" ht="25.5" x14ac:dyDescent="0.35">
      <c r="A220" s="14"/>
      <c r="B220" s="14"/>
      <c r="C220" s="14"/>
      <c r="D220" s="14"/>
      <c r="E220" s="14"/>
      <c r="F220" s="14"/>
      <c r="G220" s="10" t="s">
        <v>664</v>
      </c>
      <c r="H220" s="8" t="s">
        <v>394</v>
      </c>
    </row>
    <row r="221" spans="1:8" ht="25.5" x14ac:dyDescent="0.35">
      <c r="A221" s="14"/>
      <c r="B221" s="14"/>
      <c r="C221" s="14"/>
      <c r="D221" s="14"/>
      <c r="E221" s="14"/>
      <c r="F221" s="14"/>
      <c r="G221" s="10" t="s">
        <v>912</v>
      </c>
      <c r="H221" s="8" t="s">
        <v>394</v>
      </c>
    </row>
    <row r="222" spans="1:8" ht="25.5" x14ac:dyDescent="0.35">
      <c r="A222" s="14"/>
      <c r="B222" s="14"/>
      <c r="C222" s="14"/>
      <c r="D222" s="14"/>
      <c r="E222" s="14"/>
      <c r="F222" s="14"/>
      <c r="G222" s="10" t="s">
        <v>30</v>
      </c>
      <c r="H222" s="8" t="s">
        <v>394</v>
      </c>
    </row>
    <row r="223" spans="1:8" ht="25.5" x14ac:dyDescent="0.35">
      <c r="A223" s="14"/>
      <c r="B223" s="14"/>
      <c r="C223" s="14"/>
      <c r="D223" s="14"/>
      <c r="E223" s="14"/>
      <c r="F223" s="14"/>
      <c r="G223" s="10" t="s">
        <v>1032</v>
      </c>
      <c r="H223" s="8" t="s">
        <v>394</v>
      </c>
    </row>
    <row r="224" spans="1:8" ht="25.5" x14ac:dyDescent="0.35">
      <c r="A224" s="14"/>
      <c r="B224" s="14"/>
      <c r="C224" s="14"/>
      <c r="D224" s="14"/>
      <c r="E224" s="14"/>
      <c r="F224" s="14"/>
      <c r="G224" s="10" t="s">
        <v>1477</v>
      </c>
      <c r="H224" s="8" t="s">
        <v>394</v>
      </c>
    </row>
    <row r="225" spans="1:9" x14ac:dyDescent="0.35">
      <c r="A225" s="14"/>
      <c r="B225" s="14"/>
      <c r="C225" s="14"/>
      <c r="D225" s="14"/>
      <c r="E225" s="14"/>
      <c r="F225" s="14"/>
      <c r="G225" s="10" t="s">
        <v>840</v>
      </c>
      <c r="H225" s="8" t="s">
        <v>394</v>
      </c>
    </row>
    <row r="226" spans="1:9" ht="25.5" x14ac:dyDescent="0.35">
      <c r="A226" s="14"/>
      <c r="B226" s="14"/>
      <c r="C226" s="14"/>
      <c r="D226" s="14"/>
      <c r="E226" s="14"/>
      <c r="F226" s="14"/>
      <c r="G226" s="10" t="s">
        <v>832</v>
      </c>
      <c r="H226" s="8" t="s">
        <v>394</v>
      </c>
    </row>
    <row r="227" spans="1:9" ht="25.5" x14ac:dyDescent="0.35">
      <c r="A227" s="14"/>
      <c r="B227" s="14"/>
      <c r="C227" s="14"/>
      <c r="D227" s="14"/>
      <c r="E227" s="14"/>
      <c r="F227" s="14"/>
      <c r="G227" s="10" t="s">
        <v>717</v>
      </c>
      <c r="H227" s="8" t="s">
        <v>394</v>
      </c>
    </row>
    <row r="228" spans="1:9" ht="25.5" x14ac:dyDescent="0.35">
      <c r="A228" s="14"/>
      <c r="B228" s="14"/>
      <c r="C228" s="14"/>
      <c r="D228" s="14"/>
      <c r="E228" s="14"/>
      <c r="F228" s="14"/>
      <c r="G228" s="10" t="s">
        <v>481</v>
      </c>
      <c r="H228" s="8" t="s">
        <v>394</v>
      </c>
    </row>
    <row r="229" spans="1:9" x14ac:dyDescent="0.35">
      <c r="A229" s="14"/>
      <c r="B229" s="14"/>
      <c r="C229" s="14"/>
      <c r="D229" s="14"/>
      <c r="E229" s="14"/>
      <c r="F229" s="14"/>
      <c r="G229" s="10" t="s">
        <v>202</v>
      </c>
      <c r="H229" s="8" t="s">
        <v>394</v>
      </c>
    </row>
    <row r="230" spans="1:9" ht="25.5" x14ac:dyDescent="0.35">
      <c r="A230" s="14"/>
      <c r="B230" s="14"/>
      <c r="C230" s="14"/>
      <c r="D230" s="14"/>
      <c r="E230" s="14"/>
      <c r="F230" s="14"/>
      <c r="G230" s="10" t="s">
        <v>119</v>
      </c>
      <c r="H230" s="8" t="s">
        <v>394</v>
      </c>
    </row>
    <row r="231" spans="1:9" ht="25.5" x14ac:dyDescent="0.35">
      <c r="A231" s="14"/>
      <c r="B231" s="14"/>
      <c r="C231" s="14"/>
      <c r="D231" s="14"/>
      <c r="E231" s="14"/>
      <c r="F231" s="14"/>
      <c r="G231" s="10" t="s">
        <v>873</v>
      </c>
      <c r="H231" s="8" t="s">
        <v>394</v>
      </c>
    </row>
    <row r="232" spans="1:9" ht="25.5" x14ac:dyDescent="0.35">
      <c r="A232" s="14"/>
      <c r="B232" s="14"/>
      <c r="C232" s="14"/>
      <c r="D232" s="14"/>
      <c r="E232" s="14"/>
      <c r="F232" s="14"/>
      <c r="G232" s="10" t="s">
        <v>167</v>
      </c>
      <c r="H232" s="8" t="s">
        <v>394</v>
      </c>
    </row>
    <row r="233" spans="1:9" ht="25.5" x14ac:dyDescent="0.35">
      <c r="A233" s="14"/>
      <c r="B233" s="14"/>
      <c r="C233" s="14"/>
      <c r="D233" s="14"/>
      <c r="E233" s="14"/>
      <c r="F233" s="14"/>
      <c r="G233" s="10" t="s">
        <v>516</v>
      </c>
      <c r="H233" s="8" t="s">
        <v>394</v>
      </c>
    </row>
    <row r="234" spans="1:9" ht="25.5" x14ac:dyDescent="0.35">
      <c r="A234" s="14"/>
      <c r="B234" s="14"/>
      <c r="C234" s="14"/>
      <c r="D234" s="14"/>
      <c r="E234" s="14"/>
      <c r="F234" s="14"/>
      <c r="G234" s="10" t="s">
        <v>763</v>
      </c>
      <c r="H234" s="8" t="s">
        <v>394</v>
      </c>
    </row>
    <row r="235" spans="1:9" ht="25.5" x14ac:dyDescent="0.35">
      <c r="A235" s="14"/>
      <c r="B235" s="14"/>
      <c r="C235" s="14"/>
      <c r="D235" s="14"/>
      <c r="E235" s="14"/>
      <c r="F235" s="14"/>
      <c r="G235" s="10" t="s">
        <v>275</v>
      </c>
      <c r="H235" s="8" t="s">
        <v>394</v>
      </c>
    </row>
    <row r="236" spans="1:9" ht="25.5" x14ac:dyDescent="0.35">
      <c r="A236" s="14"/>
      <c r="B236" s="14"/>
      <c r="C236" s="14"/>
      <c r="D236" s="14"/>
      <c r="E236" s="14"/>
      <c r="F236" s="14"/>
      <c r="G236" s="10" t="s">
        <v>1182</v>
      </c>
      <c r="H236" s="8" t="s">
        <v>394</v>
      </c>
    </row>
    <row r="237" spans="1:9" ht="25.5" x14ac:dyDescent="0.35">
      <c r="A237" s="14"/>
      <c r="B237" s="14"/>
      <c r="C237" s="14"/>
      <c r="D237" s="14"/>
      <c r="E237" s="14"/>
      <c r="F237" s="14"/>
      <c r="G237" s="10" t="s">
        <v>58</v>
      </c>
      <c r="H237" s="11" t="s">
        <v>711</v>
      </c>
    </row>
    <row r="238" spans="1:9" ht="25.5" x14ac:dyDescent="0.35">
      <c r="A238" s="14"/>
      <c r="B238" s="14"/>
      <c r="C238" s="14"/>
      <c r="D238" s="14"/>
      <c r="E238" s="14"/>
      <c r="F238" s="14"/>
      <c r="G238" s="10" t="s">
        <v>1588</v>
      </c>
      <c r="H238" s="11" t="s">
        <v>711</v>
      </c>
    </row>
    <row r="239" spans="1:9" ht="25.5" x14ac:dyDescent="0.35">
      <c r="A239" s="19"/>
      <c r="B239" s="19"/>
      <c r="C239" s="18"/>
      <c r="D239" s="18"/>
      <c r="E239" s="18"/>
      <c r="F239" s="21"/>
      <c r="G239" s="10" t="s">
        <v>134</v>
      </c>
      <c r="H239" s="8" t="s">
        <v>394</v>
      </c>
    </row>
    <row r="240" spans="1:9" x14ac:dyDescent="0.35">
      <c r="A240" s="19" t="str">
        <f>HYPERLINK("https://jira.itg.ti.com/browse/JACINTOREQ-1092","JACINTOREQ-1092")</f>
        <v>JACINTOREQ-1092</v>
      </c>
      <c r="B240" s="19" t="str">
        <f>HYPERLINK("https://jira.itg.ti.com/browse/PDK-5805","PDK-5805")</f>
        <v>PDK-5805</v>
      </c>
      <c r="C240" s="18" t="s">
        <v>1180</v>
      </c>
      <c r="D240" s="18" t="s">
        <v>1679</v>
      </c>
      <c r="E240" s="18" t="s">
        <v>1645</v>
      </c>
      <c r="F240" s="20" t="s">
        <v>1229</v>
      </c>
      <c r="G240" s="9" t="s">
        <v>588</v>
      </c>
      <c r="H240" s="8" t="s">
        <v>394</v>
      </c>
      <c r="I240" s="7" t="s">
        <v>1031</v>
      </c>
    </row>
    <row r="241" spans="1:9" ht="25.5" x14ac:dyDescent="0.35">
      <c r="A241" s="14"/>
      <c r="B241" s="14"/>
      <c r="C241" s="14"/>
      <c r="D241" s="14"/>
      <c r="E241" s="14"/>
      <c r="F241" s="14"/>
      <c r="G241" s="10" t="s">
        <v>1485</v>
      </c>
      <c r="H241" s="8" t="s">
        <v>394</v>
      </c>
    </row>
    <row r="242" spans="1:9" ht="25.5" x14ac:dyDescent="0.35">
      <c r="A242" s="14"/>
      <c r="B242" s="14"/>
      <c r="C242" s="14"/>
      <c r="D242" s="14"/>
      <c r="E242" s="14"/>
      <c r="F242" s="14"/>
      <c r="G242" s="10" t="s">
        <v>767</v>
      </c>
      <c r="H242" s="8" t="s">
        <v>394</v>
      </c>
    </row>
    <row r="243" spans="1:9" ht="25.5" x14ac:dyDescent="0.35">
      <c r="A243" s="14"/>
      <c r="B243" s="14"/>
      <c r="C243" s="14"/>
      <c r="D243" s="14"/>
      <c r="E243" s="14"/>
      <c r="F243" s="14"/>
      <c r="G243" s="10" t="s">
        <v>1566</v>
      </c>
      <c r="H243" s="8" t="s">
        <v>394</v>
      </c>
    </row>
    <row r="244" spans="1:9" ht="25.5" x14ac:dyDescent="0.35">
      <c r="A244" s="14"/>
      <c r="B244" s="14"/>
      <c r="C244" s="14"/>
      <c r="D244" s="14"/>
      <c r="E244" s="14"/>
      <c r="F244" s="14"/>
      <c r="G244" s="10" t="s">
        <v>778</v>
      </c>
      <c r="H244" s="8" t="s">
        <v>394</v>
      </c>
    </row>
    <row r="245" spans="1:9" ht="25.5" x14ac:dyDescent="0.35">
      <c r="A245" s="14"/>
      <c r="B245" s="14"/>
      <c r="C245" s="14"/>
      <c r="D245" s="14"/>
      <c r="E245" s="14"/>
      <c r="F245" s="14"/>
      <c r="G245" s="10" t="s">
        <v>1536</v>
      </c>
      <c r="H245" s="8" t="s">
        <v>394</v>
      </c>
    </row>
    <row r="246" spans="1:9" ht="25.5" x14ac:dyDescent="0.35">
      <c r="A246" s="14"/>
      <c r="B246" s="14"/>
      <c r="C246" s="14"/>
      <c r="D246" s="14"/>
      <c r="E246" s="14"/>
      <c r="F246" s="14"/>
      <c r="G246" s="10" t="s">
        <v>1467</v>
      </c>
      <c r="H246" s="8" t="s">
        <v>394</v>
      </c>
    </row>
    <row r="247" spans="1:9" ht="25.5" x14ac:dyDescent="0.35">
      <c r="A247" s="14"/>
      <c r="B247" s="14"/>
      <c r="C247" s="14"/>
      <c r="D247" s="14"/>
      <c r="E247" s="14"/>
      <c r="F247" s="14"/>
      <c r="G247" s="10" t="s">
        <v>1425</v>
      </c>
      <c r="H247" s="8" t="s">
        <v>394</v>
      </c>
    </row>
    <row r="248" spans="1:9" ht="25.5" x14ac:dyDescent="0.35">
      <c r="A248" s="19"/>
      <c r="B248" s="19"/>
      <c r="C248" s="18"/>
      <c r="D248" s="18"/>
      <c r="E248" s="18"/>
      <c r="F248" s="20"/>
      <c r="G248" s="10" t="s">
        <v>882</v>
      </c>
      <c r="H248" s="8" t="s">
        <v>394</v>
      </c>
    </row>
    <row r="249" spans="1:9" ht="25.5" x14ac:dyDescent="0.35">
      <c r="A249" s="19" t="str">
        <f>HYPERLINK("https://jira.itg.ti.com/browse/JACINTOREQ-1092","JACINTOREQ-1092")</f>
        <v>JACINTOREQ-1092</v>
      </c>
      <c r="B249" s="19" t="str">
        <f>HYPERLINK("https://jira.itg.ti.com/browse/PDK-5806","PDK-5806")</f>
        <v>PDK-5806</v>
      </c>
      <c r="C249" s="18" t="s">
        <v>1507</v>
      </c>
      <c r="D249" s="18" t="s">
        <v>1679</v>
      </c>
      <c r="E249" s="18" t="s">
        <v>1645</v>
      </c>
      <c r="F249" s="20" t="s">
        <v>1229</v>
      </c>
      <c r="G249" s="9" t="s">
        <v>1053</v>
      </c>
      <c r="H249" s="8" t="s">
        <v>394</v>
      </c>
      <c r="I249" s="7" t="s">
        <v>1031</v>
      </c>
    </row>
    <row r="250" spans="1:9" ht="25.5" x14ac:dyDescent="0.35">
      <c r="A250" s="14"/>
      <c r="B250" s="14"/>
      <c r="C250" s="14"/>
      <c r="D250" s="14"/>
      <c r="E250" s="14"/>
      <c r="F250" s="14"/>
      <c r="G250" s="10" t="s">
        <v>74</v>
      </c>
      <c r="H250" s="8" t="s">
        <v>394</v>
      </c>
    </row>
    <row r="251" spans="1:9" ht="25.5" x14ac:dyDescent="0.35">
      <c r="A251" s="14"/>
      <c r="B251" s="14"/>
      <c r="C251" s="14"/>
      <c r="D251" s="14"/>
      <c r="E251" s="14"/>
      <c r="F251" s="14"/>
      <c r="G251" s="10" t="s">
        <v>1151</v>
      </c>
      <c r="H251" s="8" t="s">
        <v>394</v>
      </c>
    </row>
    <row r="252" spans="1:9" ht="25.5" x14ac:dyDescent="0.35">
      <c r="A252" s="19"/>
      <c r="B252" s="19"/>
      <c r="C252" s="18"/>
      <c r="D252" s="18"/>
      <c r="E252" s="18"/>
      <c r="F252" s="20"/>
      <c r="G252" s="10" t="s">
        <v>529</v>
      </c>
      <c r="H252" s="8" t="s">
        <v>394</v>
      </c>
    </row>
    <row r="253" spans="1:9" x14ac:dyDescent="0.35">
      <c r="A253" s="19" t="str">
        <f>HYPERLINK("https://jira.itg.ti.com/browse/JACINTOREQ-1092","JACINTOREQ-1092")</f>
        <v>JACINTOREQ-1092</v>
      </c>
      <c r="B253" s="19" t="str">
        <f>HYPERLINK("https://jira.itg.ti.com/browse/PDK-5807","PDK-5807")</f>
        <v>PDK-5807</v>
      </c>
      <c r="C253" s="18" t="s">
        <v>962</v>
      </c>
      <c r="D253" s="18" t="s">
        <v>1160</v>
      </c>
      <c r="E253" s="18" t="s">
        <v>1645</v>
      </c>
      <c r="F253" s="20" t="s">
        <v>1229</v>
      </c>
      <c r="G253" s="9" t="s">
        <v>1621</v>
      </c>
      <c r="H253" s="8" t="s">
        <v>394</v>
      </c>
      <c r="I253" s="7" t="s">
        <v>1031</v>
      </c>
    </row>
    <row r="254" spans="1:9" ht="25.5" x14ac:dyDescent="0.35">
      <c r="A254" s="19"/>
      <c r="B254" s="19"/>
      <c r="C254" s="18"/>
      <c r="D254" s="18"/>
      <c r="E254" s="18"/>
      <c r="F254" s="20"/>
      <c r="G254" s="10" t="s">
        <v>740</v>
      </c>
      <c r="H254" s="8" t="s">
        <v>394</v>
      </c>
    </row>
    <row r="255" spans="1:9" x14ac:dyDescent="0.35">
      <c r="A255" s="19" t="str">
        <f>HYPERLINK("https://jira.itg.ti.com/browse/JACINTOREQ-1092","JACINTOREQ-1092")</f>
        <v>JACINTOREQ-1092</v>
      </c>
      <c r="B255" s="19" t="str">
        <f>HYPERLINK("https://jira.itg.ti.com/browse/PDK-5812","PDK-5812")</f>
        <v>PDK-5812</v>
      </c>
      <c r="C255" s="18" t="s">
        <v>1110</v>
      </c>
      <c r="D255" s="18" t="s">
        <v>1679</v>
      </c>
      <c r="E255" s="18" t="s">
        <v>1645</v>
      </c>
      <c r="F255" s="20" t="s">
        <v>1229</v>
      </c>
      <c r="G255" s="9" t="s">
        <v>588</v>
      </c>
      <c r="H255" s="8" t="s">
        <v>394</v>
      </c>
      <c r="I255" s="7" t="s">
        <v>1031</v>
      </c>
    </row>
    <row r="256" spans="1:9" x14ac:dyDescent="0.35">
      <c r="A256" s="14"/>
      <c r="B256" s="14"/>
      <c r="C256" s="14"/>
      <c r="D256" s="14"/>
      <c r="E256" s="14"/>
      <c r="F256" s="14"/>
      <c r="G256" s="10" t="s">
        <v>1296</v>
      </c>
      <c r="H256" s="8" t="s">
        <v>394</v>
      </c>
    </row>
    <row r="257" spans="1:8" x14ac:dyDescent="0.35">
      <c r="A257" s="14"/>
      <c r="B257" s="14"/>
      <c r="C257" s="14"/>
      <c r="D257" s="14"/>
      <c r="E257" s="14"/>
      <c r="F257" s="14"/>
      <c r="G257" s="10" t="s">
        <v>601</v>
      </c>
      <c r="H257" s="8" t="s">
        <v>394</v>
      </c>
    </row>
    <row r="258" spans="1:8" x14ac:dyDescent="0.35">
      <c r="A258" s="14"/>
      <c r="B258" s="14"/>
      <c r="C258" s="14"/>
      <c r="D258" s="14"/>
      <c r="E258" s="14"/>
      <c r="F258" s="14"/>
      <c r="G258" s="10" t="s">
        <v>84</v>
      </c>
      <c r="H258" s="8" t="s">
        <v>394</v>
      </c>
    </row>
    <row r="259" spans="1:8" x14ac:dyDescent="0.35">
      <c r="A259" s="14"/>
      <c r="B259" s="14"/>
      <c r="C259" s="14"/>
      <c r="D259" s="14"/>
      <c r="E259" s="14"/>
      <c r="F259" s="14"/>
      <c r="G259" s="10" t="s">
        <v>699</v>
      </c>
      <c r="H259" s="8" t="s">
        <v>394</v>
      </c>
    </row>
    <row r="260" spans="1:8" x14ac:dyDescent="0.35">
      <c r="A260" s="14"/>
      <c r="B260" s="14"/>
      <c r="C260" s="14"/>
      <c r="D260" s="14"/>
      <c r="E260" s="14"/>
      <c r="F260" s="14"/>
      <c r="G260" s="10" t="s">
        <v>503</v>
      </c>
      <c r="H260" s="8" t="s">
        <v>394</v>
      </c>
    </row>
    <row r="261" spans="1:8" x14ac:dyDescent="0.35">
      <c r="A261" s="14"/>
      <c r="B261" s="14"/>
      <c r="C261" s="14"/>
      <c r="D261" s="14"/>
      <c r="E261" s="14"/>
      <c r="F261" s="14"/>
      <c r="G261" s="10" t="s">
        <v>1069</v>
      </c>
      <c r="H261" s="8" t="s">
        <v>394</v>
      </c>
    </row>
    <row r="262" spans="1:8" x14ac:dyDescent="0.35">
      <c r="A262" s="14"/>
      <c r="B262" s="14"/>
      <c r="C262" s="14"/>
      <c r="D262" s="14"/>
      <c r="E262" s="14"/>
      <c r="F262" s="14"/>
      <c r="G262" s="10" t="s">
        <v>555</v>
      </c>
      <c r="H262" s="8" t="s">
        <v>394</v>
      </c>
    </row>
    <row r="263" spans="1:8" x14ac:dyDescent="0.35">
      <c r="A263" s="14"/>
      <c r="B263" s="14"/>
      <c r="C263" s="14"/>
      <c r="D263" s="14"/>
      <c r="E263" s="14"/>
      <c r="F263" s="14"/>
      <c r="G263" s="10" t="s">
        <v>1247</v>
      </c>
      <c r="H263" s="8" t="s">
        <v>394</v>
      </c>
    </row>
    <row r="264" spans="1:8" x14ac:dyDescent="0.35">
      <c r="A264" s="14"/>
      <c r="B264" s="14"/>
      <c r="C264" s="14"/>
      <c r="D264" s="14"/>
      <c r="E264" s="14"/>
      <c r="F264" s="14"/>
      <c r="G264" s="10" t="s">
        <v>883</v>
      </c>
      <c r="H264" s="8" t="s">
        <v>394</v>
      </c>
    </row>
    <row r="265" spans="1:8" x14ac:dyDescent="0.35">
      <c r="A265" s="14"/>
      <c r="B265" s="14"/>
      <c r="C265" s="14"/>
      <c r="D265" s="14"/>
      <c r="E265" s="14"/>
      <c r="F265" s="14"/>
      <c r="G265" s="10" t="s">
        <v>824</v>
      </c>
      <c r="H265" s="8" t="s">
        <v>394</v>
      </c>
    </row>
    <row r="266" spans="1:8" x14ac:dyDescent="0.35">
      <c r="A266" s="14"/>
      <c r="B266" s="14"/>
      <c r="C266" s="14"/>
      <c r="D266" s="14"/>
      <c r="E266" s="14"/>
      <c r="F266" s="14"/>
      <c r="G266" s="10" t="s">
        <v>1237</v>
      </c>
      <c r="H266" s="8" t="s">
        <v>394</v>
      </c>
    </row>
    <row r="267" spans="1:8" x14ac:dyDescent="0.35">
      <c r="A267" s="14"/>
      <c r="B267" s="14"/>
      <c r="C267" s="14"/>
      <c r="D267" s="14"/>
      <c r="E267" s="14"/>
      <c r="F267" s="14"/>
      <c r="G267" s="10" t="s">
        <v>1572</v>
      </c>
      <c r="H267" s="8" t="s">
        <v>394</v>
      </c>
    </row>
    <row r="268" spans="1:8" x14ac:dyDescent="0.35">
      <c r="A268" s="14"/>
      <c r="B268" s="14"/>
      <c r="C268" s="14"/>
      <c r="D268" s="14"/>
      <c r="E268" s="14"/>
      <c r="F268" s="14"/>
      <c r="G268" s="10" t="s">
        <v>86</v>
      </c>
      <c r="H268" s="8" t="s">
        <v>394</v>
      </c>
    </row>
    <row r="269" spans="1:8" ht="25.5" x14ac:dyDescent="0.35">
      <c r="A269" s="14"/>
      <c r="B269" s="14"/>
      <c r="C269" s="14"/>
      <c r="D269" s="14"/>
      <c r="E269" s="14"/>
      <c r="F269" s="14"/>
      <c r="G269" s="10" t="s">
        <v>1502</v>
      </c>
      <c r="H269" s="8" t="s">
        <v>394</v>
      </c>
    </row>
    <row r="270" spans="1:8" x14ac:dyDescent="0.35">
      <c r="A270" s="14"/>
      <c r="B270" s="14"/>
      <c r="C270" s="14"/>
      <c r="D270" s="14"/>
      <c r="E270" s="14"/>
      <c r="F270" s="14"/>
      <c r="G270" s="10" t="s">
        <v>1471</v>
      </c>
      <c r="H270" s="8" t="s">
        <v>394</v>
      </c>
    </row>
    <row r="271" spans="1:8" ht="25.5" x14ac:dyDescent="0.35">
      <c r="A271" s="14"/>
      <c r="B271" s="14"/>
      <c r="C271" s="14"/>
      <c r="D271" s="14"/>
      <c r="E271" s="14"/>
      <c r="F271" s="14"/>
      <c r="G271" s="10" t="s">
        <v>1267</v>
      </c>
      <c r="H271" s="8" t="s">
        <v>394</v>
      </c>
    </row>
    <row r="272" spans="1:8" ht="25.5" x14ac:dyDescent="0.35">
      <c r="A272" s="19"/>
      <c r="B272" s="19"/>
      <c r="C272" s="18"/>
      <c r="D272" s="18"/>
      <c r="E272" s="18"/>
      <c r="F272" s="20"/>
      <c r="G272" s="10" t="s">
        <v>1264</v>
      </c>
      <c r="H272" s="8" t="s">
        <v>394</v>
      </c>
    </row>
    <row r="273" spans="1:9" ht="25.5" x14ac:dyDescent="0.35">
      <c r="A273" s="19" t="str">
        <f>HYPERLINK("https://jira.itg.ti.com/browse/JACINTOREQ-1092","JACINTOREQ-1092")</f>
        <v>JACINTOREQ-1092</v>
      </c>
      <c r="B273" s="19" t="str">
        <f>HYPERLINK("https://jira.itg.ti.com/browse/PDK-5830","PDK-5830")</f>
        <v>PDK-5830</v>
      </c>
      <c r="C273" s="18" t="s">
        <v>1576</v>
      </c>
      <c r="D273" s="18" t="s">
        <v>1668</v>
      </c>
      <c r="E273" s="18" t="s">
        <v>1645</v>
      </c>
      <c r="F273" s="20" t="s">
        <v>1229</v>
      </c>
      <c r="G273" s="9" t="s">
        <v>1075</v>
      </c>
      <c r="H273" s="8" t="s">
        <v>394</v>
      </c>
      <c r="I273" s="7" t="s">
        <v>1031</v>
      </c>
    </row>
    <row r="274" spans="1:9" ht="25.5" x14ac:dyDescent="0.35">
      <c r="A274" s="14"/>
      <c r="B274" s="14"/>
      <c r="C274" s="14"/>
      <c r="D274" s="14"/>
      <c r="E274" s="14"/>
      <c r="F274" s="14"/>
      <c r="G274" s="10" t="s">
        <v>215</v>
      </c>
      <c r="H274" s="8" t="s">
        <v>394</v>
      </c>
    </row>
    <row r="275" spans="1:9" ht="25.5" x14ac:dyDescent="0.35">
      <c r="A275" s="14"/>
      <c r="B275" s="14"/>
      <c r="C275" s="14"/>
      <c r="D275" s="14"/>
      <c r="E275" s="14"/>
      <c r="F275" s="14"/>
      <c r="G275" s="10" t="s">
        <v>1641</v>
      </c>
      <c r="H275" s="8" t="s">
        <v>394</v>
      </c>
    </row>
    <row r="276" spans="1:9" ht="25.5" x14ac:dyDescent="0.35">
      <c r="A276" s="19"/>
      <c r="B276" s="19"/>
      <c r="C276" s="18"/>
      <c r="D276" s="18"/>
      <c r="E276" s="18"/>
      <c r="F276" s="20"/>
      <c r="G276" s="10" t="s">
        <v>1540</v>
      </c>
      <c r="H276" s="8" t="s">
        <v>394</v>
      </c>
    </row>
    <row r="277" spans="1:9" ht="25.5" x14ac:dyDescent="0.35">
      <c r="A277" s="19" t="str">
        <f>HYPERLINK("https://jira.itg.ti.com/browse/JACINTOREQ-1092","JACINTOREQ-1092")</f>
        <v>JACINTOREQ-1092</v>
      </c>
      <c r="B277" s="19" t="str">
        <f>HYPERLINK("https://jira.itg.ti.com/browse/PDK-5832","PDK-5832")</f>
        <v>PDK-5832</v>
      </c>
      <c r="C277" s="18" t="s">
        <v>523</v>
      </c>
      <c r="D277" s="18" t="s">
        <v>1668</v>
      </c>
      <c r="E277" s="18" t="s">
        <v>1645</v>
      </c>
      <c r="F277" s="20" t="s">
        <v>1229</v>
      </c>
      <c r="G277" s="9" t="s">
        <v>673</v>
      </c>
      <c r="H277" s="8" t="s">
        <v>394</v>
      </c>
      <c r="I277" s="7" t="s">
        <v>1031</v>
      </c>
    </row>
    <row r="278" spans="1:9" ht="25.5" x14ac:dyDescent="0.35">
      <c r="A278" s="14"/>
      <c r="B278" s="14"/>
      <c r="C278" s="14"/>
      <c r="D278" s="14"/>
      <c r="E278" s="14"/>
      <c r="F278" s="14"/>
      <c r="G278" s="10" t="s">
        <v>237</v>
      </c>
      <c r="H278" s="8" t="s">
        <v>394</v>
      </c>
    </row>
    <row r="279" spans="1:9" ht="25.5" x14ac:dyDescent="0.35">
      <c r="A279" s="14"/>
      <c r="B279" s="14"/>
      <c r="C279" s="14"/>
      <c r="D279" s="14"/>
      <c r="E279" s="14"/>
      <c r="F279" s="14"/>
      <c r="G279" s="10" t="s">
        <v>1198</v>
      </c>
      <c r="H279" s="8" t="s">
        <v>394</v>
      </c>
    </row>
    <row r="280" spans="1:9" ht="25.5" x14ac:dyDescent="0.35">
      <c r="A280" s="14"/>
      <c r="B280" s="14"/>
      <c r="C280" s="14"/>
      <c r="D280" s="14"/>
      <c r="E280" s="14"/>
      <c r="F280" s="14"/>
      <c r="G280" s="10" t="s">
        <v>133</v>
      </c>
      <c r="H280" s="8" t="s">
        <v>394</v>
      </c>
    </row>
    <row r="281" spans="1:9" ht="25.5" x14ac:dyDescent="0.35">
      <c r="A281" s="14"/>
      <c r="B281" s="14"/>
      <c r="C281" s="14"/>
      <c r="D281" s="14"/>
      <c r="E281" s="14"/>
      <c r="F281" s="14"/>
      <c r="G281" s="10" t="s">
        <v>151</v>
      </c>
      <c r="H281" s="8" t="s">
        <v>394</v>
      </c>
    </row>
    <row r="282" spans="1:9" ht="25.5" x14ac:dyDescent="0.35">
      <c r="A282" s="19"/>
      <c r="B282" s="19"/>
      <c r="C282" s="18"/>
      <c r="D282" s="18"/>
      <c r="E282" s="18"/>
      <c r="F282" s="20"/>
      <c r="G282" s="10" t="s">
        <v>1632</v>
      </c>
      <c r="H282" s="8" t="s">
        <v>394</v>
      </c>
    </row>
    <row r="283" spans="1:9" ht="25.5" x14ac:dyDescent="0.35">
      <c r="A283" s="19" t="str">
        <f>HYPERLINK("https://jira.itg.ti.com/browse/JACINTOREQ-1092","JACINTOREQ-1092")</f>
        <v>JACINTOREQ-1092</v>
      </c>
      <c r="B283" s="19" t="str">
        <f>HYPERLINK("https://jira.itg.ti.com/browse/PDK-5834","PDK-5834")</f>
        <v>PDK-5834</v>
      </c>
      <c r="C283" s="18" t="s">
        <v>7</v>
      </c>
      <c r="D283" s="18" t="s">
        <v>1668</v>
      </c>
      <c r="E283" s="18" t="s">
        <v>1645</v>
      </c>
      <c r="F283" s="20" t="s">
        <v>1229</v>
      </c>
      <c r="G283" s="9" t="s">
        <v>1170</v>
      </c>
      <c r="H283" s="8" t="s">
        <v>394</v>
      </c>
      <c r="I283" s="7" t="s">
        <v>1031</v>
      </c>
    </row>
    <row r="284" spans="1:9" ht="25.5" x14ac:dyDescent="0.35">
      <c r="A284" s="14"/>
      <c r="B284" s="14"/>
      <c r="C284" s="14"/>
      <c r="D284" s="14"/>
      <c r="E284" s="14"/>
      <c r="F284" s="14"/>
      <c r="G284" s="10" t="s">
        <v>1315</v>
      </c>
      <c r="H284" s="8" t="s">
        <v>394</v>
      </c>
    </row>
    <row r="285" spans="1:9" ht="25.5" x14ac:dyDescent="0.35">
      <c r="A285" s="19"/>
      <c r="B285" s="19"/>
      <c r="C285" s="18"/>
      <c r="D285" s="18"/>
      <c r="E285" s="18"/>
      <c r="F285" s="20"/>
      <c r="G285" s="10" t="s">
        <v>110</v>
      </c>
      <c r="H285" s="8" t="s">
        <v>394</v>
      </c>
    </row>
    <row r="286" spans="1:9" ht="25.5" x14ac:dyDescent="0.35">
      <c r="A286" s="19" t="str">
        <f>HYPERLINK("https://jira.itg.ti.com/browse/JACINTOREQ-1092","JACINTOREQ-1092")</f>
        <v>JACINTOREQ-1092</v>
      </c>
      <c r="B286" s="19" t="str">
        <f>HYPERLINK("https://jira.itg.ti.com/browse/PDK-5835","PDK-5835")</f>
        <v>PDK-5835</v>
      </c>
      <c r="C286" s="18" t="s">
        <v>356</v>
      </c>
      <c r="D286" s="18" t="s">
        <v>1668</v>
      </c>
      <c r="E286" s="18" t="s">
        <v>1645</v>
      </c>
      <c r="F286" s="20" t="s">
        <v>1229</v>
      </c>
      <c r="G286" s="9" t="s">
        <v>818</v>
      </c>
      <c r="H286" s="8" t="s">
        <v>394</v>
      </c>
      <c r="I286" s="7" t="s">
        <v>1031</v>
      </c>
    </row>
    <row r="287" spans="1:9" ht="25.5" x14ac:dyDescent="0.35">
      <c r="A287" s="19" t="str">
        <f>HYPERLINK("https://jira.itg.ti.com/browse/JACINTOREQ-1092","JACINTOREQ-1092")</f>
        <v>JACINTOREQ-1092</v>
      </c>
      <c r="B287" s="19" t="str">
        <f>HYPERLINK("https://jira.itg.ti.com/browse/PDK-5836","PDK-5836")</f>
        <v>PDK-5836</v>
      </c>
      <c r="C287" s="18" t="s">
        <v>573</v>
      </c>
      <c r="D287" s="18" t="s">
        <v>1668</v>
      </c>
      <c r="E287" s="18" t="s">
        <v>1645</v>
      </c>
      <c r="F287" s="20" t="s">
        <v>1229</v>
      </c>
      <c r="G287" s="9" t="s">
        <v>410</v>
      </c>
      <c r="H287" s="8" t="s">
        <v>394</v>
      </c>
      <c r="I287" s="7" t="s">
        <v>1031</v>
      </c>
    </row>
    <row r="288" spans="1:9" ht="25.5" x14ac:dyDescent="0.35">
      <c r="A288" s="19" t="str">
        <f>HYPERLINK("https://jira.itg.ti.com/browse/JACINTOREQ-1092","JACINTOREQ-1092")</f>
        <v>JACINTOREQ-1092</v>
      </c>
      <c r="B288" s="19" t="str">
        <f>HYPERLINK("https://jira.itg.ti.com/browse/PDK-5838","PDK-5838")</f>
        <v>PDK-5838</v>
      </c>
      <c r="C288" s="18" t="s">
        <v>1537</v>
      </c>
      <c r="D288" s="18" t="s">
        <v>1668</v>
      </c>
      <c r="E288" s="18" t="s">
        <v>1645</v>
      </c>
      <c r="F288" s="20" t="s">
        <v>1229</v>
      </c>
      <c r="G288" s="9" t="s">
        <v>163</v>
      </c>
      <c r="H288" s="8" t="s">
        <v>394</v>
      </c>
      <c r="I288" s="7" t="s">
        <v>1031</v>
      </c>
    </row>
    <row r="289" spans="1:9" ht="25.5" x14ac:dyDescent="0.35">
      <c r="A289" s="14"/>
      <c r="B289" s="14"/>
      <c r="C289" s="14"/>
      <c r="D289" s="14"/>
      <c r="E289" s="14"/>
      <c r="F289" s="14"/>
      <c r="G289" s="10" t="s">
        <v>1427</v>
      </c>
      <c r="H289" s="8" t="s">
        <v>394</v>
      </c>
    </row>
    <row r="290" spans="1:9" ht="25.5" x14ac:dyDescent="0.35">
      <c r="A290" s="14"/>
      <c r="B290" s="14"/>
      <c r="C290" s="14"/>
      <c r="D290" s="14"/>
      <c r="E290" s="14"/>
      <c r="F290" s="14"/>
      <c r="G290" s="10" t="s">
        <v>558</v>
      </c>
      <c r="H290" s="8" t="s">
        <v>394</v>
      </c>
    </row>
    <row r="291" spans="1:9" ht="25.5" x14ac:dyDescent="0.35">
      <c r="A291" s="19"/>
      <c r="B291" s="19"/>
      <c r="C291" s="18"/>
      <c r="D291" s="18"/>
      <c r="E291" s="18"/>
      <c r="F291" s="20"/>
      <c r="G291" s="10" t="s">
        <v>287</v>
      </c>
      <c r="H291" s="8" t="s">
        <v>394</v>
      </c>
    </row>
    <row r="292" spans="1:9" ht="25.5" x14ac:dyDescent="0.35">
      <c r="A292" s="19" t="str">
        <f>HYPERLINK("https://jira.itg.ti.com/browse/JACINTOREQ-1092","JACINTOREQ-1092")</f>
        <v>JACINTOREQ-1092</v>
      </c>
      <c r="B292" s="19" t="str">
        <f>HYPERLINK("https://jira.itg.ti.com/browse/PDK-5842","PDK-5842")</f>
        <v>PDK-5842</v>
      </c>
      <c r="C292" s="18" t="s">
        <v>304</v>
      </c>
      <c r="D292" s="18" t="s">
        <v>1668</v>
      </c>
      <c r="E292" s="18" t="s">
        <v>1645</v>
      </c>
      <c r="F292" s="20" t="s">
        <v>1229</v>
      </c>
      <c r="G292" s="9" t="s">
        <v>673</v>
      </c>
      <c r="H292" s="8" t="s">
        <v>394</v>
      </c>
      <c r="I292" s="7" t="s">
        <v>1031</v>
      </c>
    </row>
    <row r="293" spans="1:9" ht="25.5" x14ac:dyDescent="0.35">
      <c r="A293" s="14"/>
      <c r="B293" s="14"/>
      <c r="C293" s="14"/>
      <c r="D293" s="14"/>
      <c r="E293" s="14"/>
      <c r="F293" s="14"/>
      <c r="G293" s="10" t="s">
        <v>237</v>
      </c>
      <c r="H293" s="8" t="s">
        <v>394</v>
      </c>
    </row>
    <row r="294" spans="1:9" ht="25.5" x14ac:dyDescent="0.35">
      <c r="A294" s="14"/>
      <c r="B294" s="14"/>
      <c r="C294" s="14"/>
      <c r="D294" s="14"/>
      <c r="E294" s="14"/>
      <c r="F294" s="14"/>
      <c r="G294" s="10" t="s">
        <v>1198</v>
      </c>
      <c r="H294" s="8" t="s">
        <v>394</v>
      </c>
    </row>
    <row r="295" spans="1:9" ht="25.5" x14ac:dyDescent="0.35">
      <c r="A295" s="14"/>
      <c r="B295" s="14"/>
      <c r="C295" s="14"/>
      <c r="D295" s="14"/>
      <c r="E295" s="14"/>
      <c r="F295" s="14"/>
      <c r="G295" s="10" t="s">
        <v>133</v>
      </c>
      <c r="H295" s="8" t="s">
        <v>394</v>
      </c>
    </row>
    <row r="296" spans="1:9" ht="25.5" x14ac:dyDescent="0.35">
      <c r="A296" s="14"/>
      <c r="B296" s="14"/>
      <c r="C296" s="14"/>
      <c r="D296" s="14"/>
      <c r="E296" s="14"/>
      <c r="F296" s="14"/>
      <c r="G296" s="10" t="s">
        <v>151</v>
      </c>
      <c r="H296" s="8" t="s">
        <v>394</v>
      </c>
    </row>
    <row r="297" spans="1:9" ht="25.5" x14ac:dyDescent="0.35">
      <c r="A297" s="19"/>
      <c r="B297" s="19"/>
      <c r="C297" s="18"/>
      <c r="D297" s="18"/>
      <c r="E297" s="18"/>
      <c r="F297" s="20"/>
      <c r="G297" s="10" t="s">
        <v>1632</v>
      </c>
      <c r="H297" s="8" t="s">
        <v>394</v>
      </c>
    </row>
    <row r="298" spans="1:9" ht="25.5" x14ac:dyDescent="0.35">
      <c r="A298" s="19" t="str">
        <f>HYPERLINK("https://jira.itg.ti.com/browse/JACINTOREQ-1092","JACINTOREQ-1092")</f>
        <v>JACINTOREQ-1092</v>
      </c>
      <c r="B298" s="19" t="str">
        <f>HYPERLINK("https://jira.itg.ti.com/browse/PDK-5845","PDK-5845")</f>
        <v>PDK-5845</v>
      </c>
      <c r="C298" s="18" t="s">
        <v>576</v>
      </c>
      <c r="D298" s="18" t="s">
        <v>1668</v>
      </c>
      <c r="E298" s="18" t="s">
        <v>1645</v>
      </c>
      <c r="F298" s="20" t="s">
        <v>1229</v>
      </c>
      <c r="G298" s="9" t="s">
        <v>1620</v>
      </c>
      <c r="H298" s="8" t="s">
        <v>394</v>
      </c>
      <c r="I298" s="7" t="s">
        <v>1031</v>
      </c>
    </row>
    <row r="299" spans="1:9" ht="25.5" x14ac:dyDescent="0.35">
      <c r="A299" s="19" t="str">
        <f>HYPERLINK("https://jira.itg.ti.com/browse/JACINTOREQ-1092","JACINTOREQ-1092")</f>
        <v>JACINTOREQ-1092</v>
      </c>
      <c r="B299" s="19" t="str">
        <f>HYPERLINK("https://jira.itg.ti.com/browse/PDK-5846","PDK-5846")</f>
        <v>PDK-5846</v>
      </c>
      <c r="C299" s="18" t="s">
        <v>798</v>
      </c>
      <c r="D299" s="18" t="s">
        <v>1668</v>
      </c>
      <c r="E299" s="18" t="s">
        <v>1645</v>
      </c>
      <c r="F299" s="20" t="s">
        <v>1229</v>
      </c>
      <c r="G299" s="9" t="s">
        <v>1194</v>
      </c>
      <c r="H299" s="8" t="s">
        <v>394</v>
      </c>
      <c r="I299" s="7" t="s">
        <v>1031</v>
      </c>
    </row>
    <row r="300" spans="1:9" ht="25.5" x14ac:dyDescent="0.35">
      <c r="A300" s="19"/>
      <c r="B300" s="19"/>
      <c r="C300" s="18"/>
      <c r="D300" s="18"/>
      <c r="E300" s="18"/>
      <c r="F300" s="20"/>
      <c r="G300" s="10" t="s">
        <v>774</v>
      </c>
      <c r="H300" s="8" t="s">
        <v>394</v>
      </c>
    </row>
    <row r="301" spans="1:9" ht="25.5" x14ac:dyDescent="0.35">
      <c r="A301" s="19" t="str">
        <f>HYPERLINK("https://jira.itg.ti.com/browse/JACINTOREQ-1092","JACINTOREQ-1092")</f>
        <v>JACINTOREQ-1092</v>
      </c>
      <c r="B301" s="19" t="str">
        <f>HYPERLINK("https://jira.itg.ti.com/browse/PDK-5852","PDK-5852")</f>
        <v>PDK-5852</v>
      </c>
      <c r="C301" s="18" t="s">
        <v>152</v>
      </c>
      <c r="D301" s="18" t="s">
        <v>1668</v>
      </c>
      <c r="E301" s="18" t="s">
        <v>1645</v>
      </c>
      <c r="F301" s="20" t="s">
        <v>1229</v>
      </c>
      <c r="G301" s="9" t="s">
        <v>131</v>
      </c>
      <c r="H301" s="8" t="s">
        <v>394</v>
      </c>
      <c r="I301" s="7" t="s">
        <v>1031</v>
      </c>
    </row>
    <row r="302" spans="1:9" ht="25.5" x14ac:dyDescent="0.35">
      <c r="A302" s="19"/>
      <c r="B302" s="19"/>
      <c r="C302" s="18"/>
      <c r="D302" s="18"/>
      <c r="E302" s="18"/>
      <c r="F302" s="20"/>
      <c r="G302" s="10" t="s">
        <v>40</v>
      </c>
      <c r="H302" s="8" t="s">
        <v>394</v>
      </c>
    </row>
    <row r="303" spans="1:9" ht="25.5" x14ac:dyDescent="0.35">
      <c r="A303" s="19" t="str">
        <f>HYPERLINK("https://jira.itg.ti.com/browse/JACINTOREQ-1093","JACINTOREQ-1093")</f>
        <v>JACINTOREQ-1093</v>
      </c>
      <c r="B303" s="19" t="str">
        <f>HYPERLINK("https://jira.itg.ti.com/browse/PDK-5841","PDK-5841")</f>
        <v>PDK-5841</v>
      </c>
      <c r="C303" s="18" t="s">
        <v>306</v>
      </c>
      <c r="D303" s="18" t="s">
        <v>1447</v>
      </c>
      <c r="E303" s="18" t="s">
        <v>1645</v>
      </c>
      <c r="F303" s="20" t="s">
        <v>1229</v>
      </c>
      <c r="G303" s="9" t="s">
        <v>562</v>
      </c>
      <c r="H303" s="8" t="s">
        <v>394</v>
      </c>
      <c r="I303" s="7" t="s">
        <v>1031</v>
      </c>
    </row>
    <row r="304" spans="1:9" ht="25.5" x14ac:dyDescent="0.35">
      <c r="A304" s="14"/>
      <c r="B304" s="14"/>
      <c r="C304" s="14"/>
      <c r="D304" s="14"/>
      <c r="E304" s="14"/>
      <c r="F304" s="14"/>
      <c r="G304" s="10" t="s">
        <v>1591</v>
      </c>
      <c r="H304" s="8" t="s">
        <v>394</v>
      </c>
    </row>
    <row r="305" spans="1:8" ht="25.5" x14ac:dyDescent="0.35">
      <c r="A305" s="14"/>
      <c r="B305" s="14"/>
      <c r="C305" s="14"/>
      <c r="D305" s="14"/>
      <c r="E305" s="14"/>
      <c r="F305" s="14"/>
      <c r="G305" s="10" t="s">
        <v>1410</v>
      </c>
      <c r="H305" s="8" t="s">
        <v>394</v>
      </c>
    </row>
    <row r="306" spans="1:8" ht="25.5" x14ac:dyDescent="0.35">
      <c r="A306" s="14"/>
      <c r="B306" s="14"/>
      <c r="C306" s="14"/>
      <c r="D306" s="14"/>
      <c r="E306" s="14"/>
      <c r="F306" s="14"/>
      <c r="G306" s="10" t="s">
        <v>1644</v>
      </c>
      <c r="H306" s="8" t="s">
        <v>394</v>
      </c>
    </row>
    <row r="307" spans="1:8" ht="25.5" x14ac:dyDescent="0.35">
      <c r="A307" s="14"/>
      <c r="B307" s="14"/>
      <c r="C307" s="14"/>
      <c r="D307" s="14"/>
      <c r="E307" s="14"/>
      <c r="F307" s="14"/>
      <c r="G307" s="10" t="s">
        <v>1064</v>
      </c>
      <c r="H307" s="8" t="s">
        <v>394</v>
      </c>
    </row>
    <row r="308" spans="1:8" ht="25.5" x14ac:dyDescent="0.35">
      <c r="A308" s="14"/>
      <c r="B308" s="14"/>
      <c r="C308" s="14"/>
      <c r="D308" s="14"/>
      <c r="E308" s="14"/>
      <c r="F308" s="14"/>
      <c r="G308" s="10" t="s">
        <v>272</v>
      </c>
      <c r="H308" s="8" t="s">
        <v>394</v>
      </c>
    </row>
    <row r="309" spans="1:8" ht="25.5" x14ac:dyDescent="0.35">
      <c r="A309" s="14"/>
      <c r="B309" s="14"/>
      <c r="C309" s="14"/>
      <c r="D309" s="14"/>
      <c r="E309" s="14"/>
      <c r="F309" s="14"/>
      <c r="G309" s="10" t="s">
        <v>865</v>
      </c>
      <c r="H309" s="8" t="s">
        <v>394</v>
      </c>
    </row>
    <row r="310" spans="1:8" ht="25.5" x14ac:dyDescent="0.35">
      <c r="A310" s="14"/>
      <c r="B310" s="14"/>
      <c r="C310" s="14"/>
      <c r="D310" s="14"/>
      <c r="E310" s="14"/>
      <c r="F310" s="14"/>
      <c r="G310" s="10" t="s">
        <v>898</v>
      </c>
      <c r="H310" s="8" t="s">
        <v>394</v>
      </c>
    </row>
    <row r="311" spans="1:8" ht="25.5" x14ac:dyDescent="0.35">
      <c r="A311" s="14"/>
      <c r="B311" s="14"/>
      <c r="C311" s="14"/>
      <c r="D311" s="14"/>
      <c r="E311" s="14"/>
      <c r="F311" s="14"/>
      <c r="G311" s="10" t="s">
        <v>730</v>
      </c>
      <c r="H311" s="8" t="s">
        <v>394</v>
      </c>
    </row>
    <row r="312" spans="1:8" ht="25.5" x14ac:dyDescent="0.35">
      <c r="A312" s="14"/>
      <c r="B312" s="14"/>
      <c r="C312" s="14"/>
      <c r="D312" s="14"/>
      <c r="E312" s="14"/>
      <c r="F312" s="14"/>
      <c r="G312" s="10" t="s">
        <v>541</v>
      </c>
      <c r="H312" s="8" t="s">
        <v>394</v>
      </c>
    </row>
    <row r="313" spans="1:8" ht="25.5" x14ac:dyDescent="0.35">
      <c r="A313" s="14"/>
      <c r="B313" s="14"/>
      <c r="C313" s="14"/>
      <c r="D313" s="14"/>
      <c r="E313" s="14"/>
      <c r="F313" s="14"/>
      <c r="G313" s="10" t="s">
        <v>11</v>
      </c>
      <c r="H313" s="8" t="s">
        <v>394</v>
      </c>
    </row>
    <row r="314" spans="1:8" ht="25.5" x14ac:dyDescent="0.35">
      <c r="A314" s="14"/>
      <c r="B314" s="14"/>
      <c r="C314" s="14"/>
      <c r="D314" s="14"/>
      <c r="E314" s="14"/>
      <c r="F314" s="14"/>
      <c r="G314" s="10" t="s">
        <v>816</v>
      </c>
      <c r="H314" s="8" t="s">
        <v>394</v>
      </c>
    </row>
    <row r="315" spans="1:8" ht="25.5" x14ac:dyDescent="0.35">
      <c r="A315" s="14"/>
      <c r="B315" s="14"/>
      <c r="C315" s="14"/>
      <c r="D315" s="14"/>
      <c r="E315" s="14"/>
      <c r="F315" s="14"/>
      <c r="G315" s="10" t="s">
        <v>51</v>
      </c>
      <c r="H315" s="8" t="s">
        <v>394</v>
      </c>
    </row>
    <row r="316" spans="1:8" ht="25.5" x14ac:dyDescent="0.35">
      <c r="A316" s="14"/>
      <c r="B316" s="14"/>
      <c r="C316" s="14"/>
      <c r="D316" s="14"/>
      <c r="E316" s="14"/>
      <c r="F316" s="14"/>
      <c r="G316" s="10" t="s">
        <v>201</v>
      </c>
      <c r="H316" s="8" t="s">
        <v>394</v>
      </c>
    </row>
    <row r="317" spans="1:8" ht="25.5" x14ac:dyDescent="0.35">
      <c r="A317" s="14"/>
      <c r="B317" s="14"/>
      <c r="C317" s="14"/>
      <c r="D317" s="14"/>
      <c r="E317" s="14"/>
      <c r="F317" s="14"/>
      <c r="G317" s="10" t="s">
        <v>1243</v>
      </c>
      <c r="H317" s="8" t="s">
        <v>394</v>
      </c>
    </row>
    <row r="318" spans="1:8" ht="25.5" x14ac:dyDescent="0.35">
      <c r="A318" s="14"/>
      <c r="B318" s="14"/>
      <c r="C318" s="14"/>
      <c r="D318" s="14"/>
      <c r="E318" s="14"/>
      <c r="F318" s="14"/>
      <c r="G318" s="10" t="s">
        <v>636</v>
      </c>
      <c r="H318" s="8" t="s">
        <v>394</v>
      </c>
    </row>
    <row r="319" spans="1:8" ht="25.5" x14ac:dyDescent="0.35">
      <c r="A319" s="14"/>
      <c r="B319" s="14"/>
      <c r="C319" s="14"/>
      <c r="D319" s="14"/>
      <c r="E319" s="14"/>
      <c r="F319" s="14"/>
      <c r="G319" s="10" t="s">
        <v>947</v>
      </c>
      <c r="H319" s="8" t="s">
        <v>394</v>
      </c>
    </row>
    <row r="320" spans="1:8" ht="38.25" x14ac:dyDescent="0.35">
      <c r="A320" s="14"/>
      <c r="B320" s="14"/>
      <c r="C320" s="14"/>
      <c r="D320" s="14"/>
      <c r="E320" s="14"/>
      <c r="F320" s="14"/>
      <c r="G320" s="10" t="s">
        <v>1050</v>
      </c>
      <c r="H320" s="8" t="s">
        <v>394</v>
      </c>
    </row>
    <row r="321" spans="1:8" ht="25.5" x14ac:dyDescent="0.35">
      <c r="A321" s="14"/>
      <c r="B321" s="14"/>
      <c r="C321" s="14"/>
      <c r="D321" s="14"/>
      <c r="E321" s="14"/>
      <c r="F321" s="14"/>
      <c r="G321" s="10" t="s">
        <v>1292</v>
      </c>
      <c r="H321" s="8" t="s">
        <v>394</v>
      </c>
    </row>
    <row r="322" spans="1:8" ht="25.5" x14ac:dyDescent="0.35">
      <c r="A322" s="14"/>
      <c r="B322" s="14"/>
      <c r="C322" s="14"/>
      <c r="D322" s="14"/>
      <c r="E322" s="14"/>
      <c r="F322" s="14"/>
      <c r="G322" s="10" t="s">
        <v>606</v>
      </c>
      <c r="H322" s="8" t="s">
        <v>394</v>
      </c>
    </row>
    <row r="323" spans="1:8" ht="25.5" x14ac:dyDescent="0.35">
      <c r="A323" s="14"/>
      <c r="B323" s="14"/>
      <c r="C323" s="14"/>
      <c r="D323" s="14"/>
      <c r="E323" s="14"/>
      <c r="F323" s="14"/>
      <c r="G323" s="10" t="s">
        <v>1596</v>
      </c>
      <c r="H323" s="8" t="s">
        <v>394</v>
      </c>
    </row>
    <row r="324" spans="1:8" ht="25.5" x14ac:dyDescent="0.35">
      <c r="A324" s="14"/>
      <c r="B324" s="14"/>
      <c r="C324" s="14"/>
      <c r="D324" s="14"/>
      <c r="E324" s="14"/>
      <c r="F324" s="14"/>
      <c r="G324" s="10" t="s">
        <v>212</v>
      </c>
      <c r="H324" s="8" t="s">
        <v>394</v>
      </c>
    </row>
    <row r="325" spans="1:8" ht="25.5" x14ac:dyDescent="0.35">
      <c r="A325" s="14"/>
      <c r="B325" s="14"/>
      <c r="C325" s="14"/>
      <c r="D325" s="14"/>
      <c r="E325" s="14"/>
      <c r="F325" s="14"/>
      <c r="G325" s="10" t="s">
        <v>383</v>
      </c>
      <c r="H325" s="8" t="s">
        <v>394</v>
      </c>
    </row>
    <row r="326" spans="1:8" ht="25.5" x14ac:dyDescent="0.35">
      <c r="A326" s="14"/>
      <c r="B326" s="14"/>
      <c r="C326" s="14"/>
      <c r="D326" s="14"/>
      <c r="E326" s="14"/>
      <c r="F326" s="14"/>
      <c r="G326" s="10" t="s">
        <v>257</v>
      </c>
      <c r="H326" s="8" t="s">
        <v>394</v>
      </c>
    </row>
    <row r="327" spans="1:8" ht="25.5" x14ac:dyDescent="0.35">
      <c r="A327" s="14"/>
      <c r="B327" s="14"/>
      <c r="C327" s="14"/>
      <c r="D327" s="14"/>
      <c r="E327" s="14"/>
      <c r="F327" s="14"/>
      <c r="G327" s="10" t="s">
        <v>60</v>
      </c>
      <c r="H327" s="8" t="s">
        <v>394</v>
      </c>
    </row>
    <row r="328" spans="1:8" ht="25.5" x14ac:dyDescent="0.35">
      <c r="A328" s="14"/>
      <c r="B328" s="14"/>
      <c r="C328" s="14"/>
      <c r="D328" s="14"/>
      <c r="E328" s="14"/>
      <c r="F328" s="14"/>
      <c r="G328" s="10" t="s">
        <v>723</v>
      </c>
      <c r="H328" s="8" t="s">
        <v>394</v>
      </c>
    </row>
    <row r="329" spans="1:8" ht="25.5" x14ac:dyDescent="0.35">
      <c r="A329" s="14"/>
      <c r="B329" s="14"/>
      <c r="C329" s="14"/>
      <c r="D329" s="14"/>
      <c r="E329" s="14"/>
      <c r="F329" s="14"/>
      <c r="G329" s="10" t="s">
        <v>238</v>
      </c>
      <c r="H329" s="8" t="s">
        <v>394</v>
      </c>
    </row>
    <row r="330" spans="1:8" ht="25.5" x14ac:dyDescent="0.35">
      <c r="A330" s="14"/>
      <c r="B330" s="14"/>
      <c r="C330" s="14"/>
      <c r="D330" s="14"/>
      <c r="E330" s="14"/>
      <c r="F330" s="14"/>
      <c r="G330" s="10" t="s">
        <v>263</v>
      </c>
      <c r="H330" s="8" t="s">
        <v>394</v>
      </c>
    </row>
    <row r="331" spans="1:8" ht="25.5" x14ac:dyDescent="0.35">
      <c r="A331" s="14"/>
      <c r="B331" s="14"/>
      <c r="C331" s="14"/>
      <c r="D331" s="14"/>
      <c r="E331" s="14"/>
      <c r="F331" s="14"/>
      <c r="G331" s="10" t="s">
        <v>295</v>
      </c>
      <c r="H331" s="8" t="s">
        <v>394</v>
      </c>
    </row>
    <row r="332" spans="1:8" ht="25.5" x14ac:dyDescent="0.35">
      <c r="A332" s="14"/>
      <c r="B332" s="14"/>
      <c r="C332" s="14"/>
      <c r="D332" s="14"/>
      <c r="E332" s="14"/>
      <c r="F332" s="14"/>
      <c r="G332" s="10" t="s">
        <v>617</v>
      </c>
      <c r="H332" s="8" t="s">
        <v>394</v>
      </c>
    </row>
    <row r="333" spans="1:8" ht="25.5" x14ac:dyDescent="0.35">
      <c r="A333" s="14"/>
      <c r="B333" s="14"/>
      <c r="C333" s="14"/>
      <c r="D333" s="14"/>
      <c r="E333" s="14"/>
      <c r="F333" s="14"/>
      <c r="G333" s="10" t="s">
        <v>476</v>
      </c>
      <c r="H333" s="8" t="s">
        <v>394</v>
      </c>
    </row>
    <row r="334" spans="1:8" ht="25.5" x14ac:dyDescent="0.35">
      <c r="A334" s="14"/>
      <c r="B334" s="14"/>
      <c r="C334" s="14"/>
      <c r="D334" s="14"/>
      <c r="E334" s="14"/>
      <c r="F334" s="14"/>
      <c r="G334" s="10" t="s">
        <v>1011</v>
      </c>
      <c r="H334" s="8" t="s">
        <v>394</v>
      </c>
    </row>
    <row r="335" spans="1:8" ht="38.25" x14ac:dyDescent="0.35">
      <c r="A335" s="14"/>
      <c r="B335" s="14"/>
      <c r="C335" s="14"/>
      <c r="D335" s="14"/>
      <c r="E335" s="14"/>
      <c r="F335" s="14"/>
      <c r="G335" s="10" t="s">
        <v>466</v>
      </c>
      <c r="H335" s="8" t="s">
        <v>394</v>
      </c>
    </row>
    <row r="336" spans="1:8" ht="38.25" x14ac:dyDescent="0.35">
      <c r="A336" s="14"/>
      <c r="B336" s="14"/>
      <c r="C336" s="14"/>
      <c r="D336" s="14"/>
      <c r="E336" s="14"/>
      <c r="F336" s="14"/>
      <c r="G336" s="10" t="s">
        <v>878</v>
      </c>
      <c r="H336" s="8" t="s">
        <v>394</v>
      </c>
    </row>
    <row r="337" spans="1:8" ht="38.25" x14ac:dyDescent="0.35">
      <c r="A337" s="14"/>
      <c r="B337" s="14"/>
      <c r="C337" s="14"/>
      <c r="D337" s="14"/>
      <c r="E337" s="14"/>
      <c r="F337" s="14"/>
      <c r="G337" s="10" t="s">
        <v>776</v>
      </c>
      <c r="H337" s="8" t="s">
        <v>394</v>
      </c>
    </row>
    <row r="338" spans="1:8" ht="38.25" x14ac:dyDescent="0.35">
      <c r="A338" s="14"/>
      <c r="B338" s="14"/>
      <c r="C338" s="14"/>
      <c r="D338" s="14"/>
      <c r="E338" s="14"/>
      <c r="F338" s="14"/>
      <c r="G338" s="10" t="s">
        <v>844</v>
      </c>
      <c r="H338" s="8" t="s">
        <v>394</v>
      </c>
    </row>
    <row r="339" spans="1:8" ht="25.5" x14ac:dyDescent="0.35">
      <c r="A339" s="14"/>
      <c r="B339" s="14"/>
      <c r="C339" s="14"/>
      <c r="D339" s="14"/>
      <c r="E339" s="14"/>
      <c r="F339" s="14"/>
      <c r="G339" s="10" t="s">
        <v>551</v>
      </c>
      <c r="H339" s="8" t="s">
        <v>394</v>
      </c>
    </row>
    <row r="340" spans="1:8" ht="25.5" x14ac:dyDescent="0.35">
      <c r="A340" s="14"/>
      <c r="B340" s="14"/>
      <c r="C340" s="14"/>
      <c r="D340" s="14"/>
      <c r="E340" s="14"/>
      <c r="F340" s="14"/>
      <c r="G340" s="10" t="s">
        <v>604</v>
      </c>
      <c r="H340" s="8" t="s">
        <v>394</v>
      </c>
    </row>
    <row r="341" spans="1:8" ht="25.5" x14ac:dyDescent="0.35">
      <c r="A341" s="14"/>
      <c r="B341" s="14"/>
      <c r="C341" s="14"/>
      <c r="D341" s="14"/>
      <c r="E341" s="14"/>
      <c r="F341" s="14"/>
      <c r="G341" s="10" t="s">
        <v>1178</v>
      </c>
      <c r="H341" s="8" t="s">
        <v>394</v>
      </c>
    </row>
    <row r="342" spans="1:8" ht="25.5" x14ac:dyDescent="0.35">
      <c r="A342" s="14"/>
      <c r="B342" s="14"/>
      <c r="C342" s="14"/>
      <c r="D342" s="14"/>
      <c r="E342" s="14"/>
      <c r="F342" s="14"/>
      <c r="G342" s="10" t="s">
        <v>1115</v>
      </c>
      <c r="H342" s="8" t="s">
        <v>394</v>
      </c>
    </row>
    <row r="343" spans="1:8" ht="25.5" x14ac:dyDescent="0.35">
      <c r="A343" s="14"/>
      <c r="B343" s="14"/>
      <c r="C343" s="14"/>
      <c r="D343" s="14"/>
      <c r="E343" s="14"/>
      <c r="F343" s="14"/>
      <c r="G343" s="10" t="s">
        <v>884</v>
      </c>
      <c r="H343" s="8" t="s">
        <v>394</v>
      </c>
    </row>
    <row r="344" spans="1:8" ht="25.5" x14ac:dyDescent="0.35">
      <c r="A344" s="14"/>
      <c r="B344" s="14"/>
      <c r="C344" s="14"/>
      <c r="D344" s="14"/>
      <c r="E344" s="14"/>
      <c r="F344" s="14"/>
      <c r="G344" s="10" t="s">
        <v>1599</v>
      </c>
      <c r="H344" s="8" t="s">
        <v>394</v>
      </c>
    </row>
    <row r="345" spans="1:8" ht="25.5" x14ac:dyDescent="0.35">
      <c r="A345" s="14"/>
      <c r="B345" s="14"/>
      <c r="C345" s="14"/>
      <c r="D345" s="14"/>
      <c r="E345" s="14"/>
      <c r="F345" s="14"/>
      <c r="G345" s="10" t="s">
        <v>1150</v>
      </c>
      <c r="H345" s="8" t="s">
        <v>394</v>
      </c>
    </row>
    <row r="346" spans="1:8" ht="25.5" x14ac:dyDescent="0.35">
      <c r="A346" s="14"/>
      <c r="B346" s="14"/>
      <c r="C346" s="14"/>
      <c r="D346" s="14"/>
      <c r="E346" s="14"/>
      <c r="F346" s="14"/>
      <c r="G346" s="10" t="s">
        <v>706</v>
      </c>
      <c r="H346" s="8" t="s">
        <v>394</v>
      </c>
    </row>
    <row r="347" spans="1:8" ht="25.5" x14ac:dyDescent="0.35">
      <c r="A347" s="14"/>
      <c r="B347" s="14"/>
      <c r="C347" s="14"/>
      <c r="D347" s="14"/>
      <c r="E347" s="14"/>
      <c r="F347" s="14"/>
      <c r="G347" s="10" t="s">
        <v>1275</v>
      </c>
      <c r="H347" s="8" t="s">
        <v>394</v>
      </c>
    </row>
    <row r="348" spans="1:8" ht="25.5" x14ac:dyDescent="0.35">
      <c r="A348" s="14"/>
      <c r="B348" s="14"/>
      <c r="C348" s="14"/>
      <c r="D348" s="14"/>
      <c r="E348" s="14"/>
      <c r="F348" s="14"/>
      <c r="G348" s="10" t="s">
        <v>494</v>
      </c>
      <c r="H348" s="8" t="s">
        <v>394</v>
      </c>
    </row>
    <row r="349" spans="1:8" ht="25.5" x14ac:dyDescent="0.35">
      <c r="A349" s="14"/>
      <c r="B349" s="14"/>
      <c r="C349" s="14"/>
      <c r="D349" s="14"/>
      <c r="E349" s="14"/>
      <c r="F349" s="14"/>
      <c r="G349" s="10" t="s">
        <v>381</v>
      </c>
      <c r="H349" s="8" t="s">
        <v>394</v>
      </c>
    </row>
    <row r="350" spans="1:8" ht="25.5" x14ac:dyDescent="0.35">
      <c r="A350" s="14"/>
      <c r="B350" s="14"/>
      <c r="C350" s="14"/>
      <c r="D350" s="14"/>
      <c r="E350" s="14"/>
      <c r="F350" s="14"/>
      <c r="G350" s="10" t="s">
        <v>1106</v>
      </c>
      <c r="H350" s="8" t="s">
        <v>394</v>
      </c>
    </row>
    <row r="351" spans="1:8" ht="25.5" x14ac:dyDescent="0.35">
      <c r="A351" s="14"/>
      <c r="B351" s="14"/>
      <c r="C351" s="14"/>
      <c r="D351" s="14"/>
      <c r="E351" s="14"/>
      <c r="F351" s="14"/>
      <c r="G351" s="10" t="s">
        <v>563</v>
      </c>
      <c r="H351" s="8" t="s">
        <v>394</v>
      </c>
    </row>
    <row r="352" spans="1:8" ht="25.5" x14ac:dyDescent="0.35">
      <c r="A352" s="14"/>
      <c r="B352" s="14"/>
      <c r="C352" s="14"/>
      <c r="D352" s="14"/>
      <c r="E352" s="14"/>
      <c r="F352" s="14"/>
      <c r="G352" s="10" t="s">
        <v>561</v>
      </c>
      <c r="H352" s="8" t="s">
        <v>394</v>
      </c>
    </row>
    <row r="353" spans="1:8" ht="25.5" x14ac:dyDescent="0.35">
      <c r="A353" s="14"/>
      <c r="B353" s="14"/>
      <c r="C353" s="14"/>
      <c r="D353" s="14"/>
      <c r="E353" s="14"/>
      <c r="F353" s="14"/>
      <c r="G353" s="10" t="s">
        <v>1681</v>
      </c>
      <c r="H353" s="8" t="s">
        <v>394</v>
      </c>
    </row>
    <row r="354" spans="1:8" ht="25.5" x14ac:dyDescent="0.35">
      <c r="A354" s="14"/>
      <c r="B354" s="14"/>
      <c r="C354" s="14"/>
      <c r="D354" s="14"/>
      <c r="E354" s="14"/>
      <c r="F354" s="14"/>
      <c r="G354" s="10" t="s">
        <v>44</v>
      </c>
      <c r="H354" s="8" t="s">
        <v>394</v>
      </c>
    </row>
    <row r="355" spans="1:8" ht="25.5" x14ac:dyDescent="0.35">
      <c r="A355" s="14"/>
      <c r="B355" s="14"/>
      <c r="C355" s="14"/>
      <c r="D355" s="14"/>
      <c r="E355" s="14"/>
      <c r="F355" s="14"/>
      <c r="G355" s="10" t="s">
        <v>439</v>
      </c>
      <c r="H355" s="8" t="s">
        <v>394</v>
      </c>
    </row>
    <row r="356" spans="1:8" ht="25.5" x14ac:dyDescent="0.35">
      <c r="A356" s="14"/>
      <c r="B356" s="14"/>
      <c r="C356" s="14"/>
      <c r="D356" s="14"/>
      <c r="E356" s="14"/>
      <c r="F356" s="14"/>
      <c r="G356" s="10" t="s">
        <v>797</v>
      </c>
      <c r="H356" s="8" t="s">
        <v>394</v>
      </c>
    </row>
    <row r="357" spans="1:8" ht="25.5" x14ac:dyDescent="0.35">
      <c r="A357" s="14"/>
      <c r="B357" s="14"/>
      <c r="C357" s="14"/>
      <c r="D357" s="14"/>
      <c r="E357" s="14"/>
      <c r="F357" s="14"/>
      <c r="G357" s="10" t="s">
        <v>499</v>
      </c>
      <c r="H357" s="8" t="s">
        <v>394</v>
      </c>
    </row>
    <row r="358" spans="1:8" ht="25.5" x14ac:dyDescent="0.35">
      <c r="A358" s="14"/>
      <c r="B358" s="14"/>
      <c r="C358" s="14"/>
      <c r="D358" s="14"/>
      <c r="E358" s="14"/>
      <c r="F358" s="14"/>
      <c r="G358" s="10" t="s">
        <v>0</v>
      </c>
      <c r="H358" s="8" t="s">
        <v>394</v>
      </c>
    </row>
    <row r="359" spans="1:8" ht="25.5" x14ac:dyDescent="0.35">
      <c r="A359" s="14"/>
      <c r="B359" s="14"/>
      <c r="C359" s="14"/>
      <c r="D359" s="14"/>
      <c r="E359" s="14"/>
      <c r="F359" s="14"/>
      <c r="G359" s="10" t="s">
        <v>708</v>
      </c>
      <c r="H359" s="8" t="s">
        <v>394</v>
      </c>
    </row>
    <row r="360" spans="1:8" ht="25.5" x14ac:dyDescent="0.35">
      <c r="A360" s="14"/>
      <c r="B360" s="14"/>
      <c r="C360" s="14"/>
      <c r="D360" s="14"/>
      <c r="E360" s="14"/>
      <c r="F360" s="14"/>
      <c r="G360" s="10" t="s">
        <v>802</v>
      </c>
      <c r="H360" s="8" t="s">
        <v>394</v>
      </c>
    </row>
    <row r="361" spans="1:8" ht="25.5" x14ac:dyDescent="0.35">
      <c r="A361" s="14"/>
      <c r="B361" s="14"/>
      <c r="C361" s="14"/>
      <c r="D361" s="14"/>
      <c r="E361" s="14"/>
      <c r="F361" s="14"/>
      <c r="G361" s="10" t="s">
        <v>173</v>
      </c>
      <c r="H361" s="8" t="s">
        <v>394</v>
      </c>
    </row>
    <row r="362" spans="1:8" ht="25.5" x14ac:dyDescent="0.35">
      <c r="A362" s="14"/>
      <c r="B362" s="14"/>
      <c r="C362" s="14"/>
      <c r="D362" s="14"/>
      <c r="E362" s="14"/>
      <c r="F362" s="14"/>
      <c r="G362" s="10" t="s">
        <v>1111</v>
      </c>
      <c r="H362" s="8" t="s">
        <v>394</v>
      </c>
    </row>
    <row r="363" spans="1:8" ht="25.5" x14ac:dyDescent="0.35">
      <c r="A363" s="14"/>
      <c r="B363" s="14"/>
      <c r="C363" s="14"/>
      <c r="D363" s="14"/>
      <c r="E363" s="14"/>
      <c r="F363" s="14"/>
      <c r="G363" s="10" t="s">
        <v>598</v>
      </c>
      <c r="H363" s="8" t="s">
        <v>394</v>
      </c>
    </row>
    <row r="364" spans="1:8" ht="25.5" x14ac:dyDescent="0.35">
      <c r="A364" s="14"/>
      <c r="B364" s="14"/>
      <c r="C364" s="14"/>
      <c r="D364" s="14"/>
      <c r="E364" s="14"/>
      <c r="F364" s="14"/>
      <c r="G364" s="10" t="s">
        <v>1104</v>
      </c>
      <c r="H364" s="8" t="s">
        <v>394</v>
      </c>
    </row>
    <row r="365" spans="1:8" ht="25.5" x14ac:dyDescent="0.35">
      <c r="A365" s="14"/>
      <c r="B365" s="14"/>
      <c r="C365" s="14"/>
      <c r="D365" s="14"/>
      <c r="E365" s="14"/>
      <c r="F365" s="14"/>
      <c r="G365" s="10" t="s">
        <v>640</v>
      </c>
      <c r="H365" s="8" t="s">
        <v>394</v>
      </c>
    </row>
    <row r="366" spans="1:8" ht="25.5" x14ac:dyDescent="0.35">
      <c r="A366" s="14"/>
      <c r="B366" s="14"/>
      <c r="C366" s="14"/>
      <c r="D366" s="14"/>
      <c r="E366" s="14"/>
      <c r="F366" s="14"/>
      <c r="G366" s="10" t="s">
        <v>1223</v>
      </c>
      <c r="H366" s="8" t="s">
        <v>394</v>
      </c>
    </row>
    <row r="367" spans="1:8" ht="25.5" x14ac:dyDescent="0.35">
      <c r="A367" s="14"/>
      <c r="B367" s="14"/>
      <c r="C367" s="14"/>
      <c r="D367" s="14"/>
      <c r="E367" s="14"/>
      <c r="F367" s="14"/>
      <c r="G367" s="10" t="s">
        <v>1166</v>
      </c>
      <c r="H367" s="8" t="s">
        <v>394</v>
      </c>
    </row>
    <row r="368" spans="1:8" ht="25.5" x14ac:dyDescent="0.35">
      <c r="A368" s="19"/>
      <c r="B368" s="19"/>
      <c r="C368" s="18"/>
      <c r="D368" s="18"/>
      <c r="E368" s="18"/>
      <c r="F368" s="20"/>
      <c r="G368" s="10" t="s">
        <v>794</v>
      </c>
      <c r="H368" s="8" t="s">
        <v>394</v>
      </c>
    </row>
    <row r="369" spans="1:9" ht="25.5" x14ac:dyDescent="0.35">
      <c r="A369" s="19" t="str">
        <f>HYPERLINK("https://jira.itg.ti.com/browse/JACINTOREQ-1093","JACINTOREQ-1093")</f>
        <v>JACINTOREQ-1093</v>
      </c>
      <c r="B369" s="19" t="str">
        <f>HYPERLINK("https://jira.itg.ti.com/browse/PDK-5850","PDK-5850")</f>
        <v>PDK-5850</v>
      </c>
      <c r="C369" s="18" t="s">
        <v>433</v>
      </c>
      <c r="D369" s="18" t="s">
        <v>1447</v>
      </c>
      <c r="E369" s="18" t="s">
        <v>1645</v>
      </c>
      <c r="F369" s="20" t="s">
        <v>1229</v>
      </c>
      <c r="G369" s="9" t="s">
        <v>566</v>
      </c>
      <c r="H369" s="8" t="s">
        <v>394</v>
      </c>
      <c r="I369" s="7" t="s">
        <v>1031</v>
      </c>
    </row>
    <row r="370" spans="1:9" ht="25.5" x14ac:dyDescent="0.35">
      <c r="A370" s="14"/>
      <c r="B370" s="14"/>
      <c r="C370" s="14"/>
      <c r="D370" s="14"/>
      <c r="E370" s="14"/>
      <c r="F370" s="14"/>
      <c r="G370" s="10" t="s">
        <v>163</v>
      </c>
      <c r="H370" s="8" t="s">
        <v>394</v>
      </c>
    </row>
    <row r="371" spans="1:9" ht="25.5" x14ac:dyDescent="0.35">
      <c r="A371" s="14"/>
      <c r="B371" s="14"/>
      <c r="C371" s="14"/>
      <c r="D371" s="14"/>
      <c r="E371" s="14"/>
      <c r="F371" s="14"/>
      <c r="G371" s="10" t="s">
        <v>1427</v>
      </c>
      <c r="H371" s="8" t="s">
        <v>394</v>
      </c>
    </row>
    <row r="372" spans="1:9" ht="25.5" x14ac:dyDescent="0.35">
      <c r="A372" s="14"/>
      <c r="B372" s="14"/>
      <c r="C372" s="14"/>
      <c r="D372" s="14"/>
      <c r="E372" s="14"/>
      <c r="F372" s="14"/>
      <c r="G372" s="10" t="s">
        <v>558</v>
      </c>
      <c r="H372" s="8" t="s">
        <v>394</v>
      </c>
    </row>
    <row r="373" spans="1:9" ht="25.5" x14ac:dyDescent="0.35">
      <c r="A373" s="14"/>
      <c r="B373" s="14"/>
      <c r="C373" s="14"/>
      <c r="D373" s="14"/>
      <c r="E373" s="14"/>
      <c r="F373" s="14"/>
      <c r="G373" s="10" t="s">
        <v>287</v>
      </c>
      <c r="H373" s="8" t="s">
        <v>394</v>
      </c>
    </row>
    <row r="374" spans="1:9" ht="25.5" x14ac:dyDescent="0.35">
      <c r="A374" s="14"/>
      <c r="B374" s="14"/>
      <c r="C374" s="14"/>
      <c r="D374" s="14"/>
      <c r="E374" s="14"/>
      <c r="F374" s="14"/>
      <c r="G374" s="10" t="s">
        <v>1230</v>
      </c>
      <c r="H374" s="8" t="s">
        <v>394</v>
      </c>
    </row>
    <row r="375" spans="1:9" ht="25.5" x14ac:dyDescent="0.35">
      <c r="A375" s="14"/>
      <c r="B375" s="14"/>
      <c r="C375" s="14"/>
      <c r="D375" s="14"/>
      <c r="E375" s="14"/>
      <c r="F375" s="14"/>
      <c r="G375" s="10" t="s">
        <v>1085</v>
      </c>
      <c r="H375" s="8" t="s">
        <v>394</v>
      </c>
    </row>
    <row r="376" spans="1:9" ht="25.5" x14ac:dyDescent="0.35">
      <c r="A376" s="14"/>
      <c r="B376" s="14"/>
      <c r="C376" s="14"/>
      <c r="D376" s="14"/>
      <c r="E376" s="14"/>
      <c r="F376" s="14"/>
      <c r="G376" s="10" t="s">
        <v>1185</v>
      </c>
      <c r="H376" s="8" t="s">
        <v>394</v>
      </c>
    </row>
    <row r="377" spans="1:9" ht="25.5" x14ac:dyDescent="0.35">
      <c r="A377" s="14"/>
      <c r="B377" s="14"/>
      <c r="C377" s="14"/>
      <c r="D377" s="14"/>
      <c r="E377" s="14"/>
      <c r="F377" s="14"/>
      <c r="G377" s="10" t="s">
        <v>1288</v>
      </c>
      <c r="H377" s="8" t="s">
        <v>394</v>
      </c>
    </row>
    <row r="378" spans="1:9" ht="25.5" x14ac:dyDescent="0.35">
      <c r="A378" s="14"/>
      <c r="B378" s="14"/>
      <c r="C378" s="14"/>
      <c r="D378" s="14"/>
      <c r="E378" s="14"/>
      <c r="F378" s="14"/>
      <c r="G378" s="10" t="s">
        <v>713</v>
      </c>
      <c r="H378" s="8" t="s">
        <v>394</v>
      </c>
    </row>
    <row r="379" spans="1:9" ht="25.5" x14ac:dyDescent="0.35">
      <c r="A379" s="14"/>
      <c r="B379" s="14"/>
      <c r="C379" s="14"/>
      <c r="D379" s="14"/>
      <c r="E379" s="14"/>
      <c r="F379" s="14"/>
      <c r="G379" s="10" t="s">
        <v>1441</v>
      </c>
      <c r="H379" s="8" t="s">
        <v>394</v>
      </c>
    </row>
    <row r="380" spans="1:9" ht="25.5" x14ac:dyDescent="0.35">
      <c r="A380" s="14"/>
      <c r="B380" s="14"/>
      <c r="C380" s="14"/>
      <c r="D380" s="14"/>
      <c r="E380" s="14"/>
      <c r="F380" s="14"/>
      <c r="G380" s="10" t="s">
        <v>227</v>
      </c>
      <c r="H380" s="8" t="s">
        <v>394</v>
      </c>
    </row>
    <row r="381" spans="1:9" ht="25.5" x14ac:dyDescent="0.35">
      <c r="A381" s="14"/>
      <c r="B381" s="14"/>
      <c r="C381" s="14"/>
      <c r="D381" s="14"/>
      <c r="E381" s="14"/>
      <c r="F381" s="14"/>
      <c r="G381" s="10" t="s">
        <v>174</v>
      </c>
      <c r="H381" s="8" t="s">
        <v>394</v>
      </c>
    </row>
    <row r="382" spans="1:9" ht="25.5" x14ac:dyDescent="0.35">
      <c r="A382" s="14"/>
      <c r="B382" s="14"/>
      <c r="C382" s="14"/>
      <c r="D382" s="14"/>
      <c r="E382" s="14"/>
      <c r="F382" s="14"/>
      <c r="G382" s="10" t="s">
        <v>1105</v>
      </c>
      <c r="H382" s="8" t="s">
        <v>394</v>
      </c>
    </row>
    <row r="383" spans="1:9" ht="25.5" x14ac:dyDescent="0.35">
      <c r="A383" s="14"/>
      <c r="B383" s="14"/>
      <c r="C383" s="14"/>
      <c r="D383" s="14"/>
      <c r="E383" s="14"/>
      <c r="F383" s="14"/>
      <c r="G383" s="10" t="s">
        <v>59</v>
      </c>
      <c r="H383" s="8" t="s">
        <v>394</v>
      </c>
    </row>
    <row r="384" spans="1:9" ht="25.5" x14ac:dyDescent="0.35">
      <c r="A384" s="14"/>
      <c r="B384" s="14"/>
      <c r="C384" s="14"/>
      <c r="D384" s="14"/>
      <c r="E384" s="14"/>
      <c r="F384" s="14"/>
      <c r="G384" s="10" t="s">
        <v>915</v>
      </c>
      <c r="H384" s="8" t="s">
        <v>394</v>
      </c>
    </row>
    <row r="385" spans="1:9" ht="25.5" x14ac:dyDescent="0.35">
      <c r="A385" s="14"/>
      <c r="B385" s="14"/>
      <c r="C385" s="14"/>
      <c r="D385" s="14"/>
      <c r="E385" s="14"/>
      <c r="F385" s="14"/>
      <c r="G385" s="10" t="s">
        <v>1320</v>
      </c>
      <c r="H385" s="8" t="s">
        <v>394</v>
      </c>
    </row>
    <row r="386" spans="1:9" ht="25.5" x14ac:dyDescent="0.35">
      <c r="A386" s="14"/>
      <c r="B386" s="14"/>
      <c r="C386" s="14"/>
      <c r="D386" s="14"/>
      <c r="E386" s="14"/>
      <c r="F386" s="14"/>
      <c r="G386" s="10" t="s">
        <v>1291</v>
      </c>
      <c r="H386" s="8" t="s">
        <v>394</v>
      </c>
    </row>
    <row r="387" spans="1:9" ht="25.5" x14ac:dyDescent="0.35">
      <c r="A387" s="14"/>
      <c r="B387" s="14"/>
      <c r="C387" s="14"/>
      <c r="D387" s="14"/>
      <c r="E387" s="14"/>
      <c r="F387" s="14"/>
      <c r="G387" s="10" t="s">
        <v>99</v>
      </c>
      <c r="H387" s="8" t="s">
        <v>394</v>
      </c>
    </row>
    <row r="388" spans="1:9" ht="25.5" x14ac:dyDescent="0.35">
      <c r="A388" s="14"/>
      <c r="B388" s="14"/>
      <c r="C388" s="14"/>
      <c r="D388" s="14"/>
      <c r="E388" s="14"/>
      <c r="F388" s="14"/>
      <c r="G388" s="10" t="s">
        <v>1290</v>
      </c>
      <c r="H388" s="8" t="s">
        <v>394</v>
      </c>
    </row>
    <row r="389" spans="1:9" ht="25.5" x14ac:dyDescent="0.35">
      <c r="A389" s="14"/>
      <c r="B389" s="14"/>
      <c r="C389" s="14"/>
      <c r="D389" s="14"/>
      <c r="E389" s="14"/>
      <c r="F389" s="14"/>
      <c r="G389" s="10" t="s">
        <v>1181</v>
      </c>
      <c r="H389" s="8" t="s">
        <v>394</v>
      </c>
    </row>
    <row r="390" spans="1:9" ht="25.5" x14ac:dyDescent="0.35">
      <c r="A390" s="14"/>
      <c r="B390" s="14"/>
      <c r="C390" s="14"/>
      <c r="D390" s="14"/>
      <c r="E390" s="14"/>
      <c r="F390" s="14"/>
      <c r="G390" s="10" t="s">
        <v>657</v>
      </c>
      <c r="H390" s="8" t="s">
        <v>394</v>
      </c>
    </row>
    <row r="391" spans="1:9" ht="25.5" x14ac:dyDescent="0.35">
      <c r="A391" s="14"/>
      <c r="B391" s="14"/>
      <c r="C391" s="14"/>
      <c r="D391" s="14"/>
      <c r="E391" s="14"/>
      <c r="F391" s="14"/>
      <c r="G391" s="10" t="s">
        <v>233</v>
      </c>
      <c r="H391" s="8" t="s">
        <v>394</v>
      </c>
    </row>
    <row r="392" spans="1:9" ht="25.5" x14ac:dyDescent="0.35">
      <c r="A392" s="14"/>
      <c r="B392" s="14"/>
      <c r="C392" s="14"/>
      <c r="D392" s="14"/>
      <c r="E392" s="14"/>
      <c r="F392" s="14"/>
      <c r="G392" s="10" t="s">
        <v>830</v>
      </c>
      <c r="H392" s="8" t="s">
        <v>394</v>
      </c>
    </row>
    <row r="393" spans="1:9" ht="25.5" x14ac:dyDescent="0.35">
      <c r="A393" s="14"/>
      <c r="B393" s="14"/>
      <c r="C393" s="14"/>
      <c r="D393" s="14"/>
      <c r="E393" s="14"/>
      <c r="F393" s="14"/>
      <c r="G393" s="10" t="s">
        <v>956</v>
      </c>
      <c r="H393" s="8" t="s">
        <v>394</v>
      </c>
    </row>
    <row r="394" spans="1:9" ht="25.5" x14ac:dyDescent="0.35">
      <c r="A394" s="14"/>
      <c r="B394" s="14"/>
      <c r="C394" s="14"/>
      <c r="D394" s="14"/>
      <c r="E394" s="14"/>
      <c r="F394" s="14"/>
      <c r="G394" s="10" t="s">
        <v>634</v>
      </c>
      <c r="H394" s="8" t="s">
        <v>394</v>
      </c>
    </row>
    <row r="395" spans="1:9" ht="25.5" x14ac:dyDescent="0.35">
      <c r="A395" s="14"/>
      <c r="B395" s="14"/>
      <c r="C395" s="14"/>
      <c r="D395" s="14"/>
      <c r="E395" s="14"/>
      <c r="F395" s="14"/>
      <c r="G395" s="10" t="s">
        <v>933</v>
      </c>
      <c r="H395" s="8" t="s">
        <v>394</v>
      </c>
    </row>
    <row r="396" spans="1:9" ht="25.5" x14ac:dyDescent="0.35">
      <c r="A396" s="14"/>
      <c r="B396" s="14"/>
      <c r="C396" s="14"/>
      <c r="D396" s="14"/>
      <c r="E396" s="14"/>
      <c r="F396" s="14"/>
      <c r="G396" s="10" t="s">
        <v>641</v>
      </c>
      <c r="H396" s="8" t="s">
        <v>394</v>
      </c>
    </row>
    <row r="397" spans="1:9" ht="25.5" x14ac:dyDescent="0.35">
      <c r="A397" s="14"/>
      <c r="B397" s="14"/>
      <c r="C397" s="14"/>
      <c r="D397" s="14"/>
      <c r="E397" s="14"/>
      <c r="F397" s="14"/>
      <c r="G397" s="10" t="s">
        <v>982</v>
      </c>
      <c r="H397" s="8" t="s">
        <v>394</v>
      </c>
    </row>
    <row r="398" spans="1:9" ht="25.5" x14ac:dyDescent="0.35">
      <c r="A398" s="14"/>
      <c r="B398" s="14"/>
      <c r="C398" s="14"/>
      <c r="D398" s="14"/>
      <c r="E398" s="14"/>
      <c r="F398" s="14"/>
      <c r="G398" s="10" t="s">
        <v>400</v>
      </c>
      <c r="H398" s="8" t="s">
        <v>394</v>
      </c>
    </row>
    <row r="399" spans="1:9" ht="25.5" x14ac:dyDescent="0.35">
      <c r="A399" s="19"/>
      <c r="B399" s="19"/>
      <c r="C399" s="18"/>
      <c r="D399" s="18"/>
      <c r="E399" s="18"/>
      <c r="F399" s="20"/>
      <c r="G399" s="10" t="s">
        <v>27</v>
      </c>
      <c r="H399" s="8" t="s">
        <v>394</v>
      </c>
    </row>
    <row r="400" spans="1:9" ht="25.5" x14ac:dyDescent="0.35">
      <c r="A400" s="19" t="str">
        <f>HYPERLINK("https://jira.itg.ti.com/browse/JACINTOREQ-1094","JACINTOREQ-1094")</f>
        <v>JACINTOREQ-1094</v>
      </c>
      <c r="B400" s="19" t="str">
        <f>HYPERLINK("https://jira.itg.ti.com/browse/PDK-5837","PDK-5837")</f>
        <v>PDK-5837</v>
      </c>
      <c r="C400" s="18" t="s">
        <v>599</v>
      </c>
      <c r="D400" s="18" t="s">
        <v>1447</v>
      </c>
      <c r="E400" s="18" t="s">
        <v>1645</v>
      </c>
      <c r="F400" s="20" t="s">
        <v>1229</v>
      </c>
      <c r="G400" s="9" t="s">
        <v>1482</v>
      </c>
      <c r="H400" s="8" t="s">
        <v>394</v>
      </c>
      <c r="I400" s="7" t="s">
        <v>1031</v>
      </c>
    </row>
    <row r="401" spans="1:9" ht="25.5" x14ac:dyDescent="0.35">
      <c r="A401" s="14"/>
      <c r="B401" s="14"/>
      <c r="C401" s="14"/>
      <c r="D401" s="14"/>
      <c r="E401" s="14"/>
      <c r="F401" s="14"/>
      <c r="G401" s="10" t="s">
        <v>1165</v>
      </c>
      <c r="H401" s="8" t="s">
        <v>394</v>
      </c>
    </row>
    <row r="402" spans="1:9" ht="25.5" x14ac:dyDescent="0.35">
      <c r="A402" s="14"/>
      <c r="B402" s="14"/>
      <c r="C402" s="14"/>
      <c r="D402" s="14"/>
      <c r="E402" s="14"/>
      <c r="F402" s="14"/>
      <c r="G402" s="10" t="s">
        <v>690</v>
      </c>
      <c r="H402" s="8" t="s">
        <v>394</v>
      </c>
    </row>
    <row r="403" spans="1:9" ht="25.5" x14ac:dyDescent="0.35">
      <c r="A403" s="14"/>
      <c r="B403" s="14"/>
      <c r="C403" s="14"/>
      <c r="D403" s="14"/>
      <c r="E403" s="14"/>
      <c r="F403" s="14"/>
      <c r="G403" s="10" t="s">
        <v>56</v>
      </c>
      <c r="H403" s="8" t="s">
        <v>394</v>
      </c>
    </row>
    <row r="404" spans="1:9" ht="25.5" x14ac:dyDescent="0.35">
      <c r="A404" s="14"/>
      <c r="B404" s="14"/>
      <c r="C404" s="14"/>
      <c r="D404" s="14"/>
      <c r="E404" s="14"/>
      <c r="F404" s="14"/>
      <c r="G404" s="10" t="s">
        <v>1525</v>
      </c>
      <c r="H404" s="8" t="s">
        <v>394</v>
      </c>
    </row>
    <row r="405" spans="1:9" ht="25.5" x14ac:dyDescent="0.35">
      <c r="A405" s="14"/>
      <c r="B405" s="14"/>
      <c r="C405" s="14"/>
      <c r="D405" s="14"/>
      <c r="E405" s="14"/>
      <c r="F405" s="14"/>
      <c r="G405" s="10" t="s">
        <v>738</v>
      </c>
      <c r="H405" s="8" t="s">
        <v>394</v>
      </c>
    </row>
    <row r="406" spans="1:9" ht="25.5" x14ac:dyDescent="0.35">
      <c r="A406" s="14"/>
      <c r="B406" s="14"/>
      <c r="C406" s="14"/>
      <c r="D406" s="14"/>
      <c r="E406" s="14"/>
      <c r="F406" s="14"/>
      <c r="G406" s="10" t="s">
        <v>148</v>
      </c>
      <c r="H406" s="8" t="s">
        <v>394</v>
      </c>
    </row>
    <row r="407" spans="1:9" ht="25.5" x14ac:dyDescent="0.35">
      <c r="A407" s="14"/>
      <c r="B407" s="14"/>
      <c r="C407" s="14"/>
      <c r="D407" s="14"/>
      <c r="E407" s="14"/>
      <c r="F407" s="14"/>
      <c r="G407" s="10" t="s">
        <v>775</v>
      </c>
      <c r="H407" s="8" t="s">
        <v>394</v>
      </c>
    </row>
    <row r="408" spans="1:9" ht="25.5" x14ac:dyDescent="0.35">
      <c r="A408" s="14"/>
      <c r="B408" s="14"/>
      <c r="C408" s="14"/>
      <c r="D408" s="14"/>
      <c r="E408" s="14"/>
      <c r="F408" s="14"/>
      <c r="G408" s="10" t="s">
        <v>209</v>
      </c>
      <c r="H408" s="8" t="s">
        <v>394</v>
      </c>
    </row>
    <row r="409" spans="1:9" ht="25.5" x14ac:dyDescent="0.35">
      <c r="A409" s="14"/>
      <c r="B409" s="14"/>
      <c r="C409" s="14"/>
      <c r="D409" s="14"/>
      <c r="E409" s="14"/>
      <c r="F409" s="14"/>
      <c r="G409" s="10" t="s">
        <v>1265</v>
      </c>
      <c r="H409" s="8" t="s">
        <v>394</v>
      </c>
    </row>
    <row r="410" spans="1:9" ht="25.5" x14ac:dyDescent="0.35">
      <c r="A410" s="14"/>
      <c r="B410" s="14"/>
      <c r="C410" s="14"/>
      <c r="D410" s="14"/>
      <c r="E410" s="14"/>
      <c r="F410" s="14"/>
      <c r="G410" s="10" t="s">
        <v>1584</v>
      </c>
      <c r="H410" s="8" t="s">
        <v>394</v>
      </c>
    </row>
    <row r="411" spans="1:9" ht="25.5" x14ac:dyDescent="0.35">
      <c r="A411" s="14"/>
      <c r="B411" s="14"/>
      <c r="C411" s="14"/>
      <c r="D411" s="14"/>
      <c r="E411" s="14"/>
      <c r="F411" s="14"/>
      <c r="G411" s="10" t="s">
        <v>442</v>
      </c>
      <c r="H411" s="8" t="s">
        <v>394</v>
      </c>
    </row>
    <row r="412" spans="1:9" ht="25.5" x14ac:dyDescent="0.35">
      <c r="A412" s="14"/>
      <c r="B412" s="14"/>
      <c r="C412" s="14"/>
      <c r="D412" s="14"/>
      <c r="E412" s="14"/>
      <c r="F412" s="14"/>
      <c r="G412" s="10" t="s">
        <v>504</v>
      </c>
      <c r="H412" s="8" t="s">
        <v>394</v>
      </c>
    </row>
    <row r="413" spans="1:9" ht="25.5" x14ac:dyDescent="0.35">
      <c r="A413" s="14"/>
      <c r="B413" s="14"/>
      <c r="C413" s="14"/>
      <c r="D413" s="14"/>
      <c r="E413" s="14"/>
      <c r="F413" s="14"/>
      <c r="G413" s="10" t="s">
        <v>667</v>
      </c>
      <c r="H413" s="8" t="s">
        <v>394</v>
      </c>
    </row>
    <row r="414" spans="1:9" ht="25.5" x14ac:dyDescent="0.35">
      <c r="A414" s="14"/>
      <c r="B414" s="14"/>
      <c r="C414" s="14"/>
      <c r="D414" s="14"/>
      <c r="E414" s="14"/>
      <c r="F414" s="14"/>
      <c r="G414" s="10" t="s">
        <v>188</v>
      </c>
      <c r="H414" s="8" t="s">
        <v>394</v>
      </c>
    </row>
    <row r="415" spans="1:9" ht="25.5" x14ac:dyDescent="0.35">
      <c r="A415" s="19"/>
      <c r="B415" s="19"/>
      <c r="C415" s="18"/>
      <c r="D415" s="18"/>
      <c r="E415" s="18"/>
      <c r="F415" s="20"/>
      <c r="G415" s="10" t="s">
        <v>6</v>
      </c>
      <c r="H415" s="8" t="s">
        <v>394</v>
      </c>
    </row>
    <row r="416" spans="1:9" ht="25.5" x14ac:dyDescent="0.35">
      <c r="A416" s="19" t="str">
        <f>HYPERLINK("https://jira.itg.ti.com/browse/JACINTOREQ-1094","JACINTOREQ-1094")</f>
        <v>JACINTOREQ-1094</v>
      </c>
      <c r="B416" s="19" t="str">
        <f>HYPERLINK("https://jira.itg.ti.com/browse/PDK-5844","PDK-5844")</f>
        <v>PDK-5844</v>
      </c>
      <c r="C416" s="18" t="s">
        <v>1407</v>
      </c>
      <c r="D416" s="18" t="s">
        <v>1447</v>
      </c>
      <c r="E416" s="18" t="s">
        <v>1645</v>
      </c>
      <c r="F416" s="22" t="s">
        <v>552</v>
      </c>
      <c r="G416" s="9" t="s">
        <v>1217</v>
      </c>
      <c r="H416" s="12" t="s">
        <v>1241</v>
      </c>
      <c r="I416" s="7" t="s">
        <v>1031</v>
      </c>
    </row>
    <row r="417" spans="1:9" ht="25.5" x14ac:dyDescent="0.35">
      <c r="A417" s="19" t="str">
        <f>HYPERLINK("https://jira.itg.ti.com/browse/JACINTOREQ-1094","JACINTOREQ-1094")</f>
        <v>JACINTOREQ-1094</v>
      </c>
      <c r="B417" s="19" t="str">
        <f>HYPERLINK("https://jira.itg.ti.com/browse/PDK-5851","PDK-5851")</f>
        <v>PDK-5851</v>
      </c>
      <c r="C417" s="18" t="s">
        <v>1527</v>
      </c>
      <c r="D417" s="18" t="s">
        <v>1447</v>
      </c>
      <c r="E417" s="18" t="s">
        <v>1645</v>
      </c>
      <c r="F417" s="20" t="s">
        <v>1229</v>
      </c>
      <c r="G417" s="9" t="s">
        <v>774</v>
      </c>
      <c r="H417" s="8" t="s">
        <v>394</v>
      </c>
      <c r="I417" s="7" t="s">
        <v>1031</v>
      </c>
    </row>
    <row r="418" spans="1:9" ht="25.5" x14ac:dyDescent="0.35">
      <c r="A418" s="19" t="str">
        <f>HYPERLINK("https://jira.itg.ti.com/browse/JACINTOREQ-1098","JACINTOREQ-1098")</f>
        <v>JACINTOREQ-1098</v>
      </c>
      <c r="B418" s="19" t="str">
        <f>HYPERLINK("https://jira.itg.ti.com/browse/PDK-5829","PDK-5829")</f>
        <v>PDK-5829</v>
      </c>
      <c r="C418" s="18" t="s">
        <v>1612</v>
      </c>
      <c r="D418" s="18" t="s">
        <v>1447</v>
      </c>
      <c r="E418" s="18" t="s">
        <v>1645</v>
      </c>
      <c r="F418" s="20" t="s">
        <v>1229</v>
      </c>
      <c r="G418" s="9" t="s">
        <v>49</v>
      </c>
      <c r="H418" s="8" t="s">
        <v>394</v>
      </c>
      <c r="I418" s="7" t="s">
        <v>1031</v>
      </c>
    </row>
    <row r="419" spans="1:9" ht="25.5" x14ac:dyDescent="0.35">
      <c r="A419" s="14"/>
      <c r="B419" s="14"/>
      <c r="C419" s="14"/>
      <c r="D419" s="14"/>
      <c r="E419" s="14"/>
      <c r="F419" s="14"/>
      <c r="G419" s="10" t="s">
        <v>1610</v>
      </c>
      <c r="H419" s="8" t="s">
        <v>394</v>
      </c>
    </row>
    <row r="420" spans="1:9" ht="25.5" x14ac:dyDescent="0.35">
      <c r="A420" s="14"/>
      <c r="B420" s="14"/>
      <c r="C420" s="14"/>
      <c r="D420" s="14"/>
      <c r="E420" s="14"/>
      <c r="F420" s="14"/>
      <c r="G420" s="10" t="s">
        <v>465</v>
      </c>
      <c r="H420" s="8" t="s">
        <v>394</v>
      </c>
    </row>
    <row r="421" spans="1:9" ht="25.5" x14ac:dyDescent="0.35">
      <c r="A421" s="14"/>
      <c r="B421" s="14"/>
      <c r="C421" s="14"/>
      <c r="D421" s="14"/>
      <c r="E421" s="14"/>
      <c r="F421" s="14"/>
      <c r="G421" s="10" t="s">
        <v>1434</v>
      </c>
      <c r="H421" s="8" t="s">
        <v>394</v>
      </c>
    </row>
    <row r="422" spans="1:9" ht="25.5" x14ac:dyDescent="0.35">
      <c r="A422" s="14"/>
      <c r="B422" s="14"/>
      <c r="C422" s="14"/>
      <c r="D422" s="14"/>
      <c r="E422" s="14"/>
      <c r="F422" s="14"/>
      <c r="G422" s="10" t="s">
        <v>813</v>
      </c>
      <c r="H422" s="8" t="s">
        <v>394</v>
      </c>
    </row>
    <row r="423" spans="1:9" ht="25.5" x14ac:dyDescent="0.35">
      <c r="A423" s="14"/>
      <c r="B423" s="14"/>
      <c r="C423" s="14"/>
      <c r="D423" s="14"/>
      <c r="E423" s="14"/>
      <c r="F423" s="14"/>
      <c r="G423" s="10" t="s">
        <v>1443</v>
      </c>
      <c r="H423" s="8" t="s">
        <v>394</v>
      </c>
    </row>
    <row r="424" spans="1:9" ht="25.5" x14ac:dyDescent="0.35">
      <c r="A424" s="14"/>
      <c r="B424" s="14"/>
      <c r="C424" s="14"/>
      <c r="D424" s="14"/>
      <c r="E424" s="14"/>
      <c r="F424" s="14"/>
      <c r="G424" s="10" t="s">
        <v>615</v>
      </c>
      <c r="H424" s="8" t="s">
        <v>394</v>
      </c>
    </row>
    <row r="425" spans="1:9" ht="25.5" x14ac:dyDescent="0.35">
      <c r="A425" s="14"/>
      <c r="B425" s="14"/>
      <c r="C425" s="14"/>
      <c r="D425" s="14"/>
      <c r="E425" s="14"/>
      <c r="F425" s="14"/>
      <c r="G425" s="10" t="s">
        <v>957</v>
      </c>
      <c r="H425" s="8" t="s">
        <v>394</v>
      </c>
    </row>
    <row r="426" spans="1:9" ht="25.5" x14ac:dyDescent="0.35">
      <c r="A426" s="19"/>
      <c r="B426" s="19"/>
      <c r="C426" s="18"/>
      <c r="D426" s="18"/>
      <c r="E426" s="18"/>
      <c r="F426" s="20"/>
      <c r="G426" s="10" t="s">
        <v>1468</v>
      </c>
      <c r="H426" s="8" t="s">
        <v>394</v>
      </c>
    </row>
    <row r="427" spans="1:9" ht="25.5" x14ac:dyDescent="0.35">
      <c r="A427" s="19" t="str">
        <f>HYPERLINK("https://jira.itg.ti.com/browse/JACINTOREQ-1098","JACINTOREQ-1098")</f>
        <v>JACINTOREQ-1098</v>
      </c>
      <c r="B427" s="19" t="str">
        <f>HYPERLINK("https://jira.itg.ti.com/browse/PDK-5840","PDK-5840")</f>
        <v>PDK-5840</v>
      </c>
      <c r="C427" s="18" t="s">
        <v>750</v>
      </c>
      <c r="D427" s="18" t="s">
        <v>1447</v>
      </c>
      <c r="E427" s="18" t="s">
        <v>1645</v>
      </c>
      <c r="F427" s="20" t="s">
        <v>1229</v>
      </c>
      <c r="G427" s="9" t="s">
        <v>1555</v>
      </c>
      <c r="H427" s="8" t="s">
        <v>394</v>
      </c>
      <c r="I427" s="7" t="s">
        <v>1031</v>
      </c>
    </row>
    <row r="428" spans="1:9" ht="25.5" x14ac:dyDescent="0.35">
      <c r="A428" s="14"/>
      <c r="B428" s="14"/>
      <c r="C428" s="14"/>
      <c r="D428" s="14"/>
      <c r="E428" s="14"/>
      <c r="F428" s="14"/>
      <c r="G428" s="10" t="s">
        <v>896</v>
      </c>
      <c r="H428" s="8" t="s">
        <v>394</v>
      </c>
    </row>
    <row r="429" spans="1:9" ht="25.5" x14ac:dyDescent="0.35">
      <c r="A429" s="14"/>
      <c r="B429" s="14"/>
      <c r="C429" s="14"/>
      <c r="D429" s="14"/>
      <c r="E429" s="14"/>
      <c r="F429" s="14"/>
      <c r="G429" s="10" t="s">
        <v>756</v>
      </c>
      <c r="H429" s="8" t="s">
        <v>394</v>
      </c>
    </row>
    <row r="430" spans="1:9" ht="25.5" x14ac:dyDescent="0.35">
      <c r="A430" s="14"/>
      <c r="B430" s="14"/>
      <c r="C430" s="14"/>
      <c r="D430" s="14"/>
      <c r="E430" s="14"/>
      <c r="F430" s="14"/>
      <c r="G430" s="10" t="s">
        <v>1662</v>
      </c>
      <c r="H430" s="8" t="s">
        <v>394</v>
      </c>
    </row>
    <row r="431" spans="1:9" ht="25.5" x14ac:dyDescent="0.35">
      <c r="A431" s="14"/>
      <c r="B431" s="14"/>
      <c r="C431" s="14"/>
      <c r="D431" s="14"/>
      <c r="E431" s="14"/>
      <c r="F431" s="14"/>
      <c r="G431" s="10" t="s">
        <v>321</v>
      </c>
      <c r="H431" s="8" t="s">
        <v>394</v>
      </c>
    </row>
    <row r="432" spans="1:9" ht="25.5" x14ac:dyDescent="0.35">
      <c r="A432" s="14"/>
      <c r="B432" s="14"/>
      <c r="C432" s="14"/>
      <c r="D432" s="14"/>
      <c r="E432" s="14"/>
      <c r="F432" s="14"/>
      <c r="G432" s="10" t="s">
        <v>1139</v>
      </c>
      <c r="H432" s="8" t="s">
        <v>394</v>
      </c>
    </row>
    <row r="433" spans="1:9" ht="25.5" x14ac:dyDescent="0.35">
      <c r="A433" s="14"/>
      <c r="B433" s="14"/>
      <c r="C433" s="14"/>
      <c r="D433" s="14"/>
      <c r="E433" s="14"/>
      <c r="F433" s="14"/>
      <c r="G433" s="10" t="s">
        <v>109</v>
      </c>
      <c r="H433" s="8" t="s">
        <v>394</v>
      </c>
    </row>
    <row r="434" spans="1:9" ht="25.5" x14ac:dyDescent="0.35">
      <c r="A434" s="14"/>
      <c r="B434" s="14"/>
      <c r="C434" s="14"/>
      <c r="D434" s="14"/>
      <c r="E434" s="14"/>
      <c r="F434" s="14"/>
      <c r="G434" s="10" t="s">
        <v>1456</v>
      </c>
      <c r="H434" s="8" t="s">
        <v>394</v>
      </c>
    </row>
    <row r="435" spans="1:9" ht="25.5" x14ac:dyDescent="0.35">
      <c r="A435" s="19"/>
      <c r="B435" s="19"/>
      <c r="C435" s="18"/>
      <c r="D435" s="18"/>
      <c r="E435" s="18"/>
      <c r="F435" s="20"/>
      <c r="G435" s="10" t="s">
        <v>208</v>
      </c>
      <c r="H435" s="8" t="s">
        <v>394</v>
      </c>
    </row>
    <row r="436" spans="1:9" ht="25.5" x14ac:dyDescent="0.35">
      <c r="A436" s="19" t="str">
        <f>HYPERLINK("https://jira.itg.ti.com/browse/JACINTOREQ-1098","JACINTOREQ-1098")</f>
        <v>JACINTOREQ-1098</v>
      </c>
      <c r="B436" s="19" t="str">
        <f>HYPERLINK("https://jira.itg.ti.com/browse/PDK-5847","PDK-5847")</f>
        <v>PDK-5847</v>
      </c>
      <c r="C436" s="18" t="s">
        <v>1295</v>
      </c>
      <c r="D436" s="18" t="s">
        <v>1447</v>
      </c>
      <c r="E436" s="18" t="s">
        <v>1645</v>
      </c>
      <c r="F436" s="20" t="s">
        <v>1229</v>
      </c>
      <c r="G436" s="9" t="s">
        <v>906</v>
      </c>
      <c r="H436" s="8" t="s">
        <v>394</v>
      </c>
      <c r="I436" s="7" t="s">
        <v>1031</v>
      </c>
    </row>
    <row r="437" spans="1:9" ht="25.5" x14ac:dyDescent="0.35">
      <c r="A437" s="14"/>
      <c r="B437" s="14"/>
      <c r="C437" s="14"/>
      <c r="D437" s="14"/>
      <c r="E437" s="14"/>
      <c r="F437" s="14"/>
      <c r="G437" s="10" t="s">
        <v>1519</v>
      </c>
      <c r="H437" s="8" t="s">
        <v>394</v>
      </c>
    </row>
    <row r="438" spans="1:9" ht="25.5" x14ac:dyDescent="0.35">
      <c r="A438" s="14"/>
      <c r="B438" s="14"/>
      <c r="C438" s="14"/>
      <c r="D438" s="14"/>
      <c r="E438" s="14"/>
      <c r="F438" s="14"/>
      <c r="G438" s="10" t="s">
        <v>749</v>
      </c>
      <c r="H438" s="8" t="s">
        <v>394</v>
      </c>
    </row>
    <row r="439" spans="1:9" ht="25.5" x14ac:dyDescent="0.35">
      <c r="A439" s="14"/>
      <c r="B439" s="14"/>
      <c r="C439" s="14"/>
      <c r="D439" s="14"/>
      <c r="E439" s="14"/>
      <c r="F439" s="14"/>
      <c r="G439" s="10" t="s">
        <v>1337</v>
      </c>
      <c r="H439" s="8" t="s">
        <v>394</v>
      </c>
    </row>
    <row r="440" spans="1:9" ht="25.5" x14ac:dyDescent="0.35">
      <c r="A440" s="14"/>
      <c r="B440" s="14"/>
      <c r="C440" s="14"/>
      <c r="D440" s="14"/>
      <c r="E440" s="14"/>
      <c r="F440" s="14"/>
      <c r="G440" s="10" t="s">
        <v>613</v>
      </c>
      <c r="H440" s="8" t="s">
        <v>394</v>
      </c>
    </row>
    <row r="441" spans="1:9" ht="25.5" x14ac:dyDescent="0.35">
      <c r="A441" s="14"/>
      <c r="B441" s="14"/>
      <c r="C441" s="14"/>
      <c r="D441" s="14"/>
      <c r="E441" s="14"/>
      <c r="F441" s="14"/>
      <c r="G441" s="10" t="s">
        <v>793</v>
      </c>
      <c r="H441" s="8" t="s">
        <v>394</v>
      </c>
    </row>
    <row r="442" spans="1:9" ht="25.5" x14ac:dyDescent="0.35">
      <c r="A442" s="14"/>
      <c r="B442" s="14"/>
      <c r="C442" s="14"/>
      <c r="D442" s="14"/>
      <c r="E442" s="14"/>
      <c r="F442" s="14"/>
      <c r="G442" s="10" t="s">
        <v>36</v>
      </c>
      <c r="H442" s="8" t="s">
        <v>394</v>
      </c>
    </row>
    <row r="443" spans="1:9" ht="25.5" x14ac:dyDescent="0.35">
      <c r="A443" s="14"/>
      <c r="B443" s="14"/>
      <c r="C443" s="14"/>
      <c r="D443" s="14"/>
      <c r="E443" s="14"/>
      <c r="F443" s="14"/>
      <c r="G443" s="10" t="s">
        <v>1473</v>
      </c>
      <c r="H443" s="8" t="s">
        <v>394</v>
      </c>
    </row>
    <row r="444" spans="1:9" ht="25.5" x14ac:dyDescent="0.35">
      <c r="A444" s="14"/>
      <c r="B444" s="14"/>
      <c r="C444" s="14"/>
      <c r="D444" s="14"/>
      <c r="E444" s="14"/>
      <c r="F444" s="14"/>
      <c r="G444" s="10" t="s">
        <v>1484</v>
      </c>
      <c r="H444" s="8" t="s">
        <v>394</v>
      </c>
    </row>
    <row r="445" spans="1:9" ht="25.5" x14ac:dyDescent="0.35">
      <c r="A445" s="14"/>
      <c r="B445" s="14"/>
      <c r="C445" s="14"/>
      <c r="D445" s="14"/>
      <c r="E445" s="14"/>
      <c r="F445" s="14"/>
      <c r="G445" s="10" t="s">
        <v>822</v>
      </c>
      <c r="H445" s="8" t="s">
        <v>394</v>
      </c>
    </row>
    <row r="446" spans="1:9" ht="25.5" x14ac:dyDescent="0.35">
      <c r="A446" s="14"/>
      <c r="B446" s="14"/>
      <c r="C446" s="14"/>
      <c r="D446" s="14"/>
      <c r="E446" s="14"/>
      <c r="F446" s="14"/>
      <c r="G446" s="10" t="s">
        <v>1450</v>
      </c>
      <c r="H446" s="8" t="s">
        <v>394</v>
      </c>
    </row>
    <row r="447" spans="1:9" ht="25.5" x14ac:dyDescent="0.35">
      <c r="A447" s="14"/>
      <c r="B447" s="14"/>
      <c r="C447" s="14"/>
      <c r="D447" s="14"/>
      <c r="E447" s="14"/>
      <c r="F447" s="14"/>
      <c r="G447" s="10" t="s">
        <v>800</v>
      </c>
      <c r="H447" s="8" t="s">
        <v>394</v>
      </c>
    </row>
    <row r="448" spans="1:9" ht="25.5" x14ac:dyDescent="0.35">
      <c r="A448" s="14"/>
      <c r="B448" s="14"/>
      <c r="C448" s="14"/>
      <c r="D448" s="14"/>
      <c r="E448" s="14"/>
      <c r="F448" s="14"/>
      <c r="G448" s="10" t="s">
        <v>530</v>
      </c>
      <c r="H448" s="8" t="s">
        <v>394</v>
      </c>
    </row>
    <row r="449" spans="1:9" ht="25.5" x14ac:dyDescent="0.35">
      <c r="A449" s="14"/>
      <c r="B449" s="14"/>
      <c r="C449" s="14"/>
      <c r="D449" s="14"/>
      <c r="E449" s="14"/>
      <c r="F449" s="14"/>
      <c r="G449" s="10" t="s">
        <v>296</v>
      </c>
      <c r="H449" s="8" t="s">
        <v>394</v>
      </c>
    </row>
    <row r="450" spans="1:9" ht="25.5" x14ac:dyDescent="0.35">
      <c r="A450" s="19"/>
      <c r="B450" s="19"/>
      <c r="C450" s="18"/>
      <c r="D450" s="18"/>
      <c r="E450" s="18"/>
      <c r="F450" s="20"/>
      <c r="G450" s="10" t="s">
        <v>899</v>
      </c>
      <c r="H450" s="8" t="s">
        <v>394</v>
      </c>
    </row>
    <row r="451" spans="1:9" ht="25.5" x14ac:dyDescent="0.35">
      <c r="A451" s="19" t="str">
        <f>HYPERLINK("https://jira.itg.ti.com/browse/JACINTOREQ-1098","JACINTOREQ-1098")</f>
        <v>JACINTOREQ-1098</v>
      </c>
      <c r="B451" s="19" t="str">
        <f>HYPERLINK("https://jira.itg.ti.com/browse/PDK-5848","PDK-5848")</f>
        <v>PDK-5848</v>
      </c>
      <c r="C451" s="18" t="s">
        <v>130</v>
      </c>
      <c r="D451" s="18" t="s">
        <v>1447</v>
      </c>
      <c r="E451" s="18" t="s">
        <v>1645</v>
      </c>
      <c r="F451" s="20" t="s">
        <v>1229</v>
      </c>
      <c r="G451" s="9" t="s">
        <v>616</v>
      </c>
      <c r="H451" s="8" t="s">
        <v>394</v>
      </c>
      <c r="I451" s="7" t="s">
        <v>1031</v>
      </c>
    </row>
    <row r="452" spans="1:9" ht="25.5" x14ac:dyDescent="0.35">
      <c r="A452" s="14"/>
      <c r="B452" s="14"/>
      <c r="C452" s="14"/>
      <c r="D452" s="14"/>
      <c r="E452" s="14"/>
      <c r="F452" s="14"/>
      <c r="G452" s="10" t="s">
        <v>993</v>
      </c>
      <c r="H452" s="8" t="s">
        <v>394</v>
      </c>
    </row>
    <row r="453" spans="1:9" ht="25.5" x14ac:dyDescent="0.35">
      <c r="A453" s="14"/>
      <c r="B453" s="14"/>
      <c r="C453" s="14"/>
      <c r="D453" s="14"/>
      <c r="E453" s="14"/>
      <c r="F453" s="14"/>
      <c r="G453" s="10" t="s">
        <v>63</v>
      </c>
      <c r="H453" s="8" t="s">
        <v>394</v>
      </c>
    </row>
    <row r="454" spans="1:9" ht="25.5" x14ac:dyDescent="0.35">
      <c r="A454" s="14"/>
      <c r="B454" s="14"/>
      <c r="C454" s="14"/>
      <c r="D454" s="14"/>
      <c r="E454" s="14"/>
      <c r="F454" s="14"/>
      <c r="G454" s="10" t="s">
        <v>1276</v>
      </c>
      <c r="H454" s="8" t="s">
        <v>394</v>
      </c>
    </row>
    <row r="455" spans="1:9" ht="25.5" x14ac:dyDescent="0.35">
      <c r="A455" s="14"/>
      <c r="B455" s="14"/>
      <c r="C455" s="14"/>
      <c r="D455" s="14"/>
      <c r="E455" s="14"/>
      <c r="F455" s="14"/>
      <c r="G455" s="10" t="s">
        <v>838</v>
      </c>
      <c r="H455" s="8" t="s">
        <v>394</v>
      </c>
    </row>
    <row r="456" spans="1:9" ht="25.5" x14ac:dyDescent="0.35">
      <c r="A456" s="19"/>
      <c r="B456" s="19"/>
      <c r="C456" s="18"/>
      <c r="D456" s="18"/>
      <c r="E456" s="18"/>
      <c r="F456" s="20"/>
      <c r="G456" s="10" t="s">
        <v>434</v>
      </c>
      <c r="H456" s="8" t="s">
        <v>394</v>
      </c>
    </row>
    <row r="457" spans="1:9" ht="25.5" x14ac:dyDescent="0.35">
      <c r="A457" s="19" t="str">
        <f>HYPERLINK("https://jira.itg.ti.com/browse/JACINTOREQ-1099","JACINTOREQ-1099")</f>
        <v>JACINTOREQ-1099</v>
      </c>
      <c r="B457" s="19" t="str">
        <f>HYPERLINK("https://jira.itg.ti.com/browse/PDK-5849","PDK-5849")</f>
        <v>PDK-5849</v>
      </c>
      <c r="C457" s="18" t="s">
        <v>1593</v>
      </c>
      <c r="D457" s="18" t="s">
        <v>1668</v>
      </c>
      <c r="E457" s="18" t="s">
        <v>1645</v>
      </c>
      <c r="F457" s="20" t="s">
        <v>1229</v>
      </c>
      <c r="G457" s="9" t="s">
        <v>1620</v>
      </c>
      <c r="H457" s="8" t="s">
        <v>394</v>
      </c>
      <c r="I457" s="7" t="s">
        <v>1031</v>
      </c>
    </row>
    <row r="458" spans="1:9" ht="25.5" x14ac:dyDescent="0.35">
      <c r="A458" s="19"/>
      <c r="B458" s="19"/>
      <c r="C458" s="18"/>
      <c r="D458" s="18"/>
      <c r="E458" s="18"/>
      <c r="F458" s="20"/>
      <c r="G458" s="10" t="s">
        <v>818</v>
      </c>
      <c r="H458" s="8" t="s">
        <v>394</v>
      </c>
    </row>
    <row r="459" spans="1:9" ht="25.5" x14ac:dyDescent="0.35">
      <c r="A459" s="19" t="str">
        <f>HYPERLINK("https://jira.itg.ti.com/browse/JACINTOREQ-1103","JACINTOREQ-1103")</f>
        <v>JACINTOREQ-1103</v>
      </c>
      <c r="B459" s="19" t="str">
        <f>HYPERLINK("https://jira.itg.ti.com/browse/PDK-5833","PDK-5833")</f>
        <v>PDK-5833</v>
      </c>
      <c r="C459" s="18" t="s">
        <v>1099</v>
      </c>
      <c r="D459" s="18" t="s">
        <v>1668</v>
      </c>
      <c r="E459" s="18" t="s">
        <v>1645</v>
      </c>
      <c r="F459" s="20" t="s">
        <v>1229</v>
      </c>
      <c r="G459" s="9" t="s">
        <v>500</v>
      </c>
      <c r="H459" s="8" t="s">
        <v>394</v>
      </c>
      <c r="I459" s="7" t="s">
        <v>1031</v>
      </c>
    </row>
    <row r="460" spans="1:9" ht="25.5" x14ac:dyDescent="0.35">
      <c r="A460" s="14"/>
      <c r="B460" s="14"/>
      <c r="C460" s="14"/>
      <c r="D460" s="14"/>
      <c r="E460" s="14"/>
      <c r="F460" s="14"/>
      <c r="G460" s="10" t="s">
        <v>386</v>
      </c>
      <c r="H460" s="8" t="s">
        <v>394</v>
      </c>
    </row>
    <row r="461" spans="1:9" x14ac:dyDescent="0.35">
      <c r="A461" s="14"/>
      <c r="B461" s="14"/>
      <c r="C461" s="14"/>
      <c r="D461" s="14"/>
      <c r="E461" s="14"/>
      <c r="F461" s="14"/>
      <c r="G461" s="10" t="s">
        <v>868</v>
      </c>
      <c r="H461" s="8" t="s">
        <v>394</v>
      </c>
    </row>
    <row r="462" spans="1:9" ht="25.5" x14ac:dyDescent="0.35">
      <c r="A462" s="14"/>
      <c r="B462" s="14"/>
      <c r="C462" s="14"/>
      <c r="D462" s="14"/>
      <c r="E462" s="14"/>
      <c r="F462" s="14"/>
      <c r="G462" s="10" t="s">
        <v>1038</v>
      </c>
      <c r="H462" s="8" t="s">
        <v>394</v>
      </c>
    </row>
    <row r="463" spans="1:9" ht="25.5" x14ac:dyDescent="0.35">
      <c r="A463" s="14"/>
      <c r="B463" s="14"/>
      <c r="C463" s="14"/>
      <c r="D463" s="14"/>
      <c r="E463" s="14"/>
      <c r="F463" s="14"/>
      <c r="G463" s="10" t="s">
        <v>1312</v>
      </c>
      <c r="H463" s="8" t="s">
        <v>394</v>
      </c>
    </row>
    <row r="464" spans="1:9" ht="25.5" x14ac:dyDescent="0.35">
      <c r="A464" s="14"/>
      <c r="B464" s="14"/>
      <c r="C464" s="14"/>
      <c r="D464" s="14"/>
      <c r="E464" s="14"/>
      <c r="F464" s="14"/>
      <c r="G464" s="10" t="s">
        <v>90</v>
      </c>
      <c r="H464" s="8" t="s">
        <v>394</v>
      </c>
    </row>
    <row r="465" spans="1:8" ht="25.5" x14ac:dyDescent="0.35">
      <c r="A465" s="14"/>
      <c r="B465" s="14"/>
      <c r="C465" s="14"/>
      <c r="D465" s="14"/>
      <c r="E465" s="14"/>
      <c r="F465" s="14"/>
      <c r="G465" s="10" t="s">
        <v>1373</v>
      </c>
      <c r="H465" s="8" t="s">
        <v>394</v>
      </c>
    </row>
    <row r="466" spans="1:8" ht="25.5" x14ac:dyDescent="0.35">
      <c r="A466" s="14"/>
      <c r="B466" s="14"/>
      <c r="C466" s="14"/>
      <c r="D466" s="14"/>
      <c r="E466" s="14"/>
      <c r="F466" s="14"/>
      <c r="G466" s="10" t="s">
        <v>1653</v>
      </c>
      <c r="H466" s="8" t="s">
        <v>394</v>
      </c>
    </row>
    <row r="467" spans="1:8" ht="25.5" x14ac:dyDescent="0.35">
      <c r="A467" s="14"/>
      <c r="B467" s="14"/>
      <c r="C467" s="14"/>
      <c r="D467" s="14"/>
      <c r="E467" s="14"/>
      <c r="F467" s="14"/>
      <c r="G467" s="10" t="s">
        <v>1149</v>
      </c>
      <c r="H467" s="8" t="s">
        <v>394</v>
      </c>
    </row>
    <row r="468" spans="1:8" ht="25.5" x14ac:dyDescent="0.35">
      <c r="A468" s="14"/>
      <c r="B468" s="14"/>
      <c r="C468" s="14"/>
      <c r="D468" s="14"/>
      <c r="E468" s="14"/>
      <c r="F468" s="14"/>
      <c r="G468" s="10" t="s">
        <v>1209</v>
      </c>
      <c r="H468" s="8" t="s">
        <v>394</v>
      </c>
    </row>
    <row r="469" spans="1:8" ht="25.5" x14ac:dyDescent="0.35">
      <c r="A469" s="14"/>
      <c r="B469" s="14"/>
      <c r="C469" s="14"/>
      <c r="D469" s="14"/>
      <c r="E469" s="14"/>
      <c r="F469" s="14"/>
      <c r="G469" s="10" t="s">
        <v>213</v>
      </c>
      <c r="H469" s="8" t="s">
        <v>394</v>
      </c>
    </row>
    <row r="470" spans="1:8" ht="25.5" x14ac:dyDescent="0.35">
      <c r="A470" s="14"/>
      <c r="B470" s="14"/>
      <c r="C470" s="14"/>
      <c r="D470" s="14"/>
      <c r="E470" s="14"/>
      <c r="F470" s="14"/>
      <c r="G470" s="10" t="s">
        <v>1330</v>
      </c>
      <c r="H470" s="8" t="s">
        <v>394</v>
      </c>
    </row>
    <row r="471" spans="1:8" ht="25.5" x14ac:dyDescent="0.35">
      <c r="A471" s="14"/>
      <c r="B471" s="14"/>
      <c r="C471" s="14"/>
      <c r="D471" s="14"/>
      <c r="E471" s="14"/>
      <c r="F471" s="14"/>
      <c r="G471" s="10" t="s">
        <v>399</v>
      </c>
      <c r="H471" s="8" t="s">
        <v>394</v>
      </c>
    </row>
    <row r="472" spans="1:8" ht="25.5" x14ac:dyDescent="0.35">
      <c r="A472" s="14"/>
      <c r="B472" s="14"/>
      <c r="C472" s="14"/>
      <c r="D472" s="14"/>
      <c r="E472" s="14"/>
      <c r="F472" s="14"/>
      <c r="G472" s="10" t="s">
        <v>1157</v>
      </c>
      <c r="H472" s="8" t="s">
        <v>394</v>
      </c>
    </row>
    <row r="473" spans="1:8" ht="25.5" x14ac:dyDescent="0.35">
      <c r="A473" s="14"/>
      <c r="B473" s="14"/>
      <c r="C473" s="14"/>
      <c r="D473" s="14"/>
      <c r="E473" s="14"/>
      <c r="F473" s="14"/>
      <c r="G473" s="10" t="s">
        <v>139</v>
      </c>
      <c r="H473" s="8" t="s">
        <v>394</v>
      </c>
    </row>
    <row r="474" spans="1:8" ht="25.5" x14ac:dyDescent="0.35">
      <c r="A474" s="14"/>
      <c r="B474" s="14"/>
      <c r="C474" s="14"/>
      <c r="D474" s="14"/>
      <c r="E474" s="14"/>
      <c r="F474" s="14"/>
      <c r="G474" s="10" t="s">
        <v>1134</v>
      </c>
      <c r="H474" s="8" t="s">
        <v>394</v>
      </c>
    </row>
    <row r="475" spans="1:8" ht="25.5" x14ac:dyDescent="0.35">
      <c r="A475" s="14"/>
      <c r="B475" s="14"/>
      <c r="C475" s="14"/>
      <c r="D475" s="14"/>
      <c r="E475" s="14"/>
      <c r="F475" s="14"/>
      <c r="G475" s="10" t="s">
        <v>1406</v>
      </c>
      <c r="H475" s="8" t="s">
        <v>394</v>
      </c>
    </row>
    <row r="476" spans="1:8" ht="25.5" x14ac:dyDescent="0.35">
      <c r="A476" s="14"/>
      <c r="B476" s="14"/>
      <c r="C476" s="14"/>
      <c r="D476" s="14"/>
      <c r="E476" s="14"/>
      <c r="F476" s="14"/>
      <c r="G476" s="10" t="s">
        <v>1326</v>
      </c>
      <c r="H476" s="8" t="s">
        <v>394</v>
      </c>
    </row>
    <row r="477" spans="1:8" ht="25.5" x14ac:dyDescent="0.35">
      <c r="A477" s="14"/>
      <c r="B477" s="14"/>
      <c r="C477" s="14"/>
      <c r="D477" s="14"/>
      <c r="E477" s="14"/>
      <c r="F477" s="14"/>
      <c r="G477" s="10" t="s">
        <v>373</v>
      </c>
      <c r="H477" s="8" t="s">
        <v>394</v>
      </c>
    </row>
    <row r="478" spans="1:8" ht="25.5" x14ac:dyDescent="0.35">
      <c r="A478" s="14"/>
      <c r="B478" s="14"/>
      <c r="C478" s="14"/>
      <c r="D478" s="14"/>
      <c r="E478" s="14"/>
      <c r="F478" s="14"/>
      <c r="G478" s="10" t="s">
        <v>175</v>
      </c>
      <c r="H478" s="8" t="s">
        <v>394</v>
      </c>
    </row>
    <row r="479" spans="1:8" ht="25.5" x14ac:dyDescent="0.35">
      <c r="A479" s="14"/>
      <c r="B479" s="14"/>
      <c r="C479" s="14"/>
      <c r="D479" s="14"/>
      <c r="E479" s="14"/>
      <c r="F479" s="14"/>
      <c r="G479" s="10" t="s">
        <v>391</v>
      </c>
      <c r="H479" s="8" t="s">
        <v>394</v>
      </c>
    </row>
    <row r="480" spans="1:8" ht="25.5" x14ac:dyDescent="0.35">
      <c r="A480" s="14"/>
      <c r="B480" s="14"/>
      <c r="C480" s="14"/>
      <c r="D480" s="14"/>
      <c r="E480" s="14"/>
      <c r="F480" s="14"/>
      <c r="G480" s="10" t="s">
        <v>303</v>
      </c>
      <c r="H480" s="8" t="s">
        <v>394</v>
      </c>
    </row>
    <row r="481" spans="1:8" ht="25.5" x14ac:dyDescent="0.35">
      <c r="A481" s="14"/>
      <c r="B481" s="14"/>
      <c r="C481" s="14"/>
      <c r="D481" s="14"/>
      <c r="E481" s="14"/>
      <c r="F481" s="14"/>
      <c r="G481" s="10" t="s">
        <v>539</v>
      </c>
      <c r="H481" s="8" t="s">
        <v>394</v>
      </c>
    </row>
    <row r="482" spans="1:8" ht="25.5" x14ac:dyDescent="0.35">
      <c r="A482" s="14"/>
      <c r="B482" s="14"/>
      <c r="C482" s="14"/>
      <c r="D482" s="14"/>
      <c r="E482" s="14"/>
      <c r="F482" s="14"/>
      <c r="G482" s="10" t="s">
        <v>524</v>
      </c>
      <c r="H482" s="8" t="s">
        <v>394</v>
      </c>
    </row>
    <row r="483" spans="1:8" ht="25.5" x14ac:dyDescent="0.35">
      <c r="A483" s="14"/>
      <c r="B483" s="14"/>
      <c r="C483" s="14"/>
      <c r="D483" s="14"/>
      <c r="E483" s="14"/>
      <c r="F483" s="14"/>
      <c r="G483" s="10" t="s">
        <v>1597</v>
      </c>
      <c r="H483" s="8" t="s">
        <v>394</v>
      </c>
    </row>
    <row r="484" spans="1:8" ht="25.5" x14ac:dyDescent="0.35">
      <c r="A484" s="14"/>
      <c r="B484" s="14"/>
      <c r="C484" s="14"/>
      <c r="D484" s="14"/>
      <c r="E484" s="14"/>
      <c r="F484" s="14"/>
      <c r="G484" s="10" t="s">
        <v>1636</v>
      </c>
      <c r="H484" s="8" t="s">
        <v>394</v>
      </c>
    </row>
    <row r="485" spans="1:8" ht="25.5" x14ac:dyDescent="0.35">
      <c r="A485" s="14"/>
      <c r="B485" s="14"/>
      <c r="C485" s="14"/>
      <c r="D485" s="14"/>
      <c r="E485" s="14"/>
      <c r="F485" s="14"/>
      <c r="G485" s="10" t="s">
        <v>1194</v>
      </c>
      <c r="H485" s="8" t="s">
        <v>394</v>
      </c>
    </row>
    <row r="486" spans="1:8" ht="25.5" x14ac:dyDescent="0.35">
      <c r="A486" s="14"/>
      <c r="B486" s="14"/>
      <c r="C486" s="14"/>
      <c r="D486" s="14"/>
      <c r="E486" s="14"/>
      <c r="F486" s="14"/>
      <c r="G486" s="10" t="s">
        <v>975</v>
      </c>
      <c r="H486" s="8" t="s">
        <v>394</v>
      </c>
    </row>
    <row r="487" spans="1:8" ht="25.5" x14ac:dyDescent="0.35">
      <c r="A487" s="14"/>
      <c r="B487" s="14"/>
      <c r="C487" s="14"/>
      <c r="D487" s="14"/>
      <c r="E487" s="14"/>
      <c r="F487" s="14"/>
      <c r="G487" s="10" t="s">
        <v>972</v>
      </c>
      <c r="H487" s="8" t="s">
        <v>394</v>
      </c>
    </row>
    <row r="488" spans="1:8" ht="25.5" x14ac:dyDescent="0.35">
      <c r="A488" s="14"/>
      <c r="B488" s="14"/>
      <c r="C488" s="14"/>
      <c r="D488" s="14"/>
      <c r="E488" s="14"/>
      <c r="F488" s="14"/>
      <c r="G488" s="10" t="s">
        <v>3</v>
      </c>
      <c r="H488" s="8" t="s">
        <v>394</v>
      </c>
    </row>
    <row r="489" spans="1:8" ht="25.5" x14ac:dyDescent="0.35">
      <c r="A489" s="14"/>
      <c r="B489" s="14"/>
      <c r="C489" s="14"/>
      <c r="D489" s="14"/>
      <c r="E489" s="14"/>
      <c r="F489" s="14"/>
      <c r="G489" s="10" t="s">
        <v>281</v>
      </c>
      <c r="H489" s="8" t="s">
        <v>394</v>
      </c>
    </row>
    <row r="490" spans="1:8" ht="25.5" x14ac:dyDescent="0.35">
      <c r="A490" s="14"/>
      <c r="B490" s="14"/>
      <c r="C490" s="14"/>
      <c r="D490" s="14"/>
      <c r="E490" s="14"/>
      <c r="F490" s="14"/>
      <c r="G490" s="10" t="s">
        <v>194</v>
      </c>
      <c r="H490" s="8" t="s">
        <v>394</v>
      </c>
    </row>
    <row r="491" spans="1:8" ht="25.5" x14ac:dyDescent="0.35">
      <c r="A491" s="14"/>
      <c r="B491" s="14"/>
      <c r="C491" s="14"/>
      <c r="D491" s="14"/>
      <c r="E491" s="14"/>
      <c r="F491" s="14"/>
      <c r="G491" s="10" t="s">
        <v>191</v>
      </c>
      <c r="H491" s="8" t="s">
        <v>394</v>
      </c>
    </row>
    <row r="492" spans="1:8" ht="25.5" x14ac:dyDescent="0.35">
      <c r="A492" s="14"/>
      <c r="B492" s="14"/>
      <c r="C492" s="14"/>
      <c r="D492" s="14"/>
      <c r="E492" s="14"/>
      <c r="F492" s="14"/>
      <c r="G492" s="10" t="s">
        <v>1347</v>
      </c>
      <c r="H492" s="8" t="s">
        <v>394</v>
      </c>
    </row>
    <row r="493" spans="1:8" ht="25.5" x14ac:dyDescent="0.35">
      <c r="A493" s="14"/>
      <c r="B493" s="14"/>
      <c r="C493" s="14"/>
      <c r="D493" s="14"/>
      <c r="E493" s="14"/>
      <c r="F493" s="14"/>
      <c r="G493" s="10" t="s">
        <v>78</v>
      </c>
      <c r="H493" s="8" t="s">
        <v>394</v>
      </c>
    </row>
    <row r="494" spans="1:8" ht="25.5" x14ac:dyDescent="0.35">
      <c r="A494" s="14"/>
      <c r="B494" s="14"/>
      <c r="C494" s="14"/>
      <c r="D494" s="14"/>
      <c r="E494" s="14"/>
      <c r="F494" s="14"/>
      <c r="G494" s="10" t="s">
        <v>902</v>
      </c>
      <c r="H494" s="8" t="s">
        <v>394</v>
      </c>
    </row>
    <row r="495" spans="1:8" ht="25.5" x14ac:dyDescent="0.35">
      <c r="A495" s="14"/>
      <c r="B495" s="14"/>
      <c r="C495" s="14"/>
      <c r="D495" s="14"/>
      <c r="E495" s="14"/>
      <c r="F495" s="14"/>
      <c r="G495" s="10" t="s">
        <v>1175</v>
      </c>
      <c r="H495" s="8" t="s">
        <v>394</v>
      </c>
    </row>
    <row r="496" spans="1:8" ht="25.5" x14ac:dyDescent="0.35">
      <c r="A496" s="14"/>
      <c r="B496" s="14"/>
      <c r="C496" s="14"/>
      <c r="D496" s="14"/>
      <c r="E496" s="14"/>
      <c r="F496" s="14"/>
      <c r="G496" s="10" t="s">
        <v>1369</v>
      </c>
      <c r="H496" s="8" t="s">
        <v>394</v>
      </c>
    </row>
    <row r="497" spans="1:9" ht="25.5" x14ac:dyDescent="0.35">
      <c r="A497" s="14"/>
      <c r="B497" s="14"/>
      <c r="C497" s="14"/>
      <c r="D497" s="14"/>
      <c r="E497" s="14"/>
      <c r="F497" s="14"/>
      <c r="G497" s="10" t="s">
        <v>445</v>
      </c>
      <c r="H497" s="8" t="s">
        <v>394</v>
      </c>
    </row>
    <row r="498" spans="1:9" ht="25.5" x14ac:dyDescent="0.35">
      <c r="A498" s="19"/>
      <c r="B498" s="19"/>
      <c r="C498" s="18"/>
      <c r="D498" s="18"/>
      <c r="E498" s="18"/>
      <c r="F498" s="20"/>
      <c r="G498" s="10" t="s">
        <v>660</v>
      </c>
      <c r="H498" s="8" t="s">
        <v>394</v>
      </c>
    </row>
    <row r="499" spans="1:9" x14ac:dyDescent="0.35">
      <c r="A499" s="19" t="str">
        <f>HYPERLINK("https://jira.itg.ti.com/browse/JACINTOREQ-1160","JACINTOREQ-1160")</f>
        <v>JACINTOREQ-1160</v>
      </c>
      <c r="B499" s="19" t="str">
        <f>HYPERLINK("https://jira.itg.ti.com/browse/PDK-9312","PDK-9312")</f>
        <v>PDK-9312</v>
      </c>
      <c r="C499" s="18" t="s">
        <v>570</v>
      </c>
      <c r="D499" s="18" t="s">
        <v>117</v>
      </c>
      <c r="E499" s="18" t="s">
        <v>1645</v>
      </c>
      <c r="F499" s="20" t="s">
        <v>1229</v>
      </c>
      <c r="G499" s="9" t="s">
        <v>867</v>
      </c>
      <c r="H499" s="8" t="s">
        <v>394</v>
      </c>
      <c r="I499" s="7" t="s">
        <v>1031</v>
      </c>
    </row>
    <row r="500" spans="1:9" x14ac:dyDescent="0.35">
      <c r="A500" s="19"/>
      <c r="B500" s="19"/>
      <c r="C500" s="18"/>
      <c r="D500" s="18"/>
      <c r="E500" s="18"/>
      <c r="F500" s="20"/>
      <c r="G500" s="10" t="s">
        <v>1107</v>
      </c>
      <c r="H500" s="8" t="s">
        <v>394</v>
      </c>
    </row>
    <row r="501" spans="1:9" x14ac:dyDescent="0.35">
      <c r="A501" s="19" t="str">
        <f>HYPERLINK("https://jira.itg.ti.com/browse/JACINTOREQ-1161","JACINTOREQ-1161")</f>
        <v>JACINTOREQ-1161</v>
      </c>
      <c r="B501" s="19" t="str">
        <f>HYPERLINK("https://jira.itg.ti.com/browse/PDK-9355","PDK-9355")</f>
        <v>PDK-9355</v>
      </c>
      <c r="C501" s="18" t="s">
        <v>1280</v>
      </c>
      <c r="D501" s="18" t="s">
        <v>970</v>
      </c>
      <c r="E501" s="18" t="s">
        <v>1645</v>
      </c>
      <c r="F501" s="20" t="s">
        <v>1229</v>
      </c>
      <c r="G501" s="9" t="s">
        <v>867</v>
      </c>
      <c r="H501" s="8" t="s">
        <v>394</v>
      </c>
      <c r="I501" s="7" t="s">
        <v>1031</v>
      </c>
    </row>
    <row r="502" spans="1:9" x14ac:dyDescent="0.35">
      <c r="A502" s="19"/>
      <c r="B502" s="19"/>
      <c r="C502" s="18"/>
      <c r="D502" s="18"/>
      <c r="E502" s="18"/>
      <c r="F502" s="20"/>
      <c r="G502" s="10" t="s">
        <v>1107</v>
      </c>
      <c r="H502" s="8" t="s">
        <v>394</v>
      </c>
    </row>
    <row r="503" spans="1:9" x14ac:dyDescent="0.35">
      <c r="A503" s="19" t="str">
        <f t="shared" ref="A503:A515" si="0">HYPERLINK("https://jira.itg.ti.com/browse/JACINTOREQ-1163","JACINTOREQ-1163")</f>
        <v>JACINTOREQ-1163</v>
      </c>
      <c r="B503" s="19" t="str">
        <f>HYPERLINK("https://jira.itg.ti.com/browse/PDK-9369","PDK-9369")</f>
        <v>PDK-9369</v>
      </c>
      <c r="C503" s="18" t="s">
        <v>1416</v>
      </c>
      <c r="D503" s="18" t="s">
        <v>970</v>
      </c>
      <c r="E503" s="18" t="s">
        <v>1645</v>
      </c>
      <c r="F503" s="20" t="s">
        <v>1229</v>
      </c>
      <c r="G503" s="9" t="s">
        <v>679</v>
      </c>
      <c r="H503" s="8" t="s">
        <v>394</v>
      </c>
      <c r="I503" s="7" t="s">
        <v>1031</v>
      </c>
    </row>
    <row r="504" spans="1:9" x14ac:dyDescent="0.35">
      <c r="A504" s="19" t="str">
        <f t="shared" si="0"/>
        <v>JACINTOREQ-1163</v>
      </c>
      <c r="B504" s="19" t="str">
        <f>HYPERLINK("https://jira.itg.ti.com/browse/PDK-9491","PDK-9491")</f>
        <v>PDK-9491</v>
      </c>
      <c r="C504" s="18" t="s">
        <v>675</v>
      </c>
      <c r="D504" s="18" t="s">
        <v>970</v>
      </c>
      <c r="E504" s="18" t="s">
        <v>1645</v>
      </c>
      <c r="F504" s="20" t="s">
        <v>1229</v>
      </c>
      <c r="G504" s="9" t="s">
        <v>1314</v>
      </c>
      <c r="H504" s="8" t="s">
        <v>394</v>
      </c>
      <c r="I504" s="7" t="s">
        <v>1031</v>
      </c>
    </row>
    <row r="505" spans="1:9" x14ac:dyDescent="0.35">
      <c r="A505" s="19" t="str">
        <f t="shared" si="0"/>
        <v>JACINTOREQ-1163</v>
      </c>
      <c r="B505" s="19" t="str">
        <f>HYPERLINK("https://jira.itg.ti.com/browse/PDK-9492","PDK-9492")</f>
        <v>PDK-9492</v>
      </c>
      <c r="C505" s="18" t="s">
        <v>572</v>
      </c>
      <c r="D505" s="18" t="s">
        <v>970</v>
      </c>
      <c r="E505" s="18" t="s">
        <v>1645</v>
      </c>
      <c r="F505" s="20" t="s">
        <v>1229</v>
      </c>
      <c r="G505" s="9" t="s">
        <v>1095</v>
      </c>
      <c r="H505" s="8" t="s">
        <v>394</v>
      </c>
      <c r="I505" s="7" t="s">
        <v>1031</v>
      </c>
    </row>
    <row r="506" spans="1:9" x14ac:dyDescent="0.35">
      <c r="A506" s="19" t="str">
        <f t="shared" si="0"/>
        <v>JACINTOREQ-1163</v>
      </c>
      <c r="B506" s="19" t="str">
        <f>HYPERLINK("https://jira.itg.ti.com/browse/PDK-9493","PDK-9493")</f>
        <v>PDK-9493</v>
      </c>
      <c r="C506" s="18" t="s">
        <v>1538</v>
      </c>
      <c r="D506" s="18" t="s">
        <v>970</v>
      </c>
      <c r="E506" s="18" t="s">
        <v>1645</v>
      </c>
      <c r="F506" s="20" t="s">
        <v>1229</v>
      </c>
      <c r="G506" s="9" t="s">
        <v>1623</v>
      </c>
      <c r="H506" s="8" t="s">
        <v>394</v>
      </c>
      <c r="I506" s="7" t="s">
        <v>1031</v>
      </c>
    </row>
    <row r="507" spans="1:9" ht="25.5" x14ac:dyDescent="0.35">
      <c r="A507" s="19" t="str">
        <f t="shared" si="0"/>
        <v>JACINTOREQ-1163</v>
      </c>
      <c r="B507" s="19" t="str">
        <f>HYPERLINK("https://jira.itg.ti.com/browse/PDK-9494","PDK-9494")</f>
        <v>PDK-9494</v>
      </c>
      <c r="C507" s="18" t="s">
        <v>1594</v>
      </c>
      <c r="D507" s="18" t="s">
        <v>970</v>
      </c>
      <c r="E507" s="18" t="s">
        <v>1645</v>
      </c>
      <c r="F507" s="20" t="s">
        <v>1229</v>
      </c>
      <c r="G507" s="9" t="s">
        <v>509</v>
      </c>
      <c r="H507" s="8" t="s">
        <v>394</v>
      </c>
      <c r="I507" s="7" t="s">
        <v>1031</v>
      </c>
    </row>
    <row r="508" spans="1:9" x14ac:dyDescent="0.35">
      <c r="A508" s="19" t="str">
        <f t="shared" si="0"/>
        <v>JACINTOREQ-1163</v>
      </c>
      <c r="B508" s="19" t="str">
        <f>HYPERLINK("https://jira.itg.ti.com/browse/PDK-9495","PDK-9495")</f>
        <v>PDK-9495</v>
      </c>
      <c r="C508" s="18" t="s">
        <v>1418</v>
      </c>
      <c r="D508" s="18" t="s">
        <v>970</v>
      </c>
      <c r="E508" s="18" t="s">
        <v>1645</v>
      </c>
      <c r="F508" s="20" t="s">
        <v>1229</v>
      </c>
      <c r="G508" s="9" t="s">
        <v>1333</v>
      </c>
      <c r="H508" s="8" t="s">
        <v>394</v>
      </c>
      <c r="I508" s="7" t="s">
        <v>1031</v>
      </c>
    </row>
    <row r="509" spans="1:9" x14ac:dyDescent="0.35">
      <c r="A509" s="19" t="str">
        <f t="shared" si="0"/>
        <v>JACINTOREQ-1163</v>
      </c>
      <c r="B509" s="19" t="str">
        <f>HYPERLINK("https://jira.itg.ti.com/browse/PDK-9496","PDK-9496")</f>
        <v>PDK-9496</v>
      </c>
      <c r="C509" s="18" t="s">
        <v>203</v>
      </c>
      <c r="D509" s="18" t="s">
        <v>970</v>
      </c>
      <c r="E509" s="18" t="s">
        <v>1645</v>
      </c>
      <c r="F509" s="20" t="s">
        <v>1229</v>
      </c>
      <c r="G509" s="9" t="s">
        <v>371</v>
      </c>
      <c r="H509" s="8" t="s">
        <v>394</v>
      </c>
      <c r="I509" s="7" t="s">
        <v>1031</v>
      </c>
    </row>
    <row r="510" spans="1:9" x14ac:dyDescent="0.35">
      <c r="A510" s="19" t="str">
        <f t="shared" si="0"/>
        <v>JACINTOREQ-1163</v>
      </c>
      <c r="B510" s="19" t="str">
        <f>HYPERLINK("https://jira.itg.ti.com/browse/PDK-9497","PDK-9497")</f>
        <v>PDK-9497</v>
      </c>
      <c r="C510" s="18" t="s">
        <v>559</v>
      </c>
      <c r="D510" s="18" t="s">
        <v>970</v>
      </c>
      <c r="E510" s="18" t="s">
        <v>1645</v>
      </c>
      <c r="F510" s="20" t="s">
        <v>1229</v>
      </c>
      <c r="G510" s="9" t="s">
        <v>127</v>
      </c>
      <c r="H510" s="8" t="s">
        <v>394</v>
      </c>
      <c r="I510" s="7" t="s">
        <v>1031</v>
      </c>
    </row>
    <row r="511" spans="1:9" x14ac:dyDescent="0.35">
      <c r="A511" s="19" t="str">
        <f t="shared" si="0"/>
        <v>JACINTOREQ-1163</v>
      </c>
      <c r="B511" s="19" t="str">
        <f>HYPERLINK("https://jira.itg.ti.com/browse/PDK-9498","PDK-9498")</f>
        <v>PDK-9498</v>
      </c>
      <c r="C511" s="18" t="s">
        <v>877</v>
      </c>
      <c r="D511" s="18" t="s">
        <v>970</v>
      </c>
      <c r="E511" s="18" t="s">
        <v>1645</v>
      </c>
      <c r="F511" s="20" t="s">
        <v>1229</v>
      </c>
      <c r="G511" s="9" t="s">
        <v>891</v>
      </c>
      <c r="H511" s="8" t="s">
        <v>394</v>
      </c>
      <c r="I511" s="7" t="s">
        <v>1031</v>
      </c>
    </row>
    <row r="512" spans="1:9" x14ac:dyDescent="0.35">
      <c r="A512" s="19" t="str">
        <f t="shared" si="0"/>
        <v>JACINTOREQ-1163</v>
      </c>
      <c r="B512" s="19" t="str">
        <f>HYPERLINK("https://jira.itg.ti.com/browse/PDK-9499","PDK-9499")</f>
        <v>PDK-9499</v>
      </c>
      <c r="C512" s="18" t="s">
        <v>764</v>
      </c>
      <c r="D512" s="18" t="s">
        <v>970</v>
      </c>
      <c r="E512" s="18" t="s">
        <v>1645</v>
      </c>
      <c r="F512" s="22" t="s">
        <v>552</v>
      </c>
      <c r="G512" s="9" t="s">
        <v>1430</v>
      </c>
      <c r="H512" s="12" t="s">
        <v>1241</v>
      </c>
      <c r="I512" s="7" t="s">
        <v>1031</v>
      </c>
    </row>
    <row r="513" spans="1:9" x14ac:dyDescent="0.35">
      <c r="A513" s="19" t="str">
        <f t="shared" si="0"/>
        <v>JACINTOREQ-1163</v>
      </c>
      <c r="B513" s="19" t="str">
        <f>HYPERLINK("https://jira.itg.ti.com/browse/PDK-9501","PDK-9501")</f>
        <v>PDK-9501</v>
      </c>
      <c r="C513" s="18" t="s">
        <v>1531</v>
      </c>
      <c r="D513" s="18" t="s">
        <v>970</v>
      </c>
      <c r="E513" s="18" t="s">
        <v>1645</v>
      </c>
      <c r="F513" s="20" t="s">
        <v>1229</v>
      </c>
      <c r="G513" s="9" t="s">
        <v>1143</v>
      </c>
      <c r="H513" s="8" t="s">
        <v>394</v>
      </c>
      <c r="I513" s="7" t="s">
        <v>1031</v>
      </c>
    </row>
    <row r="514" spans="1:9" x14ac:dyDescent="0.35">
      <c r="A514" s="19" t="str">
        <f t="shared" si="0"/>
        <v>JACINTOREQ-1163</v>
      </c>
      <c r="B514" s="19" t="str">
        <f>HYPERLINK("https://jira.itg.ti.com/browse/PDK-9502","PDK-9502")</f>
        <v>PDK-9502</v>
      </c>
      <c r="C514" s="18" t="s">
        <v>635</v>
      </c>
      <c r="D514" s="18" t="s">
        <v>970</v>
      </c>
      <c r="E514" s="18" t="s">
        <v>1645</v>
      </c>
      <c r="F514" s="20" t="s">
        <v>1229</v>
      </c>
      <c r="G514" s="9" t="s">
        <v>921</v>
      </c>
      <c r="H514" s="8" t="s">
        <v>394</v>
      </c>
      <c r="I514" s="7" t="s">
        <v>1031</v>
      </c>
    </row>
    <row r="515" spans="1:9" ht="25.5" x14ac:dyDescent="0.35">
      <c r="A515" s="19" t="str">
        <f t="shared" si="0"/>
        <v>JACINTOREQ-1163</v>
      </c>
      <c r="B515" s="19" t="str">
        <f>HYPERLINK("https://jira.itg.ti.com/browse/PDK-9503","PDK-9503")</f>
        <v>PDK-9503</v>
      </c>
      <c r="C515" s="18" t="s">
        <v>1530</v>
      </c>
      <c r="D515" s="18" t="s">
        <v>970</v>
      </c>
      <c r="E515" s="18" t="s">
        <v>1645</v>
      </c>
      <c r="F515" s="20" t="s">
        <v>1229</v>
      </c>
      <c r="G515" s="9" t="s">
        <v>1385</v>
      </c>
      <c r="H515" s="8" t="s">
        <v>394</v>
      </c>
      <c r="I515" s="7" t="s">
        <v>1031</v>
      </c>
    </row>
    <row r="516" spans="1:9" ht="25.5" x14ac:dyDescent="0.35">
      <c r="A516" s="14"/>
      <c r="B516" s="14"/>
      <c r="C516" s="14"/>
      <c r="D516" s="14"/>
      <c r="E516" s="14"/>
      <c r="F516" s="14"/>
      <c r="G516" s="10" t="s">
        <v>540</v>
      </c>
      <c r="H516" s="8" t="s">
        <v>394</v>
      </c>
    </row>
    <row r="517" spans="1:9" ht="25.5" x14ac:dyDescent="0.35">
      <c r="A517" s="19"/>
      <c r="B517" s="19"/>
      <c r="C517" s="18"/>
      <c r="D517" s="18"/>
      <c r="E517" s="18"/>
      <c r="F517" s="20"/>
      <c r="G517" s="10" t="s">
        <v>328</v>
      </c>
      <c r="H517" s="8" t="s">
        <v>394</v>
      </c>
    </row>
    <row r="518" spans="1:9" x14ac:dyDescent="0.35">
      <c r="A518" s="19" t="str">
        <f t="shared" ref="A518:A524" si="1">HYPERLINK("https://jira.itg.ti.com/browse/JACINTOREQ-1163","JACINTOREQ-1163")</f>
        <v>JACINTOREQ-1163</v>
      </c>
      <c r="B518" s="19" t="str">
        <f>HYPERLINK("https://jira.itg.ti.com/browse/PDK-9504","PDK-9504")</f>
        <v>PDK-9504</v>
      </c>
      <c r="C518" s="18" t="s">
        <v>1221</v>
      </c>
      <c r="D518" s="18" t="s">
        <v>970</v>
      </c>
      <c r="E518" s="18" t="s">
        <v>1645</v>
      </c>
      <c r="F518" s="20" t="s">
        <v>1229</v>
      </c>
      <c r="G518" s="9" t="s">
        <v>986</v>
      </c>
      <c r="H518" s="8" t="s">
        <v>394</v>
      </c>
      <c r="I518" s="7" t="s">
        <v>1031</v>
      </c>
    </row>
    <row r="519" spans="1:9" x14ac:dyDescent="0.35">
      <c r="A519" s="19" t="str">
        <f t="shared" si="1"/>
        <v>JACINTOREQ-1163</v>
      </c>
      <c r="B519" s="19" t="str">
        <f>HYPERLINK("https://jira.itg.ti.com/browse/PDK-9505","PDK-9505")</f>
        <v>PDK-9505</v>
      </c>
      <c r="C519" s="18" t="s">
        <v>421</v>
      </c>
      <c r="D519" s="18" t="s">
        <v>970</v>
      </c>
      <c r="E519" s="18" t="s">
        <v>1645</v>
      </c>
      <c r="F519" s="20" t="s">
        <v>1229</v>
      </c>
      <c r="G519" s="9" t="s">
        <v>218</v>
      </c>
      <c r="H519" s="8" t="s">
        <v>394</v>
      </c>
      <c r="I519" s="7" t="s">
        <v>1031</v>
      </c>
    </row>
    <row r="520" spans="1:9" x14ac:dyDescent="0.35">
      <c r="A520" s="19" t="str">
        <f t="shared" si="1"/>
        <v>JACINTOREQ-1163</v>
      </c>
      <c r="B520" s="19" t="str">
        <f>HYPERLINK("https://jira.itg.ti.com/browse/PDK-9506","PDK-9506")</f>
        <v>PDK-9506</v>
      </c>
      <c r="C520" s="18" t="s">
        <v>1118</v>
      </c>
      <c r="D520" s="18" t="s">
        <v>970</v>
      </c>
      <c r="E520" s="18" t="s">
        <v>1645</v>
      </c>
      <c r="F520" s="20" t="s">
        <v>1229</v>
      </c>
      <c r="G520" s="9" t="s">
        <v>480</v>
      </c>
      <c r="H520" s="8" t="s">
        <v>394</v>
      </c>
      <c r="I520" s="7" t="s">
        <v>1031</v>
      </c>
    </row>
    <row r="521" spans="1:9" ht="25.5" x14ac:dyDescent="0.35">
      <c r="A521" s="19" t="str">
        <f t="shared" si="1"/>
        <v>JACINTOREQ-1163</v>
      </c>
      <c r="B521" s="19" t="str">
        <f>HYPERLINK("https://jira.itg.ti.com/browse/PDK-9507","PDK-9507")</f>
        <v>PDK-9507</v>
      </c>
      <c r="C521" s="18" t="s">
        <v>1056</v>
      </c>
      <c r="D521" s="18" t="s">
        <v>970</v>
      </c>
      <c r="E521" s="18" t="s">
        <v>1645</v>
      </c>
      <c r="F521" s="20" t="s">
        <v>1229</v>
      </c>
      <c r="G521" s="9" t="s">
        <v>1145</v>
      </c>
      <c r="H521" s="8" t="s">
        <v>394</v>
      </c>
      <c r="I521" s="7" t="s">
        <v>1031</v>
      </c>
    </row>
    <row r="522" spans="1:9" x14ac:dyDescent="0.35">
      <c r="A522" s="19" t="str">
        <f t="shared" si="1"/>
        <v>JACINTOREQ-1163</v>
      </c>
      <c r="B522" s="19" t="str">
        <f>HYPERLINK("https://jira.itg.ti.com/browse/PDK-9590","PDK-9590")</f>
        <v>PDK-9590</v>
      </c>
      <c r="C522" s="18" t="s">
        <v>116</v>
      </c>
      <c r="D522" s="18" t="s">
        <v>970</v>
      </c>
      <c r="E522" s="18" t="s">
        <v>1645</v>
      </c>
      <c r="F522" s="20" t="s">
        <v>1229</v>
      </c>
      <c r="G522" s="9" t="s">
        <v>102</v>
      </c>
      <c r="H522" s="8" t="s">
        <v>394</v>
      </c>
      <c r="I522" s="7" t="s">
        <v>1031</v>
      </c>
    </row>
    <row r="523" spans="1:9" x14ac:dyDescent="0.35">
      <c r="A523" s="19" t="str">
        <f t="shared" si="1"/>
        <v>JACINTOREQ-1163</v>
      </c>
      <c r="B523" s="19" t="str">
        <f>HYPERLINK("https://jira.itg.ti.com/browse/PDK-9661","PDK-9661")</f>
        <v>PDK-9661</v>
      </c>
      <c r="C523" s="18" t="s">
        <v>627</v>
      </c>
      <c r="D523" s="18" t="s">
        <v>970</v>
      </c>
      <c r="E523" s="18" t="s">
        <v>1645</v>
      </c>
      <c r="F523" s="20" t="s">
        <v>1229</v>
      </c>
      <c r="G523" s="9" t="s">
        <v>1562</v>
      </c>
      <c r="H523" s="8" t="s">
        <v>394</v>
      </c>
      <c r="I523" s="7" t="s">
        <v>1031</v>
      </c>
    </row>
    <row r="524" spans="1:9" x14ac:dyDescent="0.35">
      <c r="A524" s="19" t="str">
        <f t="shared" si="1"/>
        <v>JACINTOREQ-1163</v>
      </c>
      <c r="B524" s="19" t="str">
        <f>HYPERLINK("https://jira.itg.ti.com/browse/PDK-9782","PDK-9782")</f>
        <v>PDK-9782</v>
      </c>
      <c r="C524" s="18" t="s">
        <v>1629</v>
      </c>
      <c r="D524" s="18" t="s">
        <v>970</v>
      </c>
      <c r="E524" s="18" t="s">
        <v>1645</v>
      </c>
      <c r="F524" s="20" t="s">
        <v>1229</v>
      </c>
      <c r="G524" s="9" t="s">
        <v>893</v>
      </c>
      <c r="H524" s="8" t="s">
        <v>394</v>
      </c>
      <c r="I524" s="7" t="s">
        <v>1031</v>
      </c>
    </row>
    <row r="525" spans="1:9" ht="25.5" x14ac:dyDescent="0.35">
      <c r="A525" s="19"/>
      <c r="B525" s="19"/>
      <c r="C525" s="18"/>
      <c r="D525" s="18"/>
      <c r="E525" s="18"/>
      <c r="F525" s="20"/>
      <c r="G525" s="10" t="s">
        <v>1016</v>
      </c>
      <c r="H525" s="8" t="s">
        <v>394</v>
      </c>
    </row>
    <row r="526" spans="1:9" x14ac:dyDescent="0.35">
      <c r="A526" s="19" t="str">
        <f>HYPERLINK("https://jira.itg.ti.com/browse/JACINTOREQ-134","JACINTOREQ-134")</f>
        <v>JACINTOREQ-134</v>
      </c>
      <c r="B526" s="19" t="str">
        <f>HYPERLINK("https://jira.itg.ti.com/browse/PDK-2401","PDK-2401")</f>
        <v>PDK-2401</v>
      </c>
      <c r="C526" s="18" t="s">
        <v>770</v>
      </c>
      <c r="D526" s="18" t="s">
        <v>1268</v>
      </c>
      <c r="E526" s="18" t="s">
        <v>1645</v>
      </c>
      <c r="F526" s="20" t="s">
        <v>1229</v>
      </c>
      <c r="G526" s="9" t="s">
        <v>495</v>
      </c>
      <c r="H526" s="8" t="s">
        <v>394</v>
      </c>
      <c r="I526" s="7" t="s">
        <v>1031</v>
      </c>
    </row>
    <row r="527" spans="1:9" ht="25.5" x14ac:dyDescent="0.35">
      <c r="A527" s="19" t="str">
        <f>HYPERLINK("https://jira.itg.ti.com/browse/JACINTOREQ-135","JACINTOREQ-135")</f>
        <v>JACINTOREQ-135</v>
      </c>
      <c r="B527" s="19" t="str">
        <f>HYPERLINK("https://jira.itg.ti.com/browse/PDK-2402","PDK-2402")</f>
        <v>PDK-2402</v>
      </c>
      <c r="C527" s="18" t="s">
        <v>579</v>
      </c>
      <c r="D527" s="18" t="s">
        <v>467</v>
      </c>
      <c r="E527" s="18" t="s">
        <v>1645</v>
      </c>
      <c r="F527" s="20" t="s">
        <v>1229</v>
      </c>
      <c r="G527" s="9" t="s">
        <v>241</v>
      </c>
      <c r="H527" s="8" t="s">
        <v>394</v>
      </c>
      <c r="I527" s="7" t="s">
        <v>1031</v>
      </c>
    </row>
    <row r="528" spans="1:9" x14ac:dyDescent="0.35">
      <c r="A528" s="19" t="str">
        <f>HYPERLINK("https://jira.itg.ti.com/browse/JACINTOREQ-1354","JACINTOREQ-1354")</f>
        <v>JACINTOREQ-1354</v>
      </c>
      <c r="B528" s="19" t="str">
        <f>HYPERLINK("https://jira.itg.ti.com/browse/PDK-9544","PDK-9544")</f>
        <v>PDK-9544</v>
      </c>
      <c r="C528" s="18" t="s">
        <v>477</v>
      </c>
      <c r="D528" s="18" t="s">
        <v>970</v>
      </c>
      <c r="E528" s="18" t="s">
        <v>1645</v>
      </c>
      <c r="F528" s="20" t="s">
        <v>1229</v>
      </c>
      <c r="G528" s="9" t="s">
        <v>495</v>
      </c>
      <c r="H528" s="8" t="s">
        <v>394</v>
      </c>
      <c r="I528" s="7" t="s">
        <v>1031</v>
      </c>
    </row>
    <row r="529" spans="1:9" x14ac:dyDescent="0.35">
      <c r="A529" s="19" t="str">
        <f>HYPERLINK("https://jira.itg.ti.com/browse/JACINTOREQ-137","JACINTOREQ-137")</f>
        <v>JACINTOREQ-137</v>
      </c>
      <c r="B529" s="19" t="str">
        <f>HYPERLINK("https://jira.itg.ti.com/browse/PDK-2404","PDK-2404")</f>
        <v>PDK-2404</v>
      </c>
      <c r="C529" s="18" t="s">
        <v>62</v>
      </c>
      <c r="D529" s="18" t="s">
        <v>245</v>
      </c>
      <c r="E529" s="18" t="s">
        <v>1645</v>
      </c>
      <c r="F529" s="20" t="s">
        <v>1229</v>
      </c>
      <c r="G529" s="9" t="s">
        <v>495</v>
      </c>
      <c r="H529" s="8" t="s">
        <v>394</v>
      </c>
      <c r="I529" s="7" t="s">
        <v>1031</v>
      </c>
    </row>
    <row r="530" spans="1:9" x14ac:dyDescent="0.35">
      <c r="A530" s="19" t="str">
        <f>HYPERLINK("https://jira.itg.ti.com/browse/JACINTOREQ-138","JACINTOREQ-138")</f>
        <v>JACINTOREQ-138</v>
      </c>
      <c r="B530" s="19" t="str">
        <f>HYPERLINK("https://jira.itg.ti.com/browse/PDK-2405","PDK-2405")</f>
        <v>PDK-2405</v>
      </c>
      <c r="C530" s="18" t="s">
        <v>463</v>
      </c>
      <c r="D530" s="18" t="s">
        <v>467</v>
      </c>
      <c r="E530" s="18" t="s">
        <v>1645</v>
      </c>
      <c r="F530" s="20" t="s">
        <v>1229</v>
      </c>
      <c r="G530" s="9" t="s">
        <v>200</v>
      </c>
      <c r="H530" s="8" t="s">
        <v>394</v>
      </c>
      <c r="I530" s="7" t="s">
        <v>1031</v>
      </c>
    </row>
    <row r="531" spans="1:9" x14ac:dyDescent="0.35">
      <c r="A531" s="19" t="str">
        <f>HYPERLINK("https://jira.itg.ti.com/browse/JACINTOREQ-138","JACINTOREQ-138")</f>
        <v>JACINTOREQ-138</v>
      </c>
      <c r="B531" s="19" t="str">
        <f>HYPERLINK("https://jira.itg.ti.com/browse/PDK-2941","PDK-2941")</f>
        <v>PDK-2941</v>
      </c>
      <c r="C531" s="18" t="s">
        <v>1271</v>
      </c>
      <c r="D531" s="18" t="s">
        <v>245</v>
      </c>
      <c r="E531" s="18" t="s">
        <v>1645</v>
      </c>
      <c r="F531" s="20" t="s">
        <v>1229</v>
      </c>
      <c r="G531" s="9" t="s">
        <v>1163</v>
      </c>
      <c r="H531" s="8" t="s">
        <v>394</v>
      </c>
      <c r="I531" s="7" t="s">
        <v>1031</v>
      </c>
    </row>
    <row r="532" spans="1:9" ht="25.5" x14ac:dyDescent="0.35">
      <c r="A532" s="19" t="str">
        <f>HYPERLINK("https://jira.itg.ti.com/browse/JACINTOREQ-138","JACINTOREQ-138")</f>
        <v>JACINTOREQ-138</v>
      </c>
      <c r="B532" s="19" t="str">
        <f>HYPERLINK("https://jira.itg.ti.com/browse/PDK-2963","PDK-2963")</f>
        <v>PDK-2963</v>
      </c>
      <c r="C532" s="18" t="s">
        <v>1356</v>
      </c>
      <c r="D532" s="18" t="s">
        <v>467</v>
      </c>
      <c r="E532" s="18" t="s">
        <v>1645</v>
      </c>
      <c r="F532" s="20" t="s">
        <v>1229</v>
      </c>
      <c r="G532" s="9" t="s">
        <v>1233</v>
      </c>
      <c r="H532" s="8" t="s">
        <v>394</v>
      </c>
      <c r="I532" s="7" t="s">
        <v>1031</v>
      </c>
    </row>
    <row r="533" spans="1:9" x14ac:dyDescent="0.35">
      <c r="A533" s="19" t="str">
        <f>HYPERLINK("https://jira.itg.ti.com/browse/JACINTOREQ-138","JACINTOREQ-138")</f>
        <v>JACINTOREQ-138</v>
      </c>
      <c r="B533" s="19" t="str">
        <f>HYPERLINK("https://jira.itg.ti.com/browse/PDK-4570","PDK-4570")</f>
        <v>PDK-4570</v>
      </c>
      <c r="C533" s="18" t="s">
        <v>682</v>
      </c>
      <c r="D533" s="18" t="s">
        <v>692</v>
      </c>
      <c r="E533" s="18" t="s">
        <v>1645</v>
      </c>
      <c r="F533" s="20" t="s">
        <v>1229</v>
      </c>
      <c r="G533" s="9" t="s">
        <v>495</v>
      </c>
      <c r="H533" s="8" t="s">
        <v>394</v>
      </c>
      <c r="I533" s="7" t="s">
        <v>1031</v>
      </c>
    </row>
    <row r="534" spans="1:9" ht="25.5" x14ac:dyDescent="0.35">
      <c r="A534" s="19" t="str">
        <f>HYPERLINK("https://jira.itg.ti.com/browse/JACINTOREQ-139","JACINTOREQ-139")</f>
        <v>JACINTOREQ-139</v>
      </c>
      <c r="B534" s="19" t="str">
        <f>HYPERLINK("https://jira.itg.ti.com/browse/PDK-2406","PDK-2406")</f>
        <v>PDK-2406</v>
      </c>
      <c r="C534" s="18" t="s">
        <v>1012</v>
      </c>
      <c r="D534" s="18" t="s">
        <v>1239</v>
      </c>
      <c r="E534" s="18" t="s">
        <v>1645</v>
      </c>
      <c r="F534" s="20" t="s">
        <v>1229</v>
      </c>
      <c r="G534" s="9" t="s">
        <v>241</v>
      </c>
      <c r="H534" s="8" t="s">
        <v>394</v>
      </c>
      <c r="I534" s="7" t="s">
        <v>1031</v>
      </c>
    </row>
    <row r="535" spans="1:9" x14ac:dyDescent="0.35">
      <c r="A535" s="19" t="str">
        <f>HYPERLINK("https://jira.itg.ti.com/browse/JACINTOREQ-140","JACINTOREQ-140")</f>
        <v>JACINTOREQ-140</v>
      </c>
      <c r="B535" s="19" t="str">
        <f>HYPERLINK("https://jira.itg.ti.com/browse/PDK-2407","PDK-2407")</f>
        <v>PDK-2407</v>
      </c>
      <c r="C535" s="18" t="s">
        <v>888</v>
      </c>
      <c r="D535" s="18" t="s">
        <v>1472</v>
      </c>
      <c r="E535" s="18" t="s">
        <v>1645</v>
      </c>
      <c r="F535" s="22" t="s">
        <v>552</v>
      </c>
      <c r="G535" s="9" t="s">
        <v>1430</v>
      </c>
      <c r="H535" s="12" t="s">
        <v>1241</v>
      </c>
      <c r="I535" s="7" t="s">
        <v>1031</v>
      </c>
    </row>
    <row r="536" spans="1:9" x14ac:dyDescent="0.35">
      <c r="A536" s="19" t="str">
        <f>HYPERLINK("https://jira.itg.ti.com/browse/JACINTOREQ-1405","JACINTOREQ-1405")</f>
        <v>JACINTOREQ-1405</v>
      </c>
      <c r="B536" s="19" t="str">
        <f>HYPERLINK("https://jira.itg.ti.com/browse/PDK-6879","PDK-6879")</f>
        <v>PDK-6879</v>
      </c>
      <c r="C536" s="18" t="s">
        <v>542</v>
      </c>
      <c r="D536" s="18" t="s">
        <v>970</v>
      </c>
      <c r="E536" s="18" t="s">
        <v>1645</v>
      </c>
      <c r="F536" s="20" t="s">
        <v>1229</v>
      </c>
      <c r="G536" s="9" t="s">
        <v>1309</v>
      </c>
      <c r="H536" s="8" t="s">
        <v>394</v>
      </c>
      <c r="I536" s="7" t="s">
        <v>1031</v>
      </c>
    </row>
    <row r="537" spans="1:9" x14ac:dyDescent="0.35">
      <c r="A537" s="19" t="str">
        <f>HYPERLINK("https://jira.itg.ti.com/browse/JACINTOREQ-1405","JACINTOREQ-1405")</f>
        <v>JACINTOREQ-1405</v>
      </c>
      <c r="B537" s="19" t="str">
        <f>HYPERLINK("https://jira.itg.ti.com/browse/PDK-9541","PDK-9541")</f>
        <v>PDK-9541</v>
      </c>
      <c r="C537" s="18" t="s">
        <v>1030</v>
      </c>
      <c r="D537" s="18" t="s">
        <v>970</v>
      </c>
      <c r="E537" s="18" t="s">
        <v>1645</v>
      </c>
      <c r="F537" s="20" t="s">
        <v>1229</v>
      </c>
      <c r="G537" s="9" t="s">
        <v>1309</v>
      </c>
      <c r="H537" s="8" t="s">
        <v>394</v>
      </c>
      <c r="I537" s="7" t="s">
        <v>1031</v>
      </c>
    </row>
    <row r="538" spans="1:9" x14ac:dyDescent="0.35">
      <c r="A538" s="19" t="str">
        <f>HYPERLINK("https://jira.itg.ti.com/browse/JACINTOREQ-141","JACINTOREQ-141")</f>
        <v>JACINTOREQ-141</v>
      </c>
      <c r="B538" s="19" t="str">
        <f>HYPERLINK("https://jira.itg.ti.com/browse/PDK-2408","PDK-2408")</f>
        <v>PDK-2408</v>
      </c>
      <c r="C538" s="18" t="s">
        <v>944</v>
      </c>
      <c r="D538" s="18" t="s">
        <v>603</v>
      </c>
      <c r="E538" s="18" t="s">
        <v>1645</v>
      </c>
      <c r="F538" s="20" t="s">
        <v>1229</v>
      </c>
      <c r="G538" s="9" t="s">
        <v>102</v>
      </c>
      <c r="H538" s="8" t="s">
        <v>394</v>
      </c>
      <c r="I538" s="7" t="s">
        <v>1031</v>
      </c>
    </row>
    <row r="539" spans="1:9" x14ac:dyDescent="0.35">
      <c r="A539" s="19" t="str">
        <f>HYPERLINK("https://jira.itg.ti.com/browse/JACINTOREQ-142","JACINTOREQ-142")</f>
        <v>JACINTOREQ-142</v>
      </c>
      <c r="B539" s="19" t="str">
        <f>HYPERLINK("https://jira.itg.ti.com/browse/PDK-2409","PDK-2409")</f>
        <v>PDK-2409</v>
      </c>
      <c r="C539" s="18" t="s">
        <v>1207</v>
      </c>
      <c r="D539" s="18" t="s">
        <v>1268</v>
      </c>
      <c r="E539" s="18" t="s">
        <v>1645</v>
      </c>
      <c r="F539" s="20" t="s">
        <v>1229</v>
      </c>
      <c r="G539" s="9" t="s">
        <v>489</v>
      </c>
      <c r="H539" s="8" t="s">
        <v>394</v>
      </c>
      <c r="I539" s="7" t="s">
        <v>1031</v>
      </c>
    </row>
    <row r="540" spans="1:9" x14ac:dyDescent="0.35">
      <c r="A540" s="19" t="str">
        <f>HYPERLINK("https://jira.itg.ti.com/browse/JACINTOREQ-1429","JACINTOREQ-1429")</f>
        <v>JACINTOREQ-1429</v>
      </c>
      <c r="B540" s="19" t="str">
        <f>HYPERLINK("https://jira.itg.ti.com/browse/PDK-9678","PDK-9678")</f>
        <v>PDK-9678</v>
      </c>
      <c r="C540" s="18" t="s">
        <v>35</v>
      </c>
      <c r="D540" s="18" t="s">
        <v>970</v>
      </c>
      <c r="E540" s="18" t="s">
        <v>1645</v>
      </c>
      <c r="F540" s="20" t="s">
        <v>1229</v>
      </c>
      <c r="G540" s="9" t="s">
        <v>495</v>
      </c>
      <c r="H540" s="8" t="s">
        <v>394</v>
      </c>
      <c r="I540" s="7" t="s">
        <v>1031</v>
      </c>
    </row>
    <row r="541" spans="1:9" x14ac:dyDescent="0.35">
      <c r="A541" s="19" t="str">
        <f>HYPERLINK("https://jira.itg.ti.com/browse/JACINTOREQ-1429","JACINTOREQ-1429")</f>
        <v>JACINTOREQ-1429</v>
      </c>
      <c r="B541" s="19" t="str">
        <f>HYPERLINK("https://jira.itg.ti.com/browse/PDK-9679","PDK-9679")</f>
        <v>PDK-9679</v>
      </c>
      <c r="C541" s="18" t="s">
        <v>1235</v>
      </c>
      <c r="D541" s="18" t="s">
        <v>970</v>
      </c>
      <c r="E541" s="18" t="s">
        <v>1645</v>
      </c>
      <c r="F541" s="20" t="s">
        <v>1229</v>
      </c>
      <c r="G541" s="9" t="s">
        <v>436</v>
      </c>
      <c r="H541" s="8" t="s">
        <v>394</v>
      </c>
      <c r="I541" s="7" t="s">
        <v>1031</v>
      </c>
    </row>
    <row r="542" spans="1:9" x14ac:dyDescent="0.35">
      <c r="A542" s="19" t="str">
        <f>HYPERLINK("https://jira.itg.ti.com/browse/JACINTOREQ-147","JACINTOREQ-147")</f>
        <v>JACINTOREQ-147</v>
      </c>
      <c r="B542" s="19" t="str">
        <f>HYPERLINK("https://jira.itg.ti.com/browse/PDK-2414","PDK-2414")</f>
        <v>PDK-2414</v>
      </c>
      <c r="C542" s="18" t="s">
        <v>942</v>
      </c>
      <c r="D542" s="18" t="s">
        <v>1239</v>
      </c>
      <c r="E542" s="18" t="s">
        <v>1645</v>
      </c>
      <c r="F542" s="20" t="s">
        <v>1229</v>
      </c>
      <c r="G542" s="9" t="s">
        <v>200</v>
      </c>
      <c r="H542" s="8" t="s">
        <v>394</v>
      </c>
      <c r="I542" s="7" t="s">
        <v>1031</v>
      </c>
    </row>
    <row r="543" spans="1:9" x14ac:dyDescent="0.35">
      <c r="A543" s="19"/>
      <c r="B543" s="19"/>
      <c r="C543" s="18"/>
      <c r="D543" s="18"/>
      <c r="E543" s="18"/>
      <c r="F543" s="20"/>
      <c r="G543" s="10" t="s">
        <v>443</v>
      </c>
      <c r="H543" s="8" t="s">
        <v>394</v>
      </c>
    </row>
    <row r="544" spans="1:9" x14ac:dyDescent="0.35">
      <c r="A544" s="19" t="str">
        <f>HYPERLINK("https://jira.itg.ti.com/browse/JACINTOREQ-148","JACINTOREQ-148")</f>
        <v>JACINTOREQ-148</v>
      </c>
      <c r="B544" s="19" t="str">
        <f>HYPERLINK("https://jira.itg.ti.com/browse/PDK-2415","PDK-2415")</f>
        <v>PDK-2415</v>
      </c>
      <c r="C544" s="18" t="s">
        <v>1362</v>
      </c>
      <c r="D544" s="18" t="s">
        <v>1268</v>
      </c>
      <c r="E544" s="18" t="s">
        <v>1645</v>
      </c>
      <c r="F544" s="21" t="s">
        <v>419</v>
      </c>
      <c r="G544" s="9" t="s">
        <v>52</v>
      </c>
      <c r="H544" s="8" t="s">
        <v>394</v>
      </c>
      <c r="I544" s="7" t="s">
        <v>1031</v>
      </c>
    </row>
    <row r="545" spans="1:9" x14ac:dyDescent="0.35">
      <c r="A545" s="14"/>
      <c r="B545" s="14"/>
      <c r="C545" s="14"/>
      <c r="D545" s="14"/>
      <c r="E545" s="14"/>
      <c r="F545" s="14"/>
      <c r="G545" s="10" t="s">
        <v>1562</v>
      </c>
      <c r="H545" s="8" t="s">
        <v>394</v>
      </c>
    </row>
    <row r="546" spans="1:9" x14ac:dyDescent="0.35">
      <c r="A546" s="14"/>
      <c r="B546" s="14"/>
      <c r="C546" s="14"/>
      <c r="D546" s="14"/>
      <c r="E546" s="14"/>
      <c r="F546" s="14"/>
      <c r="G546" s="10" t="s">
        <v>1177</v>
      </c>
      <c r="H546" s="8" t="s">
        <v>394</v>
      </c>
    </row>
    <row r="547" spans="1:9" x14ac:dyDescent="0.35">
      <c r="A547" s="14"/>
      <c r="B547" s="14"/>
      <c r="C547" s="14"/>
      <c r="D547" s="14"/>
      <c r="E547" s="14"/>
      <c r="F547" s="14"/>
      <c r="G547" s="10" t="s">
        <v>994</v>
      </c>
      <c r="H547" s="8" t="s">
        <v>394</v>
      </c>
    </row>
    <row r="548" spans="1:9" x14ac:dyDescent="0.35">
      <c r="A548" s="19"/>
      <c r="B548" s="19"/>
      <c r="C548" s="18"/>
      <c r="D548" s="18"/>
      <c r="E548" s="18"/>
      <c r="F548" s="21"/>
      <c r="G548" s="10" t="s">
        <v>937</v>
      </c>
      <c r="H548" s="11" t="s">
        <v>313</v>
      </c>
    </row>
    <row r="549" spans="1:9" x14ac:dyDescent="0.35">
      <c r="A549" s="19" t="str">
        <f>HYPERLINK("https://jira.itg.ti.com/browse/JACINTOREQ-1488","JACINTOREQ-1488")</f>
        <v>JACINTOREQ-1488</v>
      </c>
      <c r="B549" s="19" t="str">
        <f>HYPERLINK("https://jira.itg.ti.com/browse/PDK-10290","PDK-10290")</f>
        <v>PDK-10290</v>
      </c>
      <c r="C549" s="18" t="s">
        <v>473</v>
      </c>
      <c r="D549" s="18" t="s">
        <v>970</v>
      </c>
      <c r="E549" s="18" t="s">
        <v>1645</v>
      </c>
      <c r="F549" s="20" t="s">
        <v>1229</v>
      </c>
      <c r="G549" s="9" t="s">
        <v>495</v>
      </c>
      <c r="H549" s="8" t="s">
        <v>394</v>
      </c>
      <c r="I549" s="7" t="s">
        <v>1031</v>
      </c>
    </row>
    <row r="550" spans="1:9" x14ac:dyDescent="0.35">
      <c r="A550" s="19" t="str">
        <f>HYPERLINK("https://jira.itg.ti.com/browse/JACINTOREQ-149","JACINTOREQ-149")</f>
        <v>JACINTOREQ-149</v>
      </c>
      <c r="B550" s="19" t="str">
        <f>HYPERLINK("https://jira.itg.ti.com/browse/PDK-2416","PDK-2416")</f>
        <v>PDK-2416</v>
      </c>
      <c r="C550" s="18" t="s">
        <v>1047</v>
      </c>
      <c r="D550" s="18" t="s">
        <v>1472</v>
      </c>
      <c r="E550" s="18" t="s">
        <v>1645</v>
      </c>
      <c r="F550" s="20" t="s">
        <v>1229</v>
      </c>
      <c r="G550" s="9" t="s">
        <v>1559</v>
      </c>
      <c r="H550" s="8" t="s">
        <v>394</v>
      </c>
      <c r="I550" s="7" t="s">
        <v>1031</v>
      </c>
    </row>
    <row r="551" spans="1:9" x14ac:dyDescent="0.35">
      <c r="A551" s="19" t="str">
        <f>HYPERLINK("https://jira.itg.ti.com/browse/JACINTOREQ-150","JACINTOREQ-150")</f>
        <v>JACINTOREQ-150</v>
      </c>
      <c r="B551" s="19" t="str">
        <f>HYPERLINK("https://jira.itg.ti.com/browse/PDK-2757","PDK-2757")</f>
        <v>PDK-2757</v>
      </c>
      <c r="C551" s="18" t="s">
        <v>961</v>
      </c>
      <c r="D551" s="18" t="s">
        <v>692</v>
      </c>
      <c r="E551" s="18" t="s">
        <v>1645</v>
      </c>
      <c r="F551" s="20" t="s">
        <v>1229</v>
      </c>
      <c r="G551" s="9" t="s">
        <v>495</v>
      </c>
      <c r="H551" s="8" t="s">
        <v>394</v>
      </c>
      <c r="I551" s="7" t="s">
        <v>1031</v>
      </c>
    </row>
    <row r="552" spans="1:9" x14ac:dyDescent="0.35">
      <c r="A552" s="18" t="s">
        <v>435</v>
      </c>
      <c r="B552" s="19" t="str">
        <f>HYPERLINK("https://jira.itg.ti.com/browse/PDK-2417","PDK-2417")</f>
        <v>PDK-2417</v>
      </c>
      <c r="C552" s="18" t="s">
        <v>875</v>
      </c>
      <c r="D552" s="18" t="s">
        <v>1472</v>
      </c>
      <c r="E552" s="18" t="s">
        <v>1645</v>
      </c>
      <c r="F552" s="21" t="s">
        <v>419</v>
      </c>
      <c r="G552" s="9" t="s">
        <v>1343</v>
      </c>
      <c r="H552" s="11" t="s">
        <v>711</v>
      </c>
      <c r="I552" s="7" t="s">
        <v>1031</v>
      </c>
    </row>
    <row r="553" spans="1:9" x14ac:dyDescent="0.35">
      <c r="A553" s="18"/>
      <c r="B553" s="19"/>
      <c r="C553" s="18"/>
      <c r="D553" s="18"/>
      <c r="E553" s="18"/>
      <c r="F553" s="21"/>
      <c r="G553" s="10" t="s">
        <v>405</v>
      </c>
      <c r="H553" s="8" t="s">
        <v>394</v>
      </c>
    </row>
    <row r="554" spans="1:9" x14ac:dyDescent="0.35">
      <c r="A554" s="19" t="str">
        <f>HYPERLINK("https://jira.itg.ti.com/browse/JACINTOREQ-151","JACINTOREQ-151")</f>
        <v>JACINTOREQ-151</v>
      </c>
      <c r="B554" s="19" t="str">
        <f>HYPERLINK("https://jira.itg.ti.com/browse/PDK-2418","PDK-2418")</f>
        <v>PDK-2418</v>
      </c>
      <c r="C554" s="18" t="s">
        <v>626</v>
      </c>
      <c r="D554" s="18" t="s">
        <v>1472</v>
      </c>
      <c r="E554" s="18" t="s">
        <v>1645</v>
      </c>
      <c r="F554" s="20" t="s">
        <v>1229</v>
      </c>
      <c r="G554" s="9" t="s">
        <v>997</v>
      </c>
      <c r="H554" s="8" t="s">
        <v>394</v>
      </c>
      <c r="I554" s="7" t="s">
        <v>1031</v>
      </c>
    </row>
    <row r="555" spans="1:9" x14ac:dyDescent="0.35">
      <c r="A555" s="19" t="str">
        <f>HYPERLINK("https://jira.itg.ti.com/browse/JACINTOREQ-153","JACINTOREQ-153")</f>
        <v>JACINTOREQ-153</v>
      </c>
      <c r="B555" s="19" t="str">
        <f>HYPERLINK("https://jira.itg.ti.com/browse/PDK-2420","PDK-2420")</f>
        <v>PDK-2420</v>
      </c>
      <c r="C555" s="18" t="s">
        <v>1331</v>
      </c>
      <c r="D555" s="18" t="s">
        <v>467</v>
      </c>
      <c r="E555" s="18" t="s">
        <v>1645</v>
      </c>
      <c r="F555" s="20" t="s">
        <v>1229</v>
      </c>
      <c r="G555" s="9" t="s">
        <v>1036</v>
      </c>
      <c r="H555" s="8" t="s">
        <v>394</v>
      </c>
      <c r="I555" s="7" t="s">
        <v>1031</v>
      </c>
    </row>
    <row r="556" spans="1:9" x14ac:dyDescent="0.35">
      <c r="A556" s="19" t="str">
        <f>HYPERLINK("https://jira.itg.ti.com/browse/JACINTOREQ-153","JACINTOREQ-153")</f>
        <v>JACINTOREQ-153</v>
      </c>
      <c r="B556" s="19" t="str">
        <f>HYPERLINK("https://jira.itg.ti.com/browse/PDK-2422","PDK-2422")</f>
        <v>PDK-2422</v>
      </c>
      <c r="C556" s="18" t="s">
        <v>1034</v>
      </c>
      <c r="D556" s="18" t="s">
        <v>1301</v>
      </c>
      <c r="E556" s="18" t="s">
        <v>1645</v>
      </c>
      <c r="F556" s="20" t="s">
        <v>1229</v>
      </c>
      <c r="G556" s="9" t="s">
        <v>495</v>
      </c>
      <c r="H556" s="8" t="s">
        <v>394</v>
      </c>
      <c r="I556" s="7" t="s">
        <v>1031</v>
      </c>
    </row>
    <row r="557" spans="1:9" x14ac:dyDescent="0.35">
      <c r="A557" s="19" t="str">
        <f>HYPERLINK("https://jira.itg.ti.com/browse/JACINTOREQ-153","JACINTOREQ-153")</f>
        <v>JACINTOREQ-153</v>
      </c>
      <c r="B557" s="19" t="str">
        <f>HYPERLINK("https://jira.itg.ti.com/browse/PDK-2423","PDK-2423")</f>
        <v>PDK-2423</v>
      </c>
      <c r="C557" s="18" t="s">
        <v>768</v>
      </c>
      <c r="D557" s="18" t="s">
        <v>467</v>
      </c>
      <c r="E557" s="18" t="s">
        <v>1645</v>
      </c>
      <c r="F557" s="20" t="s">
        <v>1229</v>
      </c>
      <c r="G557" s="9" t="s">
        <v>1036</v>
      </c>
      <c r="H557" s="8" t="s">
        <v>394</v>
      </c>
      <c r="I557" s="7" t="s">
        <v>1031</v>
      </c>
    </row>
    <row r="558" spans="1:9" x14ac:dyDescent="0.35">
      <c r="A558" s="19" t="str">
        <f>HYPERLINK("https://jira.itg.ti.com/browse/JACINTOREQ-154","JACINTOREQ-154")</f>
        <v>JACINTOREQ-154</v>
      </c>
      <c r="B558" s="19" t="str">
        <f>HYPERLINK("https://jira.itg.ti.com/browse/PDK-2424","PDK-2424")</f>
        <v>PDK-2424</v>
      </c>
      <c r="C558" s="18" t="s">
        <v>1020</v>
      </c>
      <c r="D558" s="18" t="s">
        <v>467</v>
      </c>
      <c r="E558" s="18" t="s">
        <v>1645</v>
      </c>
      <c r="F558" s="20" t="s">
        <v>1229</v>
      </c>
      <c r="G558" s="9" t="s">
        <v>1143</v>
      </c>
      <c r="H558" s="8" t="s">
        <v>394</v>
      </c>
      <c r="I558" s="7" t="s">
        <v>1031</v>
      </c>
    </row>
    <row r="559" spans="1:9" x14ac:dyDescent="0.35">
      <c r="A559" s="19" t="str">
        <f>HYPERLINK("https://jira.itg.ti.com/browse/JACINTOREQ-156","JACINTOREQ-156")</f>
        <v>JACINTOREQ-156</v>
      </c>
      <c r="B559" s="19" t="str">
        <f>HYPERLINK("https://jira.itg.ti.com/browse/PDK-2426","PDK-2426")</f>
        <v>PDK-2426</v>
      </c>
      <c r="C559" s="18" t="s">
        <v>847</v>
      </c>
      <c r="D559" s="18" t="s">
        <v>1472</v>
      </c>
      <c r="E559" s="18" t="s">
        <v>1645</v>
      </c>
      <c r="F559" s="20" t="s">
        <v>1229</v>
      </c>
      <c r="G559" s="9" t="s">
        <v>495</v>
      </c>
      <c r="H559" s="8" t="s">
        <v>394</v>
      </c>
      <c r="I559" s="7" t="s">
        <v>1031</v>
      </c>
    </row>
    <row r="560" spans="1:9" x14ac:dyDescent="0.35">
      <c r="A560" s="19" t="str">
        <f>HYPERLINK("https://jira.itg.ti.com/browse/JACINTOREQ-157","JACINTOREQ-157")</f>
        <v>JACINTOREQ-157</v>
      </c>
      <c r="B560" s="19" t="str">
        <f>HYPERLINK("https://jira.itg.ti.com/browse/PDK-2427","PDK-2427")</f>
        <v>PDK-2427</v>
      </c>
      <c r="C560" s="18" t="s">
        <v>848</v>
      </c>
      <c r="D560" s="18" t="s">
        <v>1472</v>
      </c>
      <c r="E560" s="18" t="s">
        <v>1645</v>
      </c>
      <c r="F560" s="20" t="s">
        <v>1229</v>
      </c>
      <c r="G560" s="9" t="s">
        <v>1567</v>
      </c>
      <c r="H560" s="8" t="s">
        <v>394</v>
      </c>
      <c r="I560" s="7" t="s">
        <v>1031</v>
      </c>
    </row>
    <row r="561" spans="1:9" x14ac:dyDescent="0.35">
      <c r="A561" s="19" t="str">
        <f>HYPERLINK("https://jira.itg.ti.com/browse/JACINTOREQ-158","JACINTOREQ-158")</f>
        <v>JACINTOREQ-158</v>
      </c>
      <c r="B561" s="19" t="str">
        <f>HYPERLINK("https://jira.itg.ti.com/browse/PDK-2428","PDK-2428")</f>
        <v>PDK-2428</v>
      </c>
      <c r="C561" s="18" t="s">
        <v>1524</v>
      </c>
      <c r="D561" s="18" t="s">
        <v>1472</v>
      </c>
      <c r="E561" s="18" t="s">
        <v>1645</v>
      </c>
      <c r="F561" s="20" t="s">
        <v>1229</v>
      </c>
      <c r="G561" s="9" t="s">
        <v>965</v>
      </c>
      <c r="H561" s="8" t="s">
        <v>394</v>
      </c>
      <c r="I561" s="7" t="s">
        <v>1031</v>
      </c>
    </row>
    <row r="562" spans="1:9" x14ac:dyDescent="0.35">
      <c r="A562" s="19" t="str">
        <f>HYPERLINK("https://jira.itg.ti.com/browse/JACINTOREQ-159","JACINTOREQ-159")</f>
        <v>JACINTOREQ-159</v>
      </c>
      <c r="B562" s="19" t="str">
        <f>HYPERLINK("https://jira.itg.ti.com/browse/PDK-2429","PDK-2429")</f>
        <v>PDK-2429</v>
      </c>
      <c r="C562" s="18" t="s">
        <v>264</v>
      </c>
      <c r="D562" s="18" t="s">
        <v>1472</v>
      </c>
      <c r="E562" s="18" t="s">
        <v>1645</v>
      </c>
      <c r="F562" s="20" t="s">
        <v>1229</v>
      </c>
      <c r="G562" s="9" t="s">
        <v>164</v>
      </c>
      <c r="H562" s="8" t="s">
        <v>394</v>
      </c>
      <c r="I562" s="7" t="s">
        <v>1031</v>
      </c>
    </row>
    <row r="563" spans="1:9" x14ac:dyDescent="0.35">
      <c r="A563" s="19"/>
      <c r="B563" s="19"/>
      <c r="C563" s="18"/>
      <c r="D563" s="18"/>
      <c r="E563" s="18"/>
      <c r="F563" s="20"/>
      <c r="G563" s="10" t="s">
        <v>349</v>
      </c>
      <c r="H563" s="8" t="s">
        <v>394</v>
      </c>
    </row>
    <row r="564" spans="1:9" x14ac:dyDescent="0.35">
      <c r="A564" s="19" t="str">
        <f>HYPERLINK("https://jira.itg.ti.com/browse/JACINTOREQ-160","JACINTOREQ-160")</f>
        <v>JACINTOREQ-160</v>
      </c>
      <c r="B564" s="19" t="str">
        <f>HYPERLINK("https://jira.itg.ti.com/browse/PDK-2430","PDK-2430")</f>
        <v>PDK-2430</v>
      </c>
      <c r="C564" s="18" t="s">
        <v>1308</v>
      </c>
      <c r="D564" s="18" t="s">
        <v>1268</v>
      </c>
      <c r="E564" s="18" t="s">
        <v>1645</v>
      </c>
      <c r="F564" s="20" t="s">
        <v>1229</v>
      </c>
      <c r="G564" s="9" t="s">
        <v>242</v>
      </c>
      <c r="H564" s="8" t="s">
        <v>394</v>
      </c>
      <c r="I564" s="7" t="s">
        <v>1031</v>
      </c>
    </row>
    <row r="565" spans="1:9" x14ac:dyDescent="0.35">
      <c r="A565" s="19" t="str">
        <f>HYPERLINK("https://jira.itg.ti.com/browse/JACINTOREQ-161","JACINTOREQ-161")</f>
        <v>JACINTOREQ-161</v>
      </c>
      <c r="B565" s="19" t="str">
        <f>HYPERLINK("https://jira.itg.ti.com/browse/PDK-2431","PDK-2431")</f>
        <v>PDK-2431</v>
      </c>
      <c r="C565" s="18" t="s">
        <v>206</v>
      </c>
      <c r="D565" s="18" t="s">
        <v>1268</v>
      </c>
      <c r="E565" s="18" t="s">
        <v>1645</v>
      </c>
      <c r="F565" s="20" t="s">
        <v>1229</v>
      </c>
      <c r="G565" s="9" t="s">
        <v>495</v>
      </c>
      <c r="H565" s="8" t="s">
        <v>394</v>
      </c>
      <c r="I565" s="7" t="s">
        <v>1031</v>
      </c>
    </row>
    <row r="566" spans="1:9" x14ac:dyDescent="0.35">
      <c r="A566" s="19" t="str">
        <f>HYPERLINK("https://jira.itg.ti.com/browse/JACINTOREQ-163","JACINTOREQ-163")</f>
        <v>JACINTOREQ-163</v>
      </c>
      <c r="B566" s="19" t="str">
        <f>HYPERLINK("https://jira.itg.ti.com/browse/PDK-2433","PDK-2433")</f>
        <v>PDK-2433</v>
      </c>
      <c r="C566" s="18" t="s">
        <v>922</v>
      </c>
      <c r="D566" s="18" t="s">
        <v>1472</v>
      </c>
      <c r="E566" s="18" t="s">
        <v>1645</v>
      </c>
      <c r="F566" s="20" t="s">
        <v>1229</v>
      </c>
      <c r="G566" s="9" t="s">
        <v>495</v>
      </c>
      <c r="H566" s="8" t="s">
        <v>394</v>
      </c>
      <c r="I566" s="7" t="s">
        <v>1031</v>
      </c>
    </row>
    <row r="567" spans="1:9" x14ac:dyDescent="0.35">
      <c r="A567" s="19"/>
      <c r="B567" s="19"/>
      <c r="C567" s="18"/>
      <c r="D567" s="18"/>
      <c r="E567" s="18"/>
      <c r="F567" s="20"/>
      <c r="G567" s="10" t="s">
        <v>101</v>
      </c>
      <c r="H567" s="8" t="s">
        <v>394</v>
      </c>
    </row>
    <row r="568" spans="1:9" x14ac:dyDescent="0.35">
      <c r="A568" s="19" t="str">
        <f>HYPERLINK("https://jira.itg.ti.com/browse/JACINTOREQ-164","JACINTOREQ-164")</f>
        <v>JACINTOREQ-164</v>
      </c>
      <c r="B568" s="19" t="str">
        <f>HYPERLINK("https://jira.itg.ti.com/browse/PDK-2434","PDK-2434")</f>
        <v>PDK-2434</v>
      </c>
      <c r="C568" s="18" t="s">
        <v>351</v>
      </c>
      <c r="D568" s="18" t="s">
        <v>467</v>
      </c>
      <c r="E568" s="18" t="s">
        <v>1645</v>
      </c>
      <c r="F568" s="20" t="s">
        <v>1229</v>
      </c>
      <c r="G568" s="9" t="s">
        <v>1405</v>
      </c>
      <c r="H568" s="8" t="s">
        <v>394</v>
      </c>
      <c r="I568" s="7" t="s">
        <v>1031</v>
      </c>
    </row>
    <row r="569" spans="1:9" x14ac:dyDescent="0.35">
      <c r="A569" s="19" t="str">
        <f>HYPERLINK("https://jira.itg.ti.com/browse/JACINTOREQ-165","JACINTOREQ-165")</f>
        <v>JACINTOREQ-165</v>
      </c>
      <c r="B569" s="19" t="str">
        <f>HYPERLINK("https://jira.itg.ti.com/browse/PDK-2435","PDK-2435")</f>
        <v>PDK-2435</v>
      </c>
      <c r="C569" s="18" t="s">
        <v>951</v>
      </c>
      <c r="D569" s="18" t="s">
        <v>467</v>
      </c>
      <c r="E569" s="18" t="s">
        <v>1645</v>
      </c>
      <c r="F569" s="20" t="s">
        <v>1229</v>
      </c>
      <c r="G569" s="9" t="s">
        <v>495</v>
      </c>
      <c r="H569" s="8" t="s">
        <v>394</v>
      </c>
      <c r="I569" s="7" t="s">
        <v>1031</v>
      </c>
    </row>
    <row r="570" spans="1:9" x14ac:dyDescent="0.35">
      <c r="A570" s="19" t="str">
        <f>HYPERLINK("https://jira.itg.ti.com/browse/JACINTOREQ-166","JACINTOREQ-166")</f>
        <v>JACINTOREQ-166</v>
      </c>
      <c r="B570" s="19" t="str">
        <f>HYPERLINK("https://jira.itg.ti.com/browse/PDK-2436","PDK-2436")</f>
        <v>PDK-2436</v>
      </c>
      <c r="C570" s="18" t="s">
        <v>361</v>
      </c>
      <c r="D570" s="18" t="s">
        <v>1239</v>
      </c>
      <c r="E570" s="18" t="s">
        <v>1645</v>
      </c>
      <c r="F570" s="20" t="s">
        <v>1229</v>
      </c>
      <c r="G570" s="9" t="s">
        <v>200</v>
      </c>
      <c r="H570" s="8" t="s">
        <v>394</v>
      </c>
      <c r="I570" s="7" t="s">
        <v>1031</v>
      </c>
    </row>
    <row r="571" spans="1:9" x14ac:dyDescent="0.35">
      <c r="A571" s="19" t="str">
        <f>HYPERLINK("https://jira.itg.ti.com/browse/JACINTOREQ-166","JACINTOREQ-166")</f>
        <v>JACINTOREQ-166</v>
      </c>
      <c r="B571" s="19" t="str">
        <f>HYPERLINK("https://jira.itg.ti.com/browse/PDK-2437","PDK-2437")</f>
        <v>PDK-2437</v>
      </c>
      <c r="C571" s="18" t="s">
        <v>1449</v>
      </c>
      <c r="D571" s="18" t="s">
        <v>467</v>
      </c>
      <c r="E571" s="18" t="s">
        <v>1645</v>
      </c>
      <c r="F571" s="20" t="s">
        <v>1229</v>
      </c>
      <c r="G571" s="9" t="s">
        <v>200</v>
      </c>
      <c r="H571" s="8" t="s">
        <v>394</v>
      </c>
      <c r="I571" s="7" t="s">
        <v>1031</v>
      </c>
    </row>
    <row r="572" spans="1:9" x14ac:dyDescent="0.35">
      <c r="A572" s="19" t="str">
        <f>HYPERLINK("https://jira.itg.ti.com/browse/JACINTOREQ-166","JACINTOREQ-166")</f>
        <v>JACINTOREQ-166</v>
      </c>
      <c r="B572" s="19" t="str">
        <f>HYPERLINK("https://jira.itg.ti.com/browse/PDK-2438","PDK-2438")</f>
        <v>PDK-2438</v>
      </c>
      <c r="C572" s="18" t="s">
        <v>228</v>
      </c>
      <c r="D572" s="18" t="s">
        <v>467</v>
      </c>
      <c r="E572" s="18" t="s">
        <v>1645</v>
      </c>
      <c r="F572" s="20" t="s">
        <v>1229</v>
      </c>
      <c r="G572" s="9" t="s">
        <v>200</v>
      </c>
      <c r="H572" s="8" t="s">
        <v>394</v>
      </c>
      <c r="I572" s="7" t="s">
        <v>1031</v>
      </c>
    </row>
    <row r="573" spans="1:9" x14ac:dyDescent="0.35">
      <c r="A573" s="19" t="str">
        <f>HYPERLINK("https://jira.itg.ti.com/browse/JACINTOREQ-166","JACINTOREQ-166")</f>
        <v>JACINTOREQ-166</v>
      </c>
      <c r="B573" s="19" t="str">
        <f>HYPERLINK("https://jira.itg.ti.com/browse/PDK-2439","PDK-2439")</f>
        <v>PDK-2439</v>
      </c>
      <c r="C573" s="18" t="s">
        <v>656</v>
      </c>
      <c r="D573" s="18" t="s">
        <v>467</v>
      </c>
      <c r="E573" s="18" t="s">
        <v>1645</v>
      </c>
      <c r="F573" s="20" t="s">
        <v>1229</v>
      </c>
      <c r="G573" s="9" t="s">
        <v>200</v>
      </c>
      <c r="H573" s="8" t="s">
        <v>394</v>
      </c>
      <c r="I573" s="7" t="s">
        <v>1031</v>
      </c>
    </row>
    <row r="574" spans="1:9" x14ac:dyDescent="0.35">
      <c r="A574" s="19" t="str">
        <f>HYPERLINK("https://jira.itg.ti.com/browse/JACINTOREQ-166","JACINTOREQ-166")</f>
        <v>JACINTOREQ-166</v>
      </c>
      <c r="B574" s="19" t="str">
        <f>HYPERLINK("https://jira.itg.ti.com/browse/PDK-2440","PDK-2440")</f>
        <v>PDK-2440</v>
      </c>
      <c r="C574" s="18" t="s">
        <v>1680</v>
      </c>
      <c r="D574" s="18" t="s">
        <v>467</v>
      </c>
      <c r="E574" s="18" t="s">
        <v>1645</v>
      </c>
      <c r="F574" s="20" t="s">
        <v>1229</v>
      </c>
      <c r="G574" s="9" t="s">
        <v>200</v>
      </c>
      <c r="H574" s="8" t="s">
        <v>394</v>
      </c>
      <c r="I574" s="7" t="s">
        <v>1031</v>
      </c>
    </row>
    <row r="575" spans="1:9" x14ac:dyDescent="0.35">
      <c r="A575" s="19" t="str">
        <f>HYPERLINK("https://jira.itg.ti.com/browse/JACINTOREQ-167","JACINTOREQ-167")</f>
        <v>JACINTOREQ-167</v>
      </c>
      <c r="B575" s="19" t="str">
        <f>HYPERLINK("https://jira.itg.ti.com/browse/PDK-2441","PDK-2441")</f>
        <v>PDK-2441</v>
      </c>
      <c r="C575" s="18" t="s">
        <v>1101</v>
      </c>
      <c r="D575" s="18" t="s">
        <v>467</v>
      </c>
      <c r="E575" s="18" t="s">
        <v>1645</v>
      </c>
      <c r="F575" s="20" t="s">
        <v>1229</v>
      </c>
      <c r="G575" s="9" t="s">
        <v>273</v>
      </c>
      <c r="H575" s="8" t="s">
        <v>394</v>
      </c>
      <c r="I575" s="7" t="s">
        <v>1031</v>
      </c>
    </row>
    <row r="576" spans="1:9" x14ac:dyDescent="0.35">
      <c r="A576" s="19" t="str">
        <f>HYPERLINK("https://jira.itg.ti.com/browse/JACINTOREQ-168","JACINTOREQ-168")</f>
        <v>JACINTOREQ-168</v>
      </c>
      <c r="B576" s="19" t="str">
        <f>HYPERLINK("https://jira.itg.ti.com/browse/PDK-2442","PDK-2442")</f>
        <v>PDK-2442</v>
      </c>
      <c r="C576" s="18" t="s">
        <v>1586</v>
      </c>
      <c r="D576" s="18" t="s">
        <v>1268</v>
      </c>
      <c r="E576" s="18" t="s">
        <v>1645</v>
      </c>
      <c r="F576" s="20" t="s">
        <v>1229</v>
      </c>
      <c r="G576" s="9" t="s">
        <v>495</v>
      </c>
      <c r="H576" s="8" t="s">
        <v>394</v>
      </c>
      <c r="I576" s="7" t="s">
        <v>1031</v>
      </c>
    </row>
    <row r="577" spans="1:9" x14ac:dyDescent="0.35">
      <c r="A577" s="19" t="str">
        <f>HYPERLINK("https://jira.itg.ti.com/browse/JACINTOREQ-169","JACINTOREQ-169")</f>
        <v>JACINTOREQ-169</v>
      </c>
      <c r="B577" s="19" t="str">
        <f>HYPERLINK("https://jira.itg.ti.com/browse/PDK-2443","PDK-2443")</f>
        <v>PDK-2443</v>
      </c>
      <c r="C577" s="18" t="s">
        <v>1355</v>
      </c>
      <c r="D577" s="18" t="s">
        <v>1472</v>
      </c>
      <c r="E577" s="18" t="s">
        <v>1645</v>
      </c>
      <c r="F577" s="20" t="s">
        <v>1229</v>
      </c>
      <c r="G577" s="9" t="s">
        <v>364</v>
      </c>
      <c r="H577" s="8" t="s">
        <v>394</v>
      </c>
      <c r="I577" s="7" t="s">
        <v>1031</v>
      </c>
    </row>
    <row r="578" spans="1:9" x14ac:dyDescent="0.35">
      <c r="A578" s="19" t="str">
        <f>HYPERLINK("https://jira.itg.ti.com/browse/JACINTOREQ-170","JACINTOREQ-170")</f>
        <v>JACINTOREQ-170</v>
      </c>
      <c r="B578" s="19" t="str">
        <f>HYPERLINK("https://jira.itg.ti.com/browse/PDK-2444","PDK-2444")</f>
        <v>PDK-2444</v>
      </c>
      <c r="C578" s="18" t="s">
        <v>1298</v>
      </c>
      <c r="D578" s="18" t="s">
        <v>1472</v>
      </c>
      <c r="E578" s="18" t="s">
        <v>1645</v>
      </c>
      <c r="F578" s="20" t="s">
        <v>1229</v>
      </c>
      <c r="G578" s="9" t="s">
        <v>1511</v>
      </c>
      <c r="H578" s="8" t="s">
        <v>394</v>
      </c>
      <c r="I578" s="7" t="s">
        <v>1031</v>
      </c>
    </row>
    <row r="579" spans="1:9" x14ac:dyDescent="0.35">
      <c r="A579" s="19" t="str">
        <f>HYPERLINK("https://jira.itg.ti.com/browse/JACINTOREQ-174","JACINTOREQ-174")</f>
        <v>JACINTOREQ-174</v>
      </c>
      <c r="B579" s="19" t="str">
        <f>HYPERLINK("https://jira.itg.ti.com/browse/PDK-2450","PDK-2450")</f>
        <v>PDK-2450</v>
      </c>
      <c r="C579" s="18" t="s">
        <v>688</v>
      </c>
      <c r="D579" s="18" t="s">
        <v>1472</v>
      </c>
      <c r="E579" s="18" t="s">
        <v>1645</v>
      </c>
      <c r="F579" s="20" t="s">
        <v>1229</v>
      </c>
      <c r="G579" s="9" t="s">
        <v>495</v>
      </c>
      <c r="H579" s="8" t="s">
        <v>394</v>
      </c>
      <c r="I579" s="7" t="s">
        <v>1031</v>
      </c>
    </row>
    <row r="580" spans="1:9" x14ac:dyDescent="0.35">
      <c r="A580" s="19" t="str">
        <f>HYPERLINK("https://jira.itg.ti.com/browse/JACINTOREQ-175","JACINTOREQ-175")</f>
        <v>JACINTOREQ-175</v>
      </c>
      <c r="B580" s="19" t="str">
        <f>HYPERLINK("https://jira.itg.ti.com/browse/PDK-2456","PDK-2456")</f>
        <v>PDK-2456</v>
      </c>
      <c r="C580" s="18" t="s">
        <v>115</v>
      </c>
      <c r="D580" s="18" t="s">
        <v>245</v>
      </c>
      <c r="E580" s="18" t="s">
        <v>1645</v>
      </c>
      <c r="F580" s="20" t="s">
        <v>1229</v>
      </c>
      <c r="G580" s="9" t="s">
        <v>127</v>
      </c>
      <c r="H580" s="8" t="s">
        <v>394</v>
      </c>
      <c r="I580" s="7" t="s">
        <v>1031</v>
      </c>
    </row>
    <row r="581" spans="1:9" ht="25.5" x14ac:dyDescent="0.35">
      <c r="A581" s="14"/>
      <c r="B581" s="14"/>
      <c r="C581" s="14"/>
      <c r="D581" s="14"/>
      <c r="E581" s="14"/>
      <c r="F581" s="14"/>
      <c r="G581" s="10" t="s">
        <v>1084</v>
      </c>
      <c r="H581" s="8" t="s">
        <v>394</v>
      </c>
    </row>
    <row r="582" spans="1:9" x14ac:dyDescent="0.35">
      <c r="A582" s="14"/>
      <c r="B582" s="14"/>
      <c r="C582" s="14"/>
      <c r="D582" s="14"/>
      <c r="E582" s="14"/>
      <c r="F582" s="14"/>
      <c r="G582" s="10" t="s">
        <v>1273</v>
      </c>
      <c r="H582" s="8" t="s">
        <v>394</v>
      </c>
    </row>
    <row r="583" spans="1:9" ht="25.5" x14ac:dyDescent="0.35">
      <c r="A583" s="14"/>
      <c r="B583" s="14"/>
      <c r="C583" s="14"/>
      <c r="D583" s="14"/>
      <c r="E583" s="14"/>
      <c r="F583" s="14"/>
      <c r="G583" s="10" t="s">
        <v>1227</v>
      </c>
      <c r="H583" s="8" t="s">
        <v>394</v>
      </c>
    </row>
    <row r="584" spans="1:9" x14ac:dyDescent="0.35">
      <c r="A584" s="19"/>
      <c r="B584" s="19"/>
      <c r="C584" s="18"/>
      <c r="D584" s="18"/>
      <c r="E584" s="18"/>
      <c r="F584" s="20"/>
      <c r="G584" s="10" t="s">
        <v>1432</v>
      </c>
      <c r="H584" s="8" t="s">
        <v>394</v>
      </c>
    </row>
    <row r="585" spans="1:9" x14ac:dyDescent="0.35">
      <c r="A585" s="19" t="str">
        <f>HYPERLINK("https://jira.itg.ti.com/browse/JACINTOREQ-176","JACINTOREQ-176")</f>
        <v>JACINTOREQ-176</v>
      </c>
      <c r="B585" s="19" t="str">
        <f>HYPERLINK("https://jira.itg.ti.com/browse/PDK-2457","PDK-2457")</f>
        <v>PDK-2457</v>
      </c>
      <c r="C585" s="18" t="s">
        <v>890</v>
      </c>
      <c r="D585" s="18" t="s">
        <v>245</v>
      </c>
      <c r="E585" s="18" t="s">
        <v>1645</v>
      </c>
      <c r="F585" s="20" t="s">
        <v>1229</v>
      </c>
      <c r="G585" s="9" t="s">
        <v>127</v>
      </c>
      <c r="H585" s="8" t="s">
        <v>394</v>
      </c>
      <c r="I585" s="7" t="s">
        <v>1031</v>
      </c>
    </row>
    <row r="586" spans="1:9" ht="25.5" x14ac:dyDescent="0.35">
      <c r="A586" s="14"/>
      <c r="B586" s="14"/>
      <c r="C586" s="14"/>
      <c r="D586" s="14"/>
      <c r="E586" s="14"/>
      <c r="F586" s="14"/>
      <c r="G586" s="10" t="s">
        <v>1084</v>
      </c>
      <c r="H586" s="8" t="s">
        <v>394</v>
      </c>
    </row>
    <row r="587" spans="1:9" x14ac:dyDescent="0.35">
      <c r="A587" s="14"/>
      <c r="B587" s="14"/>
      <c r="C587" s="14"/>
      <c r="D587" s="14"/>
      <c r="E587" s="14"/>
      <c r="F587" s="14"/>
      <c r="G587" s="10" t="s">
        <v>1273</v>
      </c>
      <c r="H587" s="8" t="s">
        <v>394</v>
      </c>
    </row>
    <row r="588" spans="1:9" ht="25.5" x14ac:dyDescent="0.35">
      <c r="A588" s="14"/>
      <c r="B588" s="14"/>
      <c r="C588" s="14"/>
      <c r="D588" s="14"/>
      <c r="E588" s="14"/>
      <c r="F588" s="14"/>
      <c r="G588" s="10" t="s">
        <v>1227</v>
      </c>
      <c r="H588" s="8" t="s">
        <v>394</v>
      </c>
    </row>
    <row r="589" spans="1:9" x14ac:dyDescent="0.35">
      <c r="A589" s="19"/>
      <c r="B589" s="19"/>
      <c r="C589" s="18"/>
      <c r="D589" s="18"/>
      <c r="E589" s="18"/>
      <c r="F589" s="20"/>
      <c r="G589" s="10" t="s">
        <v>1432</v>
      </c>
      <c r="H589" s="8" t="s">
        <v>394</v>
      </c>
    </row>
    <row r="590" spans="1:9" x14ac:dyDescent="0.35">
      <c r="A590" s="19" t="str">
        <f>HYPERLINK("https://jira.itg.ti.com/browse/JACINTOREQ-177","JACINTOREQ-177")</f>
        <v>JACINTOREQ-177</v>
      </c>
      <c r="B590" s="19" t="str">
        <f>HYPERLINK("https://jira.itg.ti.com/browse/PDK-2399","PDK-2399")</f>
        <v>PDK-2399</v>
      </c>
      <c r="C590" s="18" t="s">
        <v>754</v>
      </c>
      <c r="D590" s="18" t="s">
        <v>245</v>
      </c>
      <c r="E590" s="18" t="s">
        <v>1645</v>
      </c>
      <c r="F590" s="20" t="s">
        <v>1229</v>
      </c>
      <c r="G590" s="9" t="s">
        <v>1143</v>
      </c>
      <c r="H590" s="8" t="s">
        <v>394</v>
      </c>
      <c r="I590" s="7" t="s">
        <v>1031</v>
      </c>
    </row>
    <row r="591" spans="1:9" x14ac:dyDescent="0.35">
      <c r="A591" s="14"/>
      <c r="B591" s="14"/>
      <c r="C591" s="14"/>
      <c r="D591" s="14"/>
      <c r="E591" s="14"/>
      <c r="F591" s="14"/>
      <c r="G591" s="10" t="s">
        <v>1021</v>
      </c>
      <c r="H591" s="8" t="s">
        <v>394</v>
      </c>
    </row>
    <row r="592" spans="1:9" ht="25.5" x14ac:dyDescent="0.35">
      <c r="A592" s="14"/>
      <c r="B592" s="14"/>
      <c r="C592" s="14"/>
      <c r="D592" s="14"/>
      <c r="E592" s="14"/>
      <c r="F592" s="14"/>
      <c r="G592" s="10" t="s">
        <v>637</v>
      </c>
      <c r="H592" s="8" t="s">
        <v>394</v>
      </c>
    </row>
    <row r="593" spans="1:9" ht="25.5" x14ac:dyDescent="0.35">
      <c r="A593" s="14"/>
      <c r="B593" s="14"/>
      <c r="C593" s="14"/>
      <c r="D593" s="14"/>
      <c r="E593" s="14"/>
      <c r="F593" s="14"/>
      <c r="G593" s="10" t="s">
        <v>851</v>
      </c>
      <c r="H593" s="8" t="s">
        <v>394</v>
      </c>
    </row>
    <row r="594" spans="1:9" x14ac:dyDescent="0.35">
      <c r="A594" s="14"/>
      <c r="B594" s="14"/>
      <c r="C594" s="14"/>
      <c r="D594" s="14"/>
      <c r="E594" s="14"/>
      <c r="F594" s="14"/>
      <c r="G594" s="10" t="s">
        <v>324</v>
      </c>
      <c r="H594" s="8" t="s">
        <v>394</v>
      </c>
    </row>
    <row r="595" spans="1:9" ht="25.5" x14ac:dyDescent="0.35">
      <c r="A595" s="19"/>
      <c r="B595" s="19"/>
      <c r="C595" s="18"/>
      <c r="D595" s="18"/>
      <c r="E595" s="18"/>
      <c r="F595" s="20"/>
      <c r="G595" s="10" t="s">
        <v>712</v>
      </c>
      <c r="H595" s="8" t="s">
        <v>394</v>
      </c>
    </row>
    <row r="596" spans="1:9" x14ac:dyDescent="0.35">
      <c r="A596" s="19" t="str">
        <f t="shared" ref="A596:A616" si="2">HYPERLINK("https://jira.itg.ti.com/browse/JACINTOREQ-177","JACINTOREQ-177")</f>
        <v>JACINTOREQ-177</v>
      </c>
      <c r="B596" s="19" t="str">
        <f>HYPERLINK("https://jira.itg.ti.com/browse/PDK-2910","PDK-2910")</f>
        <v>PDK-2910</v>
      </c>
      <c r="C596" s="18" t="s">
        <v>1461</v>
      </c>
      <c r="D596" s="18" t="s">
        <v>245</v>
      </c>
      <c r="E596" s="18" t="s">
        <v>1645</v>
      </c>
      <c r="F596" s="20" t="s">
        <v>1229</v>
      </c>
      <c r="G596" s="9" t="s">
        <v>1143</v>
      </c>
      <c r="H596" s="8" t="s">
        <v>394</v>
      </c>
      <c r="I596" s="7" t="s">
        <v>1031</v>
      </c>
    </row>
    <row r="597" spans="1:9" x14ac:dyDescent="0.35">
      <c r="A597" s="19" t="str">
        <f t="shared" si="2"/>
        <v>JACINTOREQ-177</v>
      </c>
      <c r="B597" s="19" t="str">
        <f>HYPERLINK("https://jira.itg.ti.com/browse/PDK-3556","PDK-3556")</f>
        <v>PDK-3556</v>
      </c>
      <c r="C597" s="18" t="s">
        <v>1404</v>
      </c>
      <c r="D597" s="18" t="s">
        <v>245</v>
      </c>
      <c r="E597" s="18" t="s">
        <v>1645</v>
      </c>
      <c r="F597" s="20" t="s">
        <v>1229</v>
      </c>
      <c r="G597" s="9" t="s">
        <v>796</v>
      </c>
      <c r="H597" s="8" t="s">
        <v>394</v>
      </c>
      <c r="I597" s="7" t="s">
        <v>1031</v>
      </c>
    </row>
    <row r="598" spans="1:9" x14ac:dyDescent="0.35">
      <c r="A598" s="19" t="str">
        <f t="shared" si="2"/>
        <v>JACINTOREQ-177</v>
      </c>
      <c r="B598" s="19" t="str">
        <f>HYPERLINK("https://jira.itg.ti.com/browse/PDK-2513","PDK-2513")</f>
        <v>PDK-2513</v>
      </c>
      <c r="C598" s="18" t="s">
        <v>217</v>
      </c>
      <c r="D598" s="18" t="s">
        <v>245</v>
      </c>
      <c r="E598" s="18" t="s">
        <v>1645</v>
      </c>
      <c r="F598" s="20" t="s">
        <v>1229</v>
      </c>
      <c r="G598" s="9" t="s">
        <v>881</v>
      </c>
      <c r="H598" s="8" t="s">
        <v>394</v>
      </c>
      <c r="I598" s="7" t="s">
        <v>1031</v>
      </c>
    </row>
    <row r="599" spans="1:9" x14ac:dyDescent="0.35">
      <c r="A599" s="19" t="str">
        <f t="shared" si="2"/>
        <v>JACINTOREQ-177</v>
      </c>
      <c r="B599" s="19" t="str">
        <f>HYPERLINK("https://jira.itg.ti.com/browse/PDK-2514","PDK-2514")</f>
        <v>PDK-2514</v>
      </c>
      <c r="C599" s="18" t="s">
        <v>691</v>
      </c>
      <c r="D599" s="18" t="s">
        <v>245</v>
      </c>
      <c r="E599" s="18" t="s">
        <v>1645</v>
      </c>
      <c r="F599" s="20" t="s">
        <v>1229</v>
      </c>
      <c r="G599" s="9" t="s">
        <v>1143</v>
      </c>
      <c r="H599" s="8" t="s">
        <v>394</v>
      </c>
      <c r="I599" s="7" t="s">
        <v>1031</v>
      </c>
    </row>
    <row r="600" spans="1:9" x14ac:dyDescent="0.35">
      <c r="A600" s="19" t="str">
        <f t="shared" si="2"/>
        <v>JACINTOREQ-177</v>
      </c>
      <c r="B600" s="19" t="str">
        <f>HYPERLINK("https://jira.itg.ti.com/browse/PDK-2517","PDK-2517")</f>
        <v>PDK-2517</v>
      </c>
      <c r="C600" s="18" t="s">
        <v>684</v>
      </c>
      <c r="D600" s="18" t="s">
        <v>245</v>
      </c>
      <c r="E600" s="18" t="s">
        <v>1645</v>
      </c>
      <c r="F600" s="20" t="s">
        <v>1229</v>
      </c>
      <c r="G600" s="9" t="s">
        <v>1143</v>
      </c>
      <c r="H600" s="8" t="s">
        <v>394</v>
      </c>
      <c r="I600" s="7" t="s">
        <v>1031</v>
      </c>
    </row>
    <row r="601" spans="1:9" x14ac:dyDescent="0.35">
      <c r="A601" s="19" t="str">
        <f t="shared" si="2"/>
        <v>JACINTOREQ-177</v>
      </c>
      <c r="B601" s="19" t="str">
        <f>HYPERLINK("https://jira.itg.ti.com/browse/PDK-2518","PDK-2518")</f>
        <v>PDK-2518</v>
      </c>
      <c r="C601" s="18" t="s">
        <v>610</v>
      </c>
      <c r="D601" s="18" t="s">
        <v>245</v>
      </c>
      <c r="E601" s="18" t="s">
        <v>1645</v>
      </c>
      <c r="F601" s="20" t="s">
        <v>1229</v>
      </c>
      <c r="G601" s="9" t="s">
        <v>881</v>
      </c>
      <c r="H601" s="8" t="s">
        <v>394</v>
      </c>
      <c r="I601" s="7" t="s">
        <v>1031</v>
      </c>
    </row>
    <row r="602" spans="1:9" x14ac:dyDescent="0.35">
      <c r="A602" s="19" t="str">
        <f t="shared" si="2"/>
        <v>JACINTOREQ-177</v>
      </c>
      <c r="B602" s="19" t="str">
        <f>HYPERLINK("https://jira.itg.ti.com/browse/PDK-2523","PDK-2523")</f>
        <v>PDK-2523</v>
      </c>
      <c r="C602" s="18" t="s">
        <v>378</v>
      </c>
      <c r="D602" s="18" t="s">
        <v>245</v>
      </c>
      <c r="E602" s="18" t="s">
        <v>1645</v>
      </c>
      <c r="F602" s="20" t="s">
        <v>1229</v>
      </c>
      <c r="G602" s="9" t="s">
        <v>319</v>
      </c>
      <c r="H602" s="8" t="s">
        <v>394</v>
      </c>
      <c r="I602" s="7" t="s">
        <v>1031</v>
      </c>
    </row>
    <row r="603" spans="1:9" x14ac:dyDescent="0.35">
      <c r="A603" s="19" t="str">
        <f t="shared" si="2"/>
        <v>JACINTOREQ-177</v>
      </c>
      <c r="B603" s="19" t="str">
        <f>HYPERLINK("https://jira.itg.ti.com/browse/PDK-2530","PDK-2530")</f>
        <v>PDK-2530</v>
      </c>
      <c r="C603" s="18" t="s">
        <v>1640</v>
      </c>
      <c r="D603" s="18" t="s">
        <v>245</v>
      </c>
      <c r="E603" s="18" t="s">
        <v>1645</v>
      </c>
      <c r="F603" s="20" t="s">
        <v>1229</v>
      </c>
      <c r="G603" s="9" t="s">
        <v>1143</v>
      </c>
      <c r="H603" s="8" t="s">
        <v>394</v>
      </c>
      <c r="I603" s="7" t="s">
        <v>1031</v>
      </c>
    </row>
    <row r="604" spans="1:9" x14ac:dyDescent="0.35">
      <c r="A604" s="19" t="str">
        <f t="shared" si="2"/>
        <v>JACINTOREQ-177</v>
      </c>
      <c r="B604" s="19" t="str">
        <f>HYPERLINK("https://jira.itg.ti.com/browse/PDK-2541","PDK-2541")</f>
        <v>PDK-2541</v>
      </c>
      <c r="C604" s="18" t="s">
        <v>1637</v>
      </c>
      <c r="D604" s="18" t="s">
        <v>245</v>
      </c>
      <c r="E604" s="18" t="s">
        <v>1645</v>
      </c>
      <c r="F604" s="20" t="s">
        <v>1229</v>
      </c>
      <c r="G604" s="9" t="s">
        <v>1143</v>
      </c>
      <c r="H604" s="8" t="s">
        <v>394</v>
      </c>
      <c r="I604" s="7" t="s">
        <v>1031</v>
      </c>
    </row>
    <row r="605" spans="1:9" x14ac:dyDescent="0.35">
      <c r="A605" s="19" t="str">
        <f t="shared" si="2"/>
        <v>JACINTOREQ-177</v>
      </c>
      <c r="B605" s="19" t="str">
        <f>HYPERLINK("https://jira.itg.ti.com/browse/PDK-2552","PDK-2552")</f>
        <v>PDK-2552</v>
      </c>
      <c r="C605" s="18" t="s">
        <v>940</v>
      </c>
      <c r="D605" s="18" t="s">
        <v>245</v>
      </c>
      <c r="E605" s="18" t="s">
        <v>1645</v>
      </c>
      <c r="F605" s="20" t="s">
        <v>1229</v>
      </c>
      <c r="G605" s="9" t="s">
        <v>319</v>
      </c>
      <c r="H605" s="8" t="s">
        <v>394</v>
      </c>
      <c r="I605" s="7" t="s">
        <v>1031</v>
      </c>
    </row>
    <row r="606" spans="1:9" x14ac:dyDescent="0.35">
      <c r="A606" s="19" t="str">
        <f t="shared" si="2"/>
        <v>JACINTOREQ-177</v>
      </c>
      <c r="B606" s="19" t="str">
        <f>HYPERLINK("https://jira.itg.ti.com/browse/PDK-2553","PDK-2553")</f>
        <v>PDK-2553</v>
      </c>
      <c r="C606" s="18" t="s">
        <v>964</v>
      </c>
      <c r="D606" s="18" t="s">
        <v>245</v>
      </c>
      <c r="E606" s="18" t="s">
        <v>1645</v>
      </c>
      <c r="F606" s="20" t="s">
        <v>1229</v>
      </c>
      <c r="G606" s="9" t="s">
        <v>1143</v>
      </c>
      <c r="H606" s="8" t="s">
        <v>394</v>
      </c>
      <c r="I606" s="7" t="s">
        <v>1031</v>
      </c>
    </row>
    <row r="607" spans="1:9" x14ac:dyDescent="0.35">
      <c r="A607" s="19" t="str">
        <f t="shared" si="2"/>
        <v>JACINTOREQ-177</v>
      </c>
      <c r="B607" s="19" t="str">
        <f>HYPERLINK("https://jira.itg.ti.com/browse/PDK-2555","PDK-2555")</f>
        <v>PDK-2555</v>
      </c>
      <c r="C607" s="18" t="s">
        <v>178</v>
      </c>
      <c r="D607" s="18" t="s">
        <v>245</v>
      </c>
      <c r="E607" s="18" t="s">
        <v>1645</v>
      </c>
      <c r="F607" s="20" t="s">
        <v>1229</v>
      </c>
      <c r="G607" s="9" t="s">
        <v>1143</v>
      </c>
      <c r="H607" s="8" t="s">
        <v>394</v>
      </c>
      <c r="I607" s="7" t="s">
        <v>1031</v>
      </c>
    </row>
    <row r="608" spans="1:9" x14ac:dyDescent="0.35">
      <c r="A608" s="19" t="str">
        <f t="shared" si="2"/>
        <v>JACINTOREQ-177</v>
      </c>
      <c r="B608" s="19" t="str">
        <f>HYPERLINK("https://jira.itg.ti.com/browse/PDK-2559","PDK-2559")</f>
        <v>PDK-2559</v>
      </c>
      <c r="C608" s="18" t="s">
        <v>1483</v>
      </c>
      <c r="D608" s="18" t="s">
        <v>245</v>
      </c>
      <c r="E608" s="18" t="s">
        <v>1645</v>
      </c>
      <c r="F608" s="20" t="s">
        <v>1229</v>
      </c>
      <c r="G608" s="9" t="s">
        <v>1143</v>
      </c>
      <c r="H608" s="8" t="s">
        <v>394</v>
      </c>
      <c r="I608" s="7" t="s">
        <v>1031</v>
      </c>
    </row>
    <row r="609" spans="1:9" x14ac:dyDescent="0.35">
      <c r="A609" s="19" t="str">
        <f t="shared" si="2"/>
        <v>JACINTOREQ-177</v>
      </c>
      <c r="B609" s="19" t="str">
        <f>HYPERLINK("https://jira.itg.ti.com/browse/PDK-2566","PDK-2566")</f>
        <v>PDK-2566</v>
      </c>
      <c r="C609" s="18" t="s">
        <v>452</v>
      </c>
      <c r="D609" s="18" t="s">
        <v>245</v>
      </c>
      <c r="E609" s="18" t="s">
        <v>1645</v>
      </c>
      <c r="F609" s="20" t="s">
        <v>1229</v>
      </c>
      <c r="G609" s="9" t="s">
        <v>1143</v>
      </c>
      <c r="H609" s="8" t="s">
        <v>394</v>
      </c>
      <c r="I609" s="7" t="s">
        <v>1031</v>
      </c>
    </row>
    <row r="610" spans="1:9" x14ac:dyDescent="0.35">
      <c r="A610" s="19" t="str">
        <f t="shared" si="2"/>
        <v>JACINTOREQ-177</v>
      </c>
      <c r="B610" s="19" t="str">
        <f>HYPERLINK("https://jira.itg.ti.com/browse/PDK-2567","PDK-2567")</f>
        <v>PDK-2567</v>
      </c>
      <c r="C610" s="18" t="s">
        <v>251</v>
      </c>
      <c r="D610" s="18" t="s">
        <v>245</v>
      </c>
      <c r="E610" s="18" t="s">
        <v>1645</v>
      </c>
      <c r="F610" s="20" t="s">
        <v>1229</v>
      </c>
      <c r="G610" s="9" t="s">
        <v>1143</v>
      </c>
      <c r="H610" s="8" t="s">
        <v>394</v>
      </c>
      <c r="I610" s="7" t="s">
        <v>1031</v>
      </c>
    </row>
    <row r="611" spans="1:9" x14ac:dyDescent="0.35">
      <c r="A611" s="19" t="str">
        <f t="shared" si="2"/>
        <v>JACINTOREQ-177</v>
      </c>
      <c r="B611" s="19" t="str">
        <f>HYPERLINK("https://jira.itg.ti.com/browse/PDK-2568","PDK-2568")</f>
        <v>PDK-2568</v>
      </c>
      <c r="C611" s="18" t="s">
        <v>1357</v>
      </c>
      <c r="D611" s="18" t="s">
        <v>245</v>
      </c>
      <c r="E611" s="18" t="s">
        <v>1645</v>
      </c>
      <c r="F611" s="20" t="s">
        <v>1229</v>
      </c>
      <c r="G611" s="9" t="s">
        <v>1143</v>
      </c>
      <c r="H611" s="8" t="s">
        <v>394</v>
      </c>
      <c r="I611" s="7" t="s">
        <v>1031</v>
      </c>
    </row>
    <row r="612" spans="1:9" x14ac:dyDescent="0.35">
      <c r="A612" s="19" t="str">
        <f t="shared" si="2"/>
        <v>JACINTOREQ-177</v>
      </c>
      <c r="B612" s="19" t="str">
        <f>HYPERLINK("https://jira.itg.ti.com/browse/PDK-2569","PDK-2569")</f>
        <v>PDK-2569</v>
      </c>
      <c r="C612" s="18" t="s">
        <v>341</v>
      </c>
      <c r="D612" s="18" t="s">
        <v>245</v>
      </c>
      <c r="E612" s="18" t="s">
        <v>1645</v>
      </c>
      <c r="F612" s="20" t="s">
        <v>1229</v>
      </c>
      <c r="G612" s="9" t="s">
        <v>1143</v>
      </c>
      <c r="H612" s="8" t="s">
        <v>394</v>
      </c>
      <c r="I612" s="7" t="s">
        <v>1031</v>
      </c>
    </row>
    <row r="613" spans="1:9" x14ac:dyDescent="0.35">
      <c r="A613" s="19" t="str">
        <f t="shared" si="2"/>
        <v>JACINTOREQ-177</v>
      </c>
      <c r="B613" s="19" t="str">
        <f>HYPERLINK("https://jira.itg.ti.com/browse/PDK-2570","PDK-2570")</f>
        <v>PDK-2570</v>
      </c>
      <c r="C613" s="18" t="s">
        <v>222</v>
      </c>
      <c r="D613" s="18" t="s">
        <v>245</v>
      </c>
      <c r="E613" s="18" t="s">
        <v>1645</v>
      </c>
      <c r="F613" s="20" t="s">
        <v>1229</v>
      </c>
      <c r="G613" s="9" t="s">
        <v>1143</v>
      </c>
      <c r="H613" s="8" t="s">
        <v>394</v>
      </c>
      <c r="I613" s="7" t="s">
        <v>1031</v>
      </c>
    </row>
    <row r="614" spans="1:9" x14ac:dyDescent="0.35">
      <c r="A614" s="19" t="str">
        <f t="shared" si="2"/>
        <v>JACINTOREQ-177</v>
      </c>
      <c r="B614" s="19" t="str">
        <f>HYPERLINK("https://jira.itg.ti.com/browse/PDK-2572","PDK-2572")</f>
        <v>PDK-2572</v>
      </c>
      <c r="C614" s="18" t="s">
        <v>735</v>
      </c>
      <c r="D614" s="18" t="s">
        <v>245</v>
      </c>
      <c r="E614" s="18" t="s">
        <v>1645</v>
      </c>
      <c r="F614" s="20" t="s">
        <v>1229</v>
      </c>
      <c r="G614" s="9" t="s">
        <v>1143</v>
      </c>
      <c r="H614" s="8" t="s">
        <v>394</v>
      </c>
      <c r="I614" s="7" t="s">
        <v>1031</v>
      </c>
    </row>
    <row r="615" spans="1:9" x14ac:dyDescent="0.35">
      <c r="A615" s="19" t="str">
        <f t="shared" si="2"/>
        <v>JACINTOREQ-177</v>
      </c>
      <c r="B615" s="19" t="str">
        <f>HYPERLINK("https://jira.itg.ti.com/browse/PDK-2573","PDK-2573")</f>
        <v>PDK-2573</v>
      </c>
      <c r="C615" s="18" t="s">
        <v>1048</v>
      </c>
      <c r="D615" s="18" t="s">
        <v>245</v>
      </c>
      <c r="E615" s="18" t="s">
        <v>1645</v>
      </c>
      <c r="F615" s="20" t="s">
        <v>1229</v>
      </c>
      <c r="G615" s="9" t="s">
        <v>1143</v>
      </c>
      <c r="H615" s="8" t="s">
        <v>394</v>
      </c>
      <c r="I615" s="7" t="s">
        <v>1031</v>
      </c>
    </row>
    <row r="616" spans="1:9" x14ac:dyDescent="0.35">
      <c r="A616" s="19" t="str">
        <f t="shared" si="2"/>
        <v>JACINTOREQ-177</v>
      </c>
      <c r="B616" s="19" t="str">
        <f>HYPERLINK("https://jira.itg.ti.com/browse/PDK-2574","PDK-2574")</f>
        <v>PDK-2574</v>
      </c>
      <c r="C616" s="18" t="s">
        <v>441</v>
      </c>
      <c r="D616" s="18" t="s">
        <v>245</v>
      </c>
      <c r="E616" s="18" t="s">
        <v>1645</v>
      </c>
      <c r="F616" s="20" t="s">
        <v>1229</v>
      </c>
      <c r="G616" s="9" t="s">
        <v>1143</v>
      </c>
      <c r="H616" s="8" t="s">
        <v>394</v>
      </c>
      <c r="I616" s="7" t="s">
        <v>1031</v>
      </c>
    </row>
    <row r="617" spans="1:9" ht="25.5" x14ac:dyDescent="0.35">
      <c r="A617" s="19" t="str">
        <f t="shared" ref="A617:A648" si="3">HYPERLINK("https://jira.itg.ti.com/browse/JACINTOREQ-179","JACINTOREQ-179")</f>
        <v>JACINTOREQ-179</v>
      </c>
      <c r="B617" s="19" t="str">
        <f>HYPERLINK("https://jira.itg.ti.com/browse/PDK-2225","PDK-2225")</f>
        <v>PDK-2225</v>
      </c>
      <c r="C617" s="18" t="s">
        <v>761</v>
      </c>
      <c r="D617" s="18" t="s">
        <v>467</v>
      </c>
      <c r="E617" s="18" t="s">
        <v>1645</v>
      </c>
      <c r="F617" s="20" t="s">
        <v>1229</v>
      </c>
      <c r="G617" s="9" t="s">
        <v>1649</v>
      </c>
      <c r="H617" s="8" t="s">
        <v>394</v>
      </c>
      <c r="I617" s="7" t="s">
        <v>1031</v>
      </c>
    </row>
    <row r="618" spans="1:9" ht="25.5" x14ac:dyDescent="0.35">
      <c r="A618" s="19" t="str">
        <f t="shared" si="3"/>
        <v>JACINTOREQ-179</v>
      </c>
      <c r="B618" s="19" t="str">
        <f>HYPERLINK("https://jira.itg.ti.com/browse/PDK-2226","PDK-2226")</f>
        <v>PDK-2226</v>
      </c>
      <c r="C618" s="18" t="s">
        <v>1205</v>
      </c>
      <c r="D618" s="18" t="s">
        <v>467</v>
      </c>
      <c r="E618" s="18" t="s">
        <v>1645</v>
      </c>
      <c r="F618" s="20" t="s">
        <v>1229</v>
      </c>
      <c r="G618" s="9" t="s">
        <v>1649</v>
      </c>
      <c r="H618" s="8" t="s">
        <v>394</v>
      </c>
      <c r="I618" s="7" t="s">
        <v>1031</v>
      </c>
    </row>
    <row r="619" spans="1:9" x14ac:dyDescent="0.35">
      <c r="A619" s="19" t="str">
        <f t="shared" si="3"/>
        <v>JACINTOREQ-179</v>
      </c>
      <c r="B619" s="19" t="str">
        <f>HYPERLINK("https://jira.itg.ti.com/browse/PDK-2959","PDK-2959")</f>
        <v>PDK-2959</v>
      </c>
      <c r="C619" s="18" t="s">
        <v>948</v>
      </c>
      <c r="D619" s="18" t="s">
        <v>467</v>
      </c>
      <c r="E619" s="18" t="s">
        <v>1645</v>
      </c>
      <c r="F619" s="20" t="s">
        <v>1229</v>
      </c>
      <c r="G619" s="9" t="s">
        <v>1036</v>
      </c>
      <c r="H619" s="8" t="s">
        <v>394</v>
      </c>
      <c r="I619" s="7" t="s">
        <v>1031</v>
      </c>
    </row>
    <row r="620" spans="1:9" ht="25.5" x14ac:dyDescent="0.35">
      <c r="A620" s="19" t="str">
        <f t="shared" si="3"/>
        <v>JACINTOREQ-179</v>
      </c>
      <c r="B620" s="19" t="str">
        <f>HYPERLINK("https://jira.itg.ti.com/browse/PDK-2960","PDK-2960")</f>
        <v>PDK-2960</v>
      </c>
      <c r="C620" s="18" t="s">
        <v>72</v>
      </c>
      <c r="D620" s="18" t="s">
        <v>467</v>
      </c>
      <c r="E620" s="18" t="s">
        <v>1645</v>
      </c>
      <c r="F620" s="20" t="s">
        <v>1229</v>
      </c>
      <c r="G620" s="9" t="s">
        <v>1649</v>
      </c>
      <c r="H620" s="8" t="s">
        <v>394</v>
      </c>
      <c r="I620" s="7" t="s">
        <v>1031</v>
      </c>
    </row>
    <row r="621" spans="1:9" ht="25.5" x14ac:dyDescent="0.35">
      <c r="A621" s="19" t="str">
        <f t="shared" si="3"/>
        <v>JACINTOREQ-179</v>
      </c>
      <c r="B621" s="19" t="str">
        <f>HYPERLINK("https://jira.itg.ti.com/browse/PDK-2240","PDK-2240")</f>
        <v>PDK-2240</v>
      </c>
      <c r="C621" s="18" t="s">
        <v>1437</v>
      </c>
      <c r="D621" s="18" t="s">
        <v>467</v>
      </c>
      <c r="E621" s="18" t="s">
        <v>1645</v>
      </c>
      <c r="F621" s="20" t="s">
        <v>1229</v>
      </c>
      <c r="G621" s="9" t="s">
        <v>1649</v>
      </c>
      <c r="H621" s="8" t="s">
        <v>394</v>
      </c>
      <c r="I621" s="7" t="s">
        <v>1031</v>
      </c>
    </row>
    <row r="622" spans="1:9" ht="25.5" x14ac:dyDescent="0.35">
      <c r="A622" s="19" t="str">
        <f t="shared" si="3"/>
        <v>JACINTOREQ-179</v>
      </c>
      <c r="B622" s="19" t="str">
        <f>HYPERLINK("https://jira.itg.ti.com/browse/PDK-2241","PDK-2241")</f>
        <v>PDK-2241</v>
      </c>
      <c r="C622" s="18" t="s">
        <v>1625</v>
      </c>
      <c r="D622" s="18" t="s">
        <v>467</v>
      </c>
      <c r="E622" s="18" t="s">
        <v>1645</v>
      </c>
      <c r="F622" s="20" t="s">
        <v>1229</v>
      </c>
      <c r="G622" s="9" t="s">
        <v>569</v>
      </c>
      <c r="H622" s="8" t="s">
        <v>394</v>
      </c>
      <c r="I622" s="7" t="s">
        <v>1031</v>
      </c>
    </row>
    <row r="623" spans="1:9" ht="25.5" x14ac:dyDescent="0.35">
      <c r="A623" s="19" t="str">
        <f t="shared" si="3"/>
        <v>JACINTOREQ-179</v>
      </c>
      <c r="B623" s="19" t="str">
        <f>HYPERLINK("https://jira.itg.ti.com/browse/PDK-2258","PDK-2258")</f>
        <v>PDK-2258</v>
      </c>
      <c r="C623" s="18" t="s">
        <v>1323</v>
      </c>
      <c r="D623" s="18" t="s">
        <v>467</v>
      </c>
      <c r="E623" s="18" t="s">
        <v>1645</v>
      </c>
      <c r="F623" s="20" t="s">
        <v>1229</v>
      </c>
      <c r="G623" s="9" t="s">
        <v>853</v>
      </c>
      <c r="H623" s="8" t="s">
        <v>394</v>
      </c>
      <c r="I623" s="7" t="s">
        <v>1031</v>
      </c>
    </row>
    <row r="624" spans="1:9" ht="25.5" x14ac:dyDescent="0.35">
      <c r="A624" s="19" t="str">
        <f t="shared" si="3"/>
        <v>JACINTOREQ-179</v>
      </c>
      <c r="B624" s="19" t="str">
        <f>HYPERLINK("https://jira.itg.ti.com/browse/PDK-2260","PDK-2260")</f>
        <v>PDK-2260</v>
      </c>
      <c r="C624" s="18" t="s">
        <v>344</v>
      </c>
      <c r="D624" s="18" t="s">
        <v>467</v>
      </c>
      <c r="E624" s="18" t="s">
        <v>1645</v>
      </c>
      <c r="F624" s="20" t="s">
        <v>1229</v>
      </c>
      <c r="G624" s="9" t="s">
        <v>1649</v>
      </c>
      <c r="H624" s="8" t="s">
        <v>394</v>
      </c>
      <c r="I624" s="7" t="s">
        <v>1031</v>
      </c>
    </row>
    <row r="625" spans="1:9" ht="25.5" x14ac:dyDescent="0.35">
      <c r="A625" s="19" t="str">
        <f t="shared" si="3"/>
        <v>JACINTOREQ-179</v>
      </c>
      <c r="B625" s="19" t="str">
        <f>HYPERLINK("https://jira.itg.ti.com/browse/PDK-2261","PDK-2261")</f>
        <v>PDK-2261</v>
      </c>
      <c r="C625" s="18" t="s">
        <v>1353</v>
      </c>
      <c r="D625" s="18" t="s">
        <v>467</v>
      </c>
      <c r="E625" s="18" t="s">
        <v>1645</v>
      </c>
      <c r="F625" s="20" t="s">
        <v>1229</v>
      </c>
      <c r="G625" s="9" t="s">
        <v>569</v>
      </c>
      <c r="H625" s="8" t="s">
        <v>394</v>
      </c>
      <c r="I625" s="7" t="s">
        <v>1031</v>
      </c>
    </row>
    <row r="626" spans="1:9" ht="25.5" x14ac:dyDescent="0.35">
      <c r="A626" s="19" t="str">
        <f t="shared" si="3"/>
        <v>JACINTOREQ-179</v>
      </c>
      <c r="B626" s="19" t="str">
        <f>HYPERLINK("https://jira.itg.ti.com/browse/PDK-2262","PDK-2262")</f>
        <v>PDK-2262</v>
      </c>
      <c r="C626" s="18" t="s">
        <v>535</v>
      </c>
      <c r="D626" s="18" t="s">
        <v>467</v>
      </c>
      <c r="E626" s="18" t="s">
        <v>1645</v>
      </c>
      <c r="F626" s="20" t="s">
        <v>1229</v>
      </c>
      <c r="G626" s="9" t="s">
        <v>1649</v>
      </c>
      <c r="H626" s="8" t="s">
        <v>394</v>
      </c>
      <c r="I626" s="7" t="s">
        <v>1031</v>
      </c>
    </row>
    <row r="627" spans="1:9" ht="25.5" x14ac:dyDescent="0.35">
      <c r="A627" s="19" t="str">
        <f t="shared" si="3"/>
        <v>JACINTOREQ-179</v>
      </c>
      <c r="B627" s="19" t="str">
        <f>HYPERLINK("https://jira.itg.ti.com/browse/PDK-2263","PDK-2263")</f>
        <v>PDK-2263</v>
      </c>
      <c r="C627" s="18" t="s">
        <v>1446</v>
      </c>
      <c r="D627" s="18" t="s">
        <v>467</v>
      </c>
      <c r="E627" s="18" t="s">
        <v>1645</v>
      </c>
      <c r="F627" s="20" t="s">
        <v>1229</v>
      </c>
      <c r="G627" s="9" t="s">
        <v>1649</v>
      </c>
      <c r="H627" s="8" t="s">
        <v>394</v>
      </c>
      <c r="I627" s="7" t="s">
        <v>1031</v>
      </c>
    </row>
    <row r="628" spans="1:9" ht="25.5" x14ac:dyDescent="0.35">
      <c r="A628" s="19" t="str">
        <f t="shared" si="3"/>
        <v>JACINTOREQ-179</v>
      </c>
      <c r="B628" s="19" t="str">
        <f>HYPERLINK("https://jira.itg.ti.com/browse/PDK-2264","PDK-2264")</f>
        <v>PDK-2264</v>
      </c>
      <c r="C628" s="18" t="s">
        <v>1212</v>
      </c>
      <c r="D628" s="18" t="s">
        <v>467</v>
      </c>
      <c r="E628" s="18" t="s">
        <v>1645</v>
      </c>
      <c r="F628" s="20" t="s">
        <v>1229</v>
      </c>
      <c r="G628" s="9" t="s">
        <v>1649</v>
      </c>
      <c r="H628" s="8" t="s">
        <v>394</v>
      </c>
      <c r="I628" s="7" t="s">
        <v>1031</v>
      </c>
    </row>
    <row r="629" spans="1:9" ht="25.5" x14ac:dyDescent="0.35">
      <c r="A629" s="19" t="str">
        <f t="shared" si="3"/>
        <v>JACINTOREQ-179</v>
      </c>
      <c r="B629" s="19" t="str">
        <f>HYPERLINK("https://jira.itg.ti.com/browse/PDK-2265","PDK-2265")</f>
        <v>PDK-2265</v>
      </c>
      <c r="C629" s="18" t="s">
        <v>653</v>
      </c>
      <c r="D629" s="18" t="s">
        <v>467</v>
      </c>
      <c r="E629" s="18" t="s">
        <v>1645</v>
      </c>
      <c r="F629" s="20" t="s">
        <v>1229</v>
      </c>
      <c r="G629" s="9" t="s">
        <v>1649</v>
      </c>
      <c r="H629" s="8" t="s">
        <v>394</v>
      </c>
      <c r="I629" s="7" t="s">
        <v>1031</v>
      </c>
    </row>
    <row r="630" spans="1:9" ht="25.5" x14ac:dyDescent="0.35">
      <c r="A630" s="19" t="str">
        <f t="shared" si="3"/>
        <v>JACINTOREQ-179</v>
      </c>
      <c r="B630" s="19" t="str">
        <f>HYPERLINK("https://jira.itg.ti.com/browse/PDK-2270","PDK-2270")</f>
        <v>PDK-2270</v>
      </c>
      <c r="C630" s="18" t="s">
        <v>19</v>
      </c>
      <c r="D630" s="18" t="s">
        <v>467</v>
      </c>
      <c r="E630" s="18" t="s">
        <v>1645</v>
      </c>
      <c r="F630" s="20" t="s">
        <v>1229</v>
      </c>
      <c r="G630" s="9" t="s">
        <v>633</v>
      </c>
      <c r="H630" s="8" t="s">
        <v>394</v>
      </c>
      <c r="I630" s="7" t="s">
        <v>1031</v>
      </c>
    </row>
    <row r="631" spans="1:9" ht="25.5" x14ac:dyDescent="0.35">
      <c r="A631" s="19" t="str">
        <f t="shared" si="3"/>
        <v>JACINTOREQ-179</v>
      </c>
      <c r="B631" s="19" t="str">
        <f>HYPERLINK("https://jira.itg.ti.com/browse/PDK-2273","PDK-2273")</f>
        <v>PDK-2273</v>
      </c>
      <c r="C631" s="18" t="s">
        <v>69</v>
      </c>
      <c r="D631" s="18" t="s">
        <v>467</v>
      </c>
      <c r="E631" s="18" t="s">
        <v>1645</v>
      </c>
      <c r="F631" s="20" t="s">
        <v>1229</v>
      </c>
      <c r="G631" s="9" t="s">
        <v>1649</v>
      </c>
      <c r="H631" s="8" t="s">
        <v>394</v>
      </c>
      <c r="I631" s="7" t="s">
        <v>1031</v>
      </c>
    </row>
    <row r="632" spans="1:9" ht="25.5" x14ac:dyDescent="0.35">
      <c r="A632" s="19" t="str">
        <f t="shared" si="3"/>
        <v>JACINTOREQ-179</v>
      </c>
      <c r="B632" s="19" t="str">
        <f>HYPERLINK("https://jira.itg.ti.com/browse/PDK-2274","PDK-2274")</f>
        <v>PDK-2274</v>
      </c>
      <c r="C632" s="18" t="s">
        <v>1508</v>
      </c>
      <c r="D632" s="18" t="s">
        <v>467</v>
      </c>
      <c r="E632" s="18" t="s">
        <v>1645</v>
      </c>
      <c r="F632" s="20" t="s">
        <v>1229</v>
      </c>
      <c r="G632" s="9" t="s">
        <v>1128</v>
      </c>
      <c r="H632" s="8" t="s">
        <v>394</v>
      </c>
      <c r="I632" s="7" t="s">
        <v>1031</v>
      </c>
    </row>
    <row r="633" spans="1:9" ht="25.5" x14ac:dyDescent="0.35">
      <c r="A633" s="19" t="str">
        <f t="shared" si="3"/>
        <v>JACINTOREQ-179</v>
      </c>
      <c r="B633" s="19" t="str">
        <f>HYPERLINK("https://jira.itg.ti.com/browse/PDK-2275","PDK-2275")</f>
        <v>PDK-2275</v>
      </c>
      <c r="C633" s="18" t="s">
        <v>497</v>
      </c>
      <c r="D633" s="18" t="s">
        <v>467</v>
      </c>
      <c r="E633" s="18" t="s">
        <v>1645</v>
      </c>
      <c r="F633" s="20" t="s">
        <v>1229</v>
      </c>
      <c r="G633" s="9" t="s">
        <v>1245</v>
      </c>
      <c r="H633" s="8" t="s">
        <v>394</v>
      </c>
      <c r="I633" s="7" t="s">
        <v>1031</v>
      </c>
    </row>
    <row r="634" spans="1:9" ht="25.5" x14ac:dyDescent="0.35">
      <c r="A634" s="19" t="str">
        <f t="shared" si="3"/>
        <v>JACINTOREQ-179</v>
      </c>
      <c r="B634" s="19" t="str">
        <f>HYPERLINK("https://jira.itg.ti.com/browse/PDK-2283","PDK-2283")</f>
        <v>PDK-2283</v>
      </c>
      <c r="C634" s="18" t="s">
        <v>533</v>
      </c>
      <c r="D634" s="18" t="s">
        <v>467</v>
      </c>
      <c r="E634" s="18" t="s">
        <v>1645</v>
      </c>
      <c r="F634" s="22" t="s">
        <v>552</v>
      </c>
      <c r="G634" s="9" t="s">
        <v>184</v>
      </c>
      <c r="H634" s="11" t="s">
        <v>313</v>
      </c>
      <c r="I634" s="7" t="s">
        <v>1031</v>
      </c>
    </row>
    <row r="635" spans="1:9" ht="25.5" x14ac:dyDescent="0.35">
      <c r="A635" s="19" t="str">
        <f t="shared" si="3"/>
        <v>JACINTOREQ-179</v>
      </c>
      <c r="B635" s="19" t="str">
        <f>HYPERLINK("https://jira.itg.ti.com/browse/PDK-2284","PDK-2284")</f>
        <v>PDK-2284</v>
      </c>
      <c r="C635" s="18" t="s">
        <v>418</v>
      </c>
      <c r="D635" s="18" t="s">
        <v>467</v>
      </c>
      <c r="E635" s="18" t="s">
        <v>1645</v>
      </c>
      <c r="F635" s="20" t="s">
        <v>1229</v>
      </c>
      <c r="G635" s="9" t="s">
        <v>853</v>
      </c>
      <c r="H635" s="8" t="s">
        <v>394</v>
      </c>
      <c r="I635" s="7" t="s">
        <v>1031</v>
      </c>
    </row>
    <row r="636" spans="1:9" ht="25.5" x14ac:dyDescent="0.35">
      <c r="A636" s="19" t="str">
        <f t="shared" si="3"/>
        <v>JACINTOREQ-179</v>
      </c>
      <c r="B636" s="19" t="str">
        <f>HYPERLINK("https://jira.itg.ti.com/browse/PDK-2285","PDK-2285")</f>
        <v>PDK-2285</v>
      </c>
      <c r="C636" s="18" t="s">
        <v>1187</v>
      </c>
      <c r="D636" s="18" t="s">
        <v>467</v>
      </c>
      <c r="E636" s="18" t="s">
        <v>1645</v>
      </c>
      <c r="F636" s="20" t="s">
        <v>1229</v>
      </c>
      <c r="G636" s="9" t="s">
        <v>1671</v>
      </c>
      <c r="H636" s="8" t="s">
        <v>394</v>
      </c>
      <c r="I636" s="7" t="s">
        <v>1031</v>
      </c>
    </row>
    <row r="637" spans="1:9" ht="25.5" x14ac:dyDescent="0.35">
      <c r="A637" s="19" t="str">
        <f t="shared" si="3"/>
        <v>JACINTOREQ-179</v>
      </c>
      <c r="B637" s="19" t="str">
        <f>HYPERLINK("https://jira.itg.ti.com/browse/PDK-2291","PDK-2291")</f>
        <v>PDK-2291</v>
      </c>
      <c r="C637" s="18" t="s">
        <v>943</v>
      </c>
      <c r="D637" s="18" t="s">
        <v>467</v>
      </c>
      <c r="E637" s="18" t="s">
        <v>1645</v>
      </c>
      <c r="F637" s="20" t="s">
        <v>1229</v>
      </c>
      <c r="G637" s="9" t="s">
        <v>1649</v>
      </c>
      <c r="H637" s="8" t="s">
        <v>394</v>
      </c>
      <c r="I637" s="7" t="s">
        <v>1031</v>
      </c>
    </row>
    <row r="638" spans="1:9" ht="25.5" x14ac:dyDescent="0.35">
      <c r="A638" s="19" t="str">
        <f t="shared" si="3"/>
        <v>JACINTOREQ-179</v>
      </c>
      <c r="B638" s="19" t="str">
        <f>HYPERLINK("https://jira.itg.ti.com/browse/PDK-2311","PDK-2311")</f>
        <v>PDK-2311</v>
      </c>
      <c r="C638" s="18" t="s">
        <v>1214</v>
      </c>
      <c r="D638" s="18" t="s">
        <v>467</v>
      </c>
      <c r="E638" s="18" t="s">
        <v>1645</v>
      </c>
      <c r="F638" s="20" t="s">
        <v>1229</v>
      </c>
      <c r="G638" s="9" t="s">
        <v>1649</v>
      </c>
      <c r="H638" s="8" t="s">
        <v>394</v>
      </c>
      <c r="I638" s="7" t="s">
        <v>1031</v>
      </c>
    </row>
    <row r="639" spans="1:9" ht="25.5" x14ac:dyDescent="0.35">
      <c r="A639" s="19" t="str">
        <f t="shared" si="3"/>
        <v>JACINTOREQ-179</v>
      </c>
      <c r="B639" s="19" t="str">
        <f>HYPERLINK("https://jira.itg.ti.com/browse/PDK-2312","PDK-2312")</f>
        <v>PDK-2312</v>
      </c>
      <c r="C639" s="18" t="s">
        <v>669</v>
      </c>
      <c r="D639" s="18" t="s">
        <v>467</v>
      </c>
      <c r="E639" s="18" t="s">
        <v>1645</v>
      </c>
      <c r="F639" s="20" t="s">
        <v>1229</v>
      </c>
      <c r="G639" s="9" t="s">
        <v>1649</v>
      </c>
      <c r="H639" s="8" t="s">
        <v>394</v>
      </c>
      <c r="I639" s="7" t="s">
        <v>1031</v>
      </c>
    </row>
    <row r="640" spans="1:9" ht="25.5" x14ac:dyDescent="0.35">
      <c r="A640" s="19" t="str">
        <f t="shared" si="3"/>
        <v>JACINTOREQ-179</v>
      </c>
      <c r="B640" s="19" t="str">
        <f>HYPERLINK("https://jira.itg.ti.com/browse/PDK-2313","PDK-2313")</f>
        <v>PDK-2313</v>
      </c>
      <c r="C640" s="18" t="s">
        <v>1098</v>
      </c>
      <c r="D640" s="18" t="s">
        <v>467</v>
      </c>
      <c r="E640" s="18" t="s">
        <v>1645</v>
      </c>
      <c r="F640" s="20" t="s">
        <v>1229</v>
      </c>
      <c r="G640" s="9" t="s">
        <v>1649</v>
      </c>
      <c r="H640" s="8" t="s">
        <v>394</v>
      </c>
      <c r="I640" s="7" t="s">
        <v>1031</v>
      </c>
    </row>
    <row r="641" spans="1:9" ht="25.5" x14ac:dyDescent="0.35">
      <c r="A641" s="19" t="str">
        <f t="shared" si="3"/>
        <v>JACINTOREQ-179</v>
      </c>
      <c r="B641" s="19" t="str">
        <f>HYPERLINK("https://jira.itg.ti.com/browse/PDK-2314","PDK-2314")</f>
        <v>PDK-2314</v>
      </c>
      <c r="C641" s="18" t="s">
        <v>305</v>
      </c>
      <c r="D641" s="18" t="s">
        <v>467</v>
      </c>
      <c r="E641" s="18" t="s">
        <v>1645</v>
      </c>
      <c r="F641" s="20" t="s">
        <v>1229</v>
      </c>
      <c r="G641" s="9" t="s">
        <v>1649</v>
      </c>
      <c r="H641" s="8" t="s">
        <v>394</v>
      </c>
      <c r="I641" s="7" t="s">
        <v>1031</v>
      </c>
    </row>
    <row r="642" spans="1:9" ht="25.5" x14ac:dyDescent="0.35">
      <c r="A642" s="19" t="str">
        <f t="shared" si="3"/>
        <v>JACINTOREQ-179</v>
      </c>
      <c r="B642" s="19" t="str">
        <f>HYPERLINK("https://jira.itg.ti.com/browse/PDK-2315","PDK-2315")</f>
        <v>PDK-2315</v>
      </c>
      <c r="C642" s="18" t="s">
        <v>103</v>
      </c>
      <c r="D642" s="18" t="s">
        <v>467</v>
      </c>
      <c r="E642" s="18" t="s">
        <v>1645</v>
      </c>
      <c r="F642" s="20" t="s">
        <v>1229</v>
      </c>
      <c r="G642" s="9" t="s">
        <v>1649</v>
      </c>
      <c r="H642" s="8" t="s">
        <v>394</v>
      </c>
      <c r="I642" s="7" t="s">
        <v>1031</v>
      </c>
    </row>
    <row r="643" spans="1:9" ht="25.5" x14ac:dyDescent="0.35">
      <c r="A643" s="19" t="str">
        <f t="shared" si="3"/>
        <v>JACINTOREQ-179</v>
      </c>
      <c r="B643" s="19" t="str">
        <f>HYPERLINK("https://jira.itg.ti.com/browse/PDK-2316","PDK-2316")</f>
        <v>PDK-2316</v>
      </c>
      <c r="C643" s="18" t="s">
        <v>454</v>
      </c>
      <c r="D643" s="18" t="s">
        <v>467</v>
      </c>
      <c r="E643" s="18" t="s">
        <v>1645</v>
      </c>
      <c r="F643" s="20" t="s">
        <v>1229</v>
      </c>
      <c r="G643" s="9" t="s">
        <v>1649</v>
      </c>
      <c r="H643" s="8" t="s">
        <v>394</v>
      </c>
      <c r="I643" s="7" t="s">
        <v>1031</v>
      </c>
    </row>
    <row r="644" spans="1:9" ht="25.5" x14ac:dyDescent="0.35">
      <c r="A644" s="19" t="str">
        <f t="shared" si="3"/>
        <v>JACINTOREQ-179</v>
      </c>
      <c r="B644" s="19" t="str">
        <f>HYPERLINK("https://jira.itg.ti.com/browse/PDK-2317","PDK-2317")</f>
        <v>PDK-2317</v>
      </c>
      <c r="C644" s="18" t="s">
        <v>155</v>
      </c>
      <c r="D644" s="18" t="s">
        <v>467</v>
      </c>
      <c r="E644" s="18" t="s">
        <v>1645</v>
      </c>
      <c r="F644" s="20" t="s">
        <v>1229</v>
      </c>
      <c r="G644" s="9" t="s">
        <v>1649</v>
      </c>
      <c r="H644" s="8" t="s">
        <v>394</v>
      </c>
      <c r="I644" s="7" t="s">
        <v>1031</v>
      </c>
    </row>
    <row r="645" spans="1:9" ht="25.5" x14ac:dyDescent="0.35">
      <c r="A645" s="19" t="str">
        <f t="shared" si="3"/>
        <v>JACINTOREQ-179</v>
      </c>
      <c r="B645" s="19" t="str">
        <f>HYPERLINK("https://jira.itg.ti.com/browse/PDK-2318","PDK-2318")</f>
        <v>PDK-2318</v>
      </c>
      <c r="C645" s="18" t="s">
        <v>1402</v>
      </c>
      <c r="D645" s="18" t="s">
        <v>467</v>
      </c>
      <c r="E645" s="18" t="s">
        <v>1645</v>
      </c>
      <c r="F645" s="20" t="s">
        <v>1229</v>
      </c>
      <c r="G645" s="9" t="s">
        <v>1649</v>
      </c>
      <c r="H645" s="8" t="s">
        <v>394</v>
      </c>
      <c r="I645" s="7" t="s">
        <v>1031</v>
      </c>
    </row>
    <row r="646" spans="1:9" ht="25.5" x14ac:dyDescent="0.35">
      <c r="A646" s="19" t="str">
        <f t="shared" si="3"/>
        <v>JACINTOREQ-179</v>
      </c>
      <c r="B646" s="19" t="str">
        <f>HYPERLINK("https://jira.itg.ti.com/browse/PDK-2321","PDK-2321")</f>
        <v>PDK-2321</v>
      </c>
      <c r="C646" s="18" t="s">
        <v>1478</v>
      </c>
      <c r="D646" s="18" t="s">
        <v>467</v>
      </c>
      <c r="E646" s="18" t="s">
        <v>1645</v>
      </c>
      <c r="F646" s="20" t="s">
        <v>1229</v>
      </c>
      <c r="G646" s="9" t="s">
        <v>1649</v>
      </c>
      <c r="H646" s="8" t="s">
        <v>394</v>
      </c>
      <c r="I646" s="7" t="s">
        <v>1031</v>
      </c>
    </row>
    <row r="647" spans="1:9" ht="25.5" x14ac:dyDescent="0.35">
      <c r="A647" s="19" t="str">
        <f t="shared" si="3"/>
        <v>JACINTOREQ-179</v>
      </c>
      <c r="B647" s="19" t="str">
        <f>HYPERLINK("https://jira.itg.ti.com/browse/PDK-2238","PDK-2238")</f>
        <v>PDK-2238</v>
      </c>
      <c r="C647" s="18" t="s">
        <v>522</v>
      </c>
      <c r="D647" s="18" t="s">
        <v>467</v>
      </c>
      <c r="E647" s="18" t="s">
        <v>1645</v>
      </c>
      <c r="F647" s="20" t="s">
        <v>1229</v>
      </c>
      <c r="G647" s="9" t="s">
        <v>1649</v>
      </c>
      <c r="H647" s="8" t="s">
        <v>394</v>
      </c>
      <c r="I647" s="7" t="s">
        <v>1031</v>
      </c>
    </row>
    <row r="648" spans="1:9" ht="25.5" x14ac:dyDescent="0.35">
      <c r="A648" s="19" t="str">
        <f t="shared" si="3"/>
        <v>JACINTOREQ-179</v>
      </c>
      <c r="B648" s="19" t="str">
        <f>HYPERLINK("https://jira.itg.ti.com/browse/PDK-2239","PDK-2239")</f>
        <v>PDK-2239</v>
      </c>
      <c r="C648" s="18" t="s">
        <v>611</v>
      </c>
      <c r="D648" s="18" t="s">
        <v>467</v>
      </c>
      <c r="E648" s="18" t="s">
        <v>1645</v>
      </c>
      <c r="F648" s="20" t="s">
        <v>1229</v>
      </c>
      <c r="G648" s="9" t="s">
        <v>569</v>
      </c>
      <c r="H648" s="8" t="s">
        <v>394</v>
      </c>
      <c r="I648" s="7" t="s">
        <v>1031</v>
      </c>
    </row>
    <row r="649" spans="1:9" ht="25.5" x14ac:dyDescent="0.35">
      <c r="A649" s="19" t="str">
        <f t="shared" ref="A649:A674" si="4">HYPERLINK("https://jira.itg.ti.com/browse/JACINTOREQ-179","JACINTOREQ-179")</f>
        <v>JACINTOREQ-179</v>
      </c>
      <c r="B649" s="19" t="str">
        <f>HYPERLINK("https://jira.itg.ti.com/browse/PDK-2229","PDK-2229")</f>
        <v>PDK-2229</v>
      </c>
      <c r="C649" s="18" t="s">
        <v>777</v>
      </c>
      <c r="D649" s="18" t="s">
        <v>467</v>
      </c>
      <c r="E649" s="18" t="s">
        <v>1645</v>
      </c>
      <c r="F649" s="20" t="s">
        <v>1229</v>
      </c>
      <c r="G649" s="9" t="s">
        <v>1649</v>
      </c>
      <c r="H649" s="8" t="s">
        <v>394</v>
      </c>
      <c r="I649" s="7" t="s">
        <v>1031</v>
      </c>
    </row>
    <row r="650" spans="1:9" ht="25.5" x14ac:dyDescent="0.35">
      <c r="A650" s="19" t="str">
        <f t="shared" si="4"/>
        <v>JACINTOREQ-179</v>
      </c>
      <c r="B650" s="19" t="str">
        <f>HYPERLINK("https://jira.itg.ti.com/browse/PDK-2231","PDK-2231")</f>
        <v>PDK-2231</v>
      </c>
      <c r="C650" s="18" t="s">
        <v>1294</v>
      </c>
      <c r="D650" s="18" t="s">
        <v>467</v>
      </c>
      <c r="E650" s="18" t="s">
        <v>1645</v>
      </c>
      <c r="F650" s="20" t="s">
        <v>1229</v>
      </c>
      <c r="G650" s="9" t="s">
        <v>1649</v>
      </c>
      <c r="H650" s="8" t="s">
        <v>394</v>
      </c>
      <c r="I650" s="7" t="s">
        <v>1031</v>
      </c>
    </row>
    <row r="651" spans="1:9" ht="25.5" x14ac:dyDescent="0.35">
      <c r="A651" s="19" t="str">
        <f t="shared" si="4"/>
        <v>JACINTOREQ-179</v>
      </c>
      <c r="B651" s="19" t="str">
        <f>HYPERLINK("https://jira.itg.ti.com/browse/PDK-2236","PDK-2236")</f>
        <v>PDK-2236</v>
      </c>
      <c r="C651" s="18" t="s">
        <v>1219</v>
      </c>
      <c r="D651" s="18" t="s">
        <v>467</v>
      </c>
      <c r="E651" s="18" t="s">
        <v>1645</v>
      </c>
      <c r="F651" s="20" t="s">
        <v>1229</v>
      </c>
      <c r="G651" s="9" t="s">
        <v>1649</v>
      </c>
      <c r="H651" s="8" t="s">
        <v>394</v>
      </c>
      <c r="I651" s="7" t="s">
        <v>1031</v>
      </c>
    </row>
    <row r="652" spans="1:9" ht="25.5" x14ac:dyDescent="0.35">
      <c r="A652" s="19" t="str">
        <f t="shared" si="4"/>
        <v>JACINTOREQ-179</v>
      </c>
      <c r="B652" s="19" t="str">
        <f>HYPERLINK("https://jira.itg.ti.com/browse/PDK-2244","PDK-2244")</f>
        <v>PDK-2244</v>
      </c>
      <c r="C652" s="18" t="s">
        <v>141</v>
      </c>
      <c r="D652" s="18" t="s">
        <v>467</v>
      </c>
      <c r="E652" s="18" t="s">
        <v>1645</v>
      </c>
      <c r="F652" s="20" t="s">
        <v>1229</v>
      </c>
      <c r="G652" s="9" t="s">
        <v>1649</v>
      </c>
      <c r="H652" s="8" t="s">
        <v>394</v>
      </c>
      <c r="I652" s="7" t="s">
        <v>1031</v>
      </c>
    </row>
    <row r="653" spans="1:9" x14ac:dyDescent="0.35">
      <c r="A653" s="19" t="str">
        <f t="shared" si="4"/>
        <v>JACINTOREQ-179</v>
      </c>
      <c r="B653" s="19" t="str">
        <f>HYPERLINK("https://jira.itg.ti.com/browse/PDK-2246","PDK-2246")</f>
        <v>PDK-2246</v>
      </c>
      <c r="C653" s="18" t="s">
        <v>1558</v>
      </c>
      <c r="D653" s="18" t="s">
        <v>245</v>
      </c>
      <c r="E653" s="18" t="s">
        <v>1645</v>
      </c>
      <c r="F653" s="20" t="s">
        <v>1229</v>
      </c>
      <c r="G653" s="9" t="s">
        <v>1140</v>
      </c>
      <c r="H653" s="8" t="s">
        <v>394</v>
      </c>
      <c r="I653" s="7" t="s">
        <v>1031</v>
      </c>
    </row>
    <row r="654" spans="1:9" ht="25.5" x14ac:dyDescent="0.35">
      <c r="A654" s="19" t="str">
        <f t="shared" si="4"/>
        <v>JACINTOREQ-179</v>
      </c>
      <c r="B654" s="19" t="str">
        <f>HYPERLINK("https://jira.itg.ti.com/browse/PDK-2248","PDK-2248")</f>
        <v>PDK-2248</v>
      </c>
      <c r="C654" s="18" t="s">
        <v>1575</v>
      </c>
      <c r="D654" s="18" t="s">
        <v>467</v>
      </c>
      <c r="E654" s="18" t="s">
        <v>1645</v>
      </c>
      <c r="F654" s="20" t="s">
        <v>1229</v>
      </c>
      <c r="G654" s="9" t="s">
        <v>1649</v>
      </c>
      <c r="H654" s="8" t="s">
        <v>394</v>
      </c>
      <c r="I654" s="7" t="s">
        <v>1031</v>
      </c>
    </row>
    <row r="655" spans="1:9" x14ac:dyDescent="0.35">
      <c r="A655" s="19" t="str">
        <f t="shared" si="4"/>
        <v>JACINTOREQ-179</v>
      </c>
      <c r="B655" s="19" t="str">
        <f>HYPERLINK("https://jira.itg.ti.com/browse/PDK-2250","PDK-2250")</f>
        <v>PDK-2250</v>
      </c>
      <c r="C655" s="18" t="s">
        <v>416</v>
      </c>
      <c r="D655" s="18" t="s">
        <v>245</v>
      </c>
      <c r="E655" s="18" t="s">
        <v>1645</v>
      </c>
      <c r="F655" s="20" t="s">
        <v>1229</v>
      </c>
      <c r="G655" s="9" t="s">
        <v>1140</v>
      </c>
      <c r="H655" s="8" t="s">
        <v>394</v>
      </c>
      <c r="I655" s="7" t="s">
        <v>1031</v>
      </c>
    </row>
    <row r="656" spans="1:9" ht="25.5" x14ac:dyDescent="0.35">
      <c r="A656" s="19" t="str">
        <f t="shared" si="4"/>
        <v>JACINTOREQ-179</v>
      </c>
      <c r="B656" s="19" t="str">
        <f>HYPERLINK("https://jira.itg.ti.com/browse/PDK-2251","PDK-2251")</f>
        <v>PDK-2251</v>
      </c>
      <c r="C656" s="18" t="s">
        <v>1521</v>
      </c>
      <c r="D656" s="18" t="s">
        <v>467</v>
      </c>
      <c r="E656" s="18" t="s">
        <v>1645</v>
      </c>
      <c r="F656" s="20" t="s">
        <v>1229</v>
      </c>
      <c r="G656" s="9" t="s">
        <v>1649</v>
      </c>
      <c r="H656" s="8" t="s">
        <v>394</v>
      </c>
      <c r="I656" s="7" t="s">
        <v>1031</v>
      </c>
    </row>
    <row r="657" spans="1:9" ht="25.5" x14ac:dyDescent="0.35">
      <c r="A657" s="19" t="str">
        <f t="shared" si="4"/>
        <v>JACINTOREQ-179</v>
      </c>
      <c r="B657" s="19" t="str">
        <f>HYPERLINK("https://jira.itg.ti.com/browse/PDK-2252","PDK-2252")</f>
        <v>PDK-2252</v>
      </c>
      <c r="C657" s="18" t="s">
        <v>1678</v>
      </c>
      <c r="D657" s="18" t="s">
        <v>467</v>
      </c>
      <c r="E657" s="18" t="s">
        <v>1645</v>
      </c>
      <c r="F657" s="20" t="s">
        <v>1229</v>
      </c>
      <c r="G657" s="9" t="s">
        <v>1649</v>
      </c>
      <c r="H657" s="8" t="s">
        <v>394</v>
      </c>
      <c r="I657" s="7" t="s">
        <v>1031</v>
      </c>
    </row>
    <row r="658" spans="1:9" ht="25.5" x14ac:dyDescent="0.35">
      <c r="A658" s="19" t="str">
        <f t="shared" si="4"/>
        <v>JACINTOREQ-179</v>
      </c>
      <c r="B658" s="19" t="str">
        <f>HYPERLINK("https://jira.itg.ti.com/browse/PDK-2253","PDK-2253")</f>
        <v>PDK-2253</v>
      </c>
      <c r="C658" s="18" t="s">
        <v>277</v>
      </c>
      <c r="D658" s="18" t="s">
        <v>467</v>
      </c>
      <c r="E658" s="18" t="s">
        <v>1645</v>
      </c>
      <c r="F658" s="20" t="s">
        <v>1229</v>
      </c>
      <c r="G658" s="9" t="s">
        <v>1649</v>
      </c>
      <c r="H658" s="8" t="s">
        <v>394</v>
      </c>
      <c r="I658" s="7" t="s">
        <v>1031</v>
      </c>
    </row>
    <row r="659" spans="1:9" ht="25.5" x14ac:dyDescent="0.35">
      <c r="A659" s="19" t="str">
        <f t="shared" si="4"/>
        <v>JACINTOREQ-179</v>
      </c>
      <c r="B659" s="19" t="str">
        <f>HYPERLINK("https://jira.itg.ti.com/browse/PDK-2254","PDK-2254")</f>
        <v>PDK-2254</v>
      </c>
      <c r="C659" s="18" t="s">
        <v>198</v>
      </c>
      <c r="D659" s="18" t="s">
        <v>467</v>
      </c>
      <c r="E659" s="18" t="s">
        <v>1645</v>
      </c>
      <c r="F659" s="20" t="s">
        <v>1229</v>
      </c>
      <c r="G659" s="9" t="s">
        <v>1649</v>
      </c>
      <c r="H659" s="8" t="s">
        <v>394</v>
      </c>
      <c r="I659" s="7" t="s">
        <v>1031</v>
      </c>
    </row>
    <row r="660" spans="1:9" ht="25.5" x14ac:dyDescent="0.35">
      <c r="A660" s="19" t="str">
        <f t="shared" si="4"/>
        <v>JACINTOREQ-179</v>
      </c>
      <c r="B660" s="19" t="str">
        <f>HYPERLINK("https://jira.itg.ti.com/browse/PDK-2255","PDK-2255")</f>
        <v>PDK-2255</v>
      </c>
      <c r="C660" s="18" t="s">
        <v>1266</v>
      </c>
      <c r="D660" s="18" t="s">
        <v>467</v>
      </c>
      <c r="E660" s="18" t="s">
        <v>1645</v>
      </c>
      <c r="F660" s="20" t="s">
        <v>1229</v>
      </c>
      <c r="G660" s="9" t="s">
        <v>1649</v>
      </c>
      <c r="H660" s="8" t="s">
        <v>394</v>
      </c>
      <c r="I660" s="7" t="s">
        <v>1031</v>
      </c>
    </row>
    <row r="661" spans="1:9" ht="25.5" x14ac:dyDescent="0.35">
      <c r="A661" s="19" t="str">
        <f t="shared" si="4"/>
        <v>JACINTOREQ-179</v>
      </c>
      <c r="B661" s="19" t="str">
        <f>HYPERLINK("https://jira.itg.ti.com/browse/PDK-2256","PDK-2256")</f>
        <v>PDK-2256</v>
      </c>
      <c r="C661" s="18" t="s">
        <v>1008</v>
      </c>
      <c r="D661" s="18" t="s">
        <v>467</v>
      </c>
      <c r="E661" s="18" t="s">
        <v>1645</v>
      </c>
      <c r="F661" s="20" t="s">
        <v>1229</v>
      </c>
      <c r="G661" s="9" t="s">
        <v>569</v>
      </c>
      <c r="H661" s="8" t="s">
        <v>394</v>
      </c>
      <c r="I661" s="7" t="s">
        <v>1031</v>
      </c>
    </row>
    <row r="662" spans="1:9" x14ac:dyDescent="0.35">
      <c r="A662" s="19" t="str">
        <f t="shared" si="4"/>
        <v>JACINTOREQ-179</v>
      </c>
      <c r="B662" s="19" t="str">
        <f>HYPERLINK("https://jira.itg.ti.com/browse/PDK-2257","PDK-2257")</f>
        <v>PDK-2257</v>
      </c>
      <c r="C662" s="18" t="s">
        <v>806</v>
      </c>
      <c r="D662" s="18" t="s">
        <v>467</v>
      </c>
      <c r="E662" s="18" t="s">
        <v>1645</v>
      </c>
      <c r="F662" s="20" t="s">
        <v>1229</v>
      </c>
      <c r="G662" s="9" t="s">
        <v>597</v>
      </c>
      <c r="H662" s="8" t="s">
        <v>394</v>
      </c>
      <c r="I662" s="7" t="s">
        <v>1031</v>
      </c>
    </row>
    <row r="663" spans="1:9" ht="25.5" x14ac:dyDescent="0.35">
      <c r="A663" s="19" t="str">
        <f t="shared" si="4"/>
        <v>JACINTOREQ-179</v>
      </c>
      <c r="B663" s="19" t="str">
        <f>HYPERLINK("https://jira.itg.ti.com/browse/PDK-2294","PDK-2294")</f>
        <v>PDK-2294</v>
      </c>
      <c r="C663" s="18" t="s">
        <v>41</v>
      </c>
      <c r="D663" s="18" t="s">
        <v>467</v>
      </c>
      <c r="E663" s="18" t="s">
        <v>1645</v>
      </c>
      <c r="F663" s="20" t="s">
        <v>1229</v>
      </c>
      <c r="G663" s="9" t="s">
        <v>1649</v>
      </c>
      <c r="H663" s="8" t="s">
        <v>394</v>
      </c>
      <c r="I663" s="7" t="s">
        <v>1031</v>
      </c>
    </row>
    <row r="664" spans="1:9" ht="25.5" x14ac:dyDescent="0.35">
      <c r="A664" s="19" t="str">
        <f t="shared" si="4"/>
        <v>JACINTOREQ-179</v>
      </c>
      <c r="B664" s="19" t="str">
        <f>HYPERLINK("https://jira.itg.ti.com/browse/PDK-2299","PDK-2299")</f>
        <v>PDK-2299</v>
      </c>
      <c r="C664" s="18" t="s">
        <v>586</v>
      </c>
      <c r="D664" s="18" t="s">
        <v>467</v>
      </c>
      <c r="E664" s="18" t="s">
        <v>1645</v>
      </c>
      <c r="F664" s="20" t="s">
        <v>1229</v>
      </c>
      <c r="G664" s="9" t="s">
        <v>1128</v>
      </c>
      <c r="H664" s="8" t="s">
        <v>394</v>
      </c>
      <c r="I664" s="7" t="s">
        <v>1031</v>
      </c>
    </row>
    <row r="665" spans="1:9" ht="25.5" x14ac:dyDescent="0.35">
      <c r="A665" s="19" t="str">
        <f t="shared" si="4"/>
        <v>JACINTOREQ-179</v>
      </c>
      <c r="B665" s="19" t="str">
        <f>HYPERLINK("https://jira.itg.ti.com/browse/PDK-2300","PDK-2300")</f>
        <v>PDK-2300</v>
      </c>
      <c r="C665" s="18" t="s">
        <v>595</v>
      </c>
      <c r="D665" s="18" t="s">
        <v>467</v>
      </c>
      <c r="E665" s="18" t="s">
        <v>1645</v>
      </c>
      <c r="F665" s="20" t="s">
        <v>1229</v>
      </c>
      <c r="G665" s="9" t="s">
        <v>633</v>
      </c>
      <c r="H665" s="8" t="s">
        <v>394</v>
      </c>
      <c r="I665" s="7" t="s">
        <v>1031</v>
      </c>
    </row>
    <row r="666" spans="1:9" ht="25.5" x14ac:dyDescent="0.35">
      <c r="A666" s="19" t="str">
        <f t="shared" si="4"/>
        <v>JACINTOREQ-179</v>
      </c>
      <c r="B666" s="19" t="str">
        <f>HYPERLINK("https://jira.itg.ti.com/browse/PDK-2301","PDK-2301")</f>
        <v>PDK-2301</v>
      </c>
      <c r="C666" s="18" t="s">
        <v>474</v>
      </c>
      <c r="D666" s="18" t="s">
        <v>467</v>
      </c>
      <c r="E666" s="18" t="s">
        <v>1645</v>
      </c>
      <c r="F666" s="20" t="s">
        <v>1229</v>
      </c>
      <c r="G666" s="9" t="s">
        <v>1649</v>
      </c>
      <c r="H666" s="8" t="s">
        <v>394</v>
      </c>
      <c r="I666" s="7" t="s">
        <v>1031</v>
      </c>
    </row>
    <row r="667" spans="1:9" ht="25.5" x14ac:dyDescent="0.35">
      <c r="A667" s="19" t="str">
        <f t="shared" si="4"/>
        <v>JACINTOREQ-179</v>
      </c>
      <c r="B667" s="19" t="str">
        <f>HYPERLINK("https://jira.itg.ti.com/browse/PDK-2303","PDK-2303")</f>
        <v>PDK-2303</v>
      </c>
      <c r="C667" s="18" t="s">
        <v>1552</v>
      </c>
      <c r="D667" s="18" t="s">
        <v>467</v>
      </c>
      <c r="E667" s="18" t="s">
        <v>1645</v>
      </c>
      <c r="F667" s="20" t="s">
        <v>1229</v>
      </c>
      <c r="G667" s="9" t="s">
        <v>1649</v>
      </c>
      <c r="H667" s="8" t="s">
        <v>394</v>
      </c>
      <c r="I667" s="7" t="s">
        <v>1031</v>
      </c>
    </row>
    <row r="668" spans="1:9" ht="25.5" x14ac:dyDescent="0.35">
      <c r="A668" s="19" t="str">
        <f t="shared" si="4"/>
        <v>JACINTOREQ-179</v>
      </c>
      <c r="B668" s="19" t="str">
        <f>HYPERLINK("https://jira.itg.ti.com/browse/PDK-2325","PDK-2325")</f>
        <v>PDK-2325</v>
      </c>
      <c r="C668" s="18" t="s">
        <v>129</v>
      </c>
      <c r="D668" s="18" t="s">
        <v>467</v>
      </c>
      <c r="E668" s="18" t="s">
        <v>1645</v>
      </c>
      <c r="F668" s="20" t="s">
        <v>1229</v>
      </c>
      <c r="G668" s="9" t="s">
        <v>1649</v>
      </c>
      <c r="H668" s="8" t="s">
        <v>394</v>
      </c>
      <c r="I668" s="7" t="s">
        <v>1031</v>
      </c>
    </row>
    <row r="669" spans="1:9" ht="25.5" x14ac:dyDescent="0.35">
      <c r="A669" s="19" t="str">
        <f t="shared" si="4"/>
        <v>JACINTOREQ-179</v>
      </c>
      <c r="B669" s="19" t="str">
        <f>HYPERLINK("https://jira.itg.ti.com/browse/PDK-2326","PDK-2326")</f>
        <v>PDK-2326</v>
      </c>
      <c r="C669" s="18" t="s">
        <v>952</v>
      </c>
      <c r="D669" s="18" t="s">
        <v>467</v>
      </c>
      <c r="E669" s="18" t="s">
        <v>1645</v>
      </c>
      <c r="F669" s="20" t="s">
        <v>1229</v>
      </c>
      <c r="G669" s="9" t="s">
        <v>1649</v>
      </c>
      <c r="H669" s="8" t="s">
        <v>394</v>
      </c>
      <c r="I669" s="7" t="s">
        <v>1031</v>
      </c>
    </row>
    <row r="670" spans="1:9" ht="25.5" x14ac:dyDescent="0.35">
      <c r="A670" s="19" t="str">
        <f t="shared" si="4"/>
        <v>JACINTOREQ-179</v>
      </c>
      <c r="B670" s="19" t="str">
        <f>HYPERLINK("https://jira.itg.ti.com/browse/PDK-2327","PDK-2327")</f>
        <v>PDK-2327</v>
      </c>
      <c r="C670" s="18" t="s">
        <v>963</v>
      </c>
      <c r="D670" s="18" t="s">
        <v>467</v>
      </c>
      <c r="E670" s="18" t="s">
        <v>1645</v>
      </c>
      <c r="F670" s="20" t="s">
        <v>1229</v>
      </c>
      <c r="G670" s="9" t="s">
        <v>1649</v>
      </c>
      <c r="H670" s="8" t="s">
        <v>394</v>
      </c>
      <c r="I670" s="7" t="s">
        <v>1031</v>
      </c>
    </row>
    <row r="671" spans="1:9" ht="25.5" x14ac:dyDescent="0.35">
      <c r="A671" s="19" t="str">
        <f t="shared" si="4"/>
        <v>JACINTOREQ-179</v>
      </c>
      <c r="B671" s="19" t="str">
        <f>HYPERLINK("https://jira.itg.ti.com/browse/PDK-2328","PDK-2328")</f>
        <v>PDK-2328</v>
      </c>
      <c r="C671" s="18" t="s">
        <v>160</v>
      </c>
      <c r="D671" s="18" t="s">
        <v>467</v>
      </c>
      <c r="E671" s="18" t="s">
        <v>1645</v>
      </c>
      <c r="F671" s="20" t="s">
        <v>1229</v>
      </c>
      <c r="G671" s="9" t="s">
        <v>1649</v>
      </c>
      <c r="H671" s="8" t="s">
        <v>394</v>
      </c>
      <c r="I671" s="7" t="s">
        <v>1031</v>
      </c>
    </row>
    <row r="672" spans="1:9" ht="25.5" x14ac:dyDescent="0.35">
      <c r="A672" s="19" t="str">
        <f t="shared" si="4"/>
        <v>JACINTOREQ-179</v>
      </c>
      <c r="B672" s="19" t="str">
        <f>HYPERLINK("https://jira.itg.ti.com/browse/PDK-2329","PDK-2329")</f>
        <v>PDK-2329</v>
      </c>
      <c r="C672" s="18" t="s">
        <v>229</v>
      </c>
      <c r="D672" s="18" t="s">
        <v>467</v>
      </c>
      <c r="E672" s="18" t="s">
        <v>1645</v>
      </c>
      <c r="F672" s="20" t="s">
        <v>1229</v>
      </c>
      <c r="G672" s="9" t="s">
        <v>1649</v>
      </c>
      <c r="H672" s="8" t="s">
        <v>394</v>
      </c>
      <c r="I672" s="7" t="s">
        <v>1031</v>
      </c>
    </row>
    <row r="673" spans="1:9" ht="25.5" x14ac:dyDescent="0.35">
      <c r="A673" s="19" t="str">
        <f t="shared" si="4"/>
        <v>JACINTOREQ-179</v>
      </c>
      <c r="B673" s="19" t="str">
        <f>HYPERLINK("https://jira.itg.ti.com/browse/PDK-2330","PDK-2330")</f>
        <v>PDK-2330</v>
      </c>
      <c r="C673" s="18" t="s">
        <v>232</v>
      </c>
      <c r="D673" s="18" t="s">
        <v>467</v>
      </c>
      <c r="E673" s="18" t="s">
        <v>1645</v>
      </c>
      <c r="F673" s="20" t="s">
        <v>1229</v>
      </c>
      <c r="G673" s="9" t="s">
        <v>1649</v>
      </c>
      <c r="H673" s="8" t="s">
        <v>394</v>
      </c>
      <c r="I673" s="7" t="s">
        <v>1031</v>
      </c>
    </row>
    <row r="674" spans="1:9" ht="25.5" x14ac:dyDescent="0.35">
      <c r="A674" s="19" t="str">
        <f t="shared" si="4"/>
        <v>JACINTOREQ-179</v>
      </c>
      <c r="B674" s="19" t="str">
        <f>HYPERLINK("https://jira.itg.ti.com/browse/PDK-2331","PDK-2331")</f>
        <v>PDK-2331</v>
      </c>
      <c r="C674" s="18" t="s">
        <v>1642</v>
      </c>
      <c r="D674" s="18" t="s">
        <v>467</v>
      </c>
      <c r="E674" s="18" t="s">
        <v>1645</v>
      </c>
      <c r="F674" s="20" t="s">
        <v>1229</v>
      </c>
      <c r="G674" s="9" t="s">
        <v>1649</v>
      </c>
      <c r="H674" s="8" t="s">
        <v>394</v>
      </c>
      <c r="I674" s="7" t="s">
        <v>1031</v>
      </c>
    </row>
    <row r="675" spans="1:9" x14ac:dyDescent="0.35">
      <c r="A675" s="19" t="str">
        <f>HYPERLINK("https://jira.itg.ti.com/browse/JACINTOREQ-186","JACINTOREQ-186")</f>
        <v>JACINTOREQ-186</v>
      </c>
      <c r="B675" s="19" t="str">
        <f>HYPERLINK("https://jira.itg.ti.com/browse/PDK-2460","PDK-2460")</f>
        <v>PDK-2460</v>
      </c>
      <c r="C675" s="18" t="s">
        <v>612</v>
      </c>
      <c r="D675" s="18" t="s">
        <v>1268</v>
      </c>
      <c r="E675" s="18" t="s">
        <v>1645</v>
      </c>
      <c r="F675" s="20" t="s">
        <v>1229</v>
      </c>
      <c r="G675" s="9" t="s">
        <v>997</v>
      </c>
      <c r="H675" s="8" t="s">
        <v>394</v>
      </c>
      <c r="I675" s="7" t="s">
        <v>1031</v>
      </c>
    </row>
    <row r="676" spans="1:9" x14ac:dyDescent="0.35">
      <c r="A676" s="19" t="str">
        <f>HYPERLINK("https://jira.itg.ti.com/browse/JACINTOREQ-188","JACINTOREQ-188")</f>
        <v>JACINTOREQ-188</v>
      </c>
      <c r="B676" s="19" t="str">
        <f>HYPERLINK("https://jira.itg.ti.com/browse/PDK-2469","PDK-2469")</f>
        <v>PDK-2469</v>
      </c>
      <c r="C676" s="18" t="s">
        <v>544</v>
      </c>
      <c r="D676" s="18" t="s">
        <v>245</v>
      </c>
      <c r="E676" s="18" t="s">
        <v>1645</v>
      </c>
      <c r="F676" s="20" t="s">
        <v>1229</v>
      </c>
      <c r="G676" s="9" t="s">
        <v>819</v>
      </c>
      <c r="H676" s="8" t="s">
        <v>394</v>
      </c>
      <c r="I676" s="7" t="s">
        <v>1031</v>
      </c>
    </row>
    <row r="677" spans="1:9" x14ac:dyDescent="0.35">
      <c r="A677" s="19"/>
      <c r="B677" s="19"/>
      <c r="C677" s="18"/>
      <c r="D677" s="18"/>
      <c r="E677" s="18"/>
      <c r="F677" s="20"/>
      <c r="G677" s="10" t="s">
        <v>366</v>
      </c>
      <c r="H677" s="8" t="s">
        <v>394</v>
      </c>
    </row>
    <row r="678" spans="1:9" x14ac:dyDescent="0.35">
      <c r="A678" s="19" t="str">
        <f>HYPERLINK("https://jira.itg.ti.com/browse/JACINTOREQ-189","JACINTOREQ-189")</f>
        <v>JACINTOREQ-189</v>
      </c>
      <c r="B678" s="19" t="str">
        <f>HYPERLINK("https://jira.itg.ti.com/browse/PDK-2472","PDK-2472")</f>
        <v>PDK-2472</v>
      </c>
      <c r="C678" s="18" t="s">
        <v>765</v>
      </c>
      <c r="D678" s="18" t="s">
        <v>1301</v>
      </c>
      <c r="E678" s="18" t="s">
        <v>1645</v>
      </c>
      <c r="F678" s="20" t="s">
        <v>1229</v>
      </c>
      <c r="G678" s="9" t="s">
        <v>102</v>
      </c>
      <c r="H678" s="8" t="s">
        <v>394</v>
      </c>
      <c r="I678" s="7" t="s">
        <v>1031</v>
      </c>
    </row>
    <row r="679" spans="1:9" x14ac:dyDescent="0.35">
      <c r="A679" s="19" t="str">
        <f>HYPERLINK("https://jira.itg.ti.com/browse/JACINTOREQ-191","JACINTOREQ-191")</f>
        <v>JACINTOREQ-191</v>
      </c>
      <c r="B679" s="19" t="str">
        <f>HYPERLINK("https://jira.itg.ti.com/browse/PDK-2493","PDK-2493")</f>
        <v>PDK-2493</v>
      </c>
      <c r="C679" s="18" t="s">
        <v>4</v>
      </c>
      <c r="D679" s="18" t="s">
        <v>467</v>
      </c>
      <c r="E679" s="18" t="s">
        <v>1645</v>
      </c>
      <c r="F679" s="20" t="s">
        <v>1229</v>
      </c>
      <c r="G679" s="9" t="s">
        <v>200</v>
      </c>
      <c r="H679" s="8" t="s">
        <v>394</v>
      </c>
      <c r="I679" s="7" t="s">
        <v>1031</v>
      </c>
    </row>
    <row r="680" spans="1:9" x14ac:dyDescent="0.35">
      <c r="A680" s="19" t="str">
        <f>HYPERLINK("https://jira.itg.ti.com/browse/JACINTOREQ-193","JACINTOREQ-193")</f>
        <v>JACINTOREQ-193</v>
      </c>
      <c r="B680" s="19" t="str">
        <f>HYPERLINK("https://jira.itg.ti.com/browse/PDK-2396","PDK-2396")</f>
        <v>PDK-2396</v>
      </c>
      <c r="C680" s="18" t="s">
        <v>1285</v>
      </c>
      <c r="D680" s="18" t="s">
        <v>1301</v>
      </c>
      <c r="E680" s="18" t="s">
        <v>1645</v>
      </c>
      <c r="F680" s="21" t="s">
        <v>419</v>
      </c>
      <c r="G680" s="9" t="s">
        <v>52</v>
      </c>
      <c r="H680" s="8" t="s">
        <v>394</v>
      </c>
      <c r="I680" s="7" t="s">
        <v>1031</v>
      </c>
    </row>
    <row r="681" spans="1:9" x14ac:dyDescent="0.35">
      <c r="A681" s="14"/>
      <c r="B681" s="14"/>
      <c r="C681" s="14"/>
      <c r="D681" s="14"/>
      <c r="E681" s="14"/>
      <c r="F681" s="14"/>
      <c r="G681" s="10" t="s">
        <v>1562</v>
      </c>
      <c r="H681" s="8" t="s">
        <v>394</v>
      </c>
    </row>
    <row r="682" spans="1:9" x14ac:dyDescent="0.35">
      <c r="A682" s="14"/>
      <c r="B682" s="14"/>
      <c r="C682" s="14"/>
      <c r="D682" s="14"/>
      <c r="E682" s="14"/>
      <c r="F682" s="14"/>
      <c r="G682" s="10" t="s">
        <v>1177</v>
      </c>
      <c r="H682" s="8" t="s">
        <v>394</v>
      </c>
    </row>
    <row r="683" spans="1:9" x14ac:dyDescent="0.35">
      <c r="A683" s="14"/>
      <c r="B683" s="14"/>
      <c r="C683" s="14"/>
      <c r="D683" s="14"/>
      <c r="E683" s="14"/>
      <c r="F683" s="14"/>
      <c r="G683" s="10" t="s">
        <v>994</v>
      </c>
      <c r="H683" s="8" t="s">
        <v>394</v>
      </c>
    </row>
    <row r="684" spans="1:9" x14ac:dyDescent="0.35">
      <c r="A684" s="19"/>
      <c r="B684" s="19"/>
      <c r="C684" s="18"/>
      <c r="D684" s="18"/>
      <c r="E684" s="18"/>
      <c r="F684" s="21"/>
      <c r="G684" s="10" t="s">
        <v>1210</v>
      </c>
      <c r="H684" s="12" t="s">
        <v>1241</v>
      </c>
    </row>
    <row r="685" spans="1:9" x14ac:dyDescent="0.35">
      <c r="A685" s="19" t="str">
        <f>HYPERLINK("https://jira.itg.ti.com/browse/JACINTOREQ-194","JACINTOREQ-194")</f>
        <v>JACINTOREQ-194</v>
      </c>
      <c r="B685" s="19" t="str">
        <f>HYPERLINK("https://jira.itg.ti.com/browse/PDK-2936","PDK-2936")</f>
        <v>PDK-2936</v>
      </c>
      <c r="C685" s="18" t="s">
        <v>513</v>
      </c>
      <c r="D685" s="18" t="s">
        <v>1206</v>
      </c>
      <c r="E685" s="18" t="s">
        <v>1645</v>
      </c>
      <c r="F685" s="20" t="s">
        <v>1229</v>
      </c>
      <c r="G685" s="9" t="s">
        <v>987</v>
      </c>
      <c r="H685" s="8" t="s">
        <v>394</v>
      </c>
      <c r="I685" s="7" t="s">
        <v>1031</v>
      </c>
    </row>
    <row r="686" spans="1:9" x14ac:dyDescent="0.35">
      <c r="A686" s="19"/>
      <c r="B686" s="19"/>
      <c r="C686" s="18"/>
      <c r="D686" s="18"/>
      <c r="E686" s="18"/>
      <c r="F686" s="20"/>
      <c r="G686" s="10" t="s">
        <v>200</v>
      </c>
      <c r="H686" s="8" t="s">
        <v>394</v>
      </c>
    </row>
    <row r="687" spans="1:9" x14ac:dyDescent="0.35">
      <c r="A687" s="19" t="str">
        <f>HYPERLINK("https://jira.itg.ti.com/browse/JACINTOREQ-194","JACINTOREQ-194")</f>
        <v>JACINTOREQ-194</v>
      </c>
      <c r="B687" s="19" t="str">
        <f>HYPERLINK("https://jira.itg.ti.com/browse/PDK-3393","PDK-3393")</f>
        <v>PDK-3393</v>
      </c>
      <c r="C687" s="18" t="s">
        <v>114</v>
      </c>
      <c r="D687" s="18" t="s">
        <v>910</v>
      </c>
      <c r="E687" s="18" t="s">
        <v>1645</v>
      </c>
      <c r="F687" s="20" t="s">
        <v>1229</v>
      </c>
      <c r="G687" s="9" t="s">
        <v>495</v>
      </c>
      <c r="H687" s="8" t="s">
        <v>394</v>
      </c>
      <c r="I687" s="7" t="s">
        <v>1031</v>
      </c>
    </row>
    <row r="688" spans="1:9" x14ac:dyDescent="0.35">
      <c r="A688" s="19" t="str">
        <f>HYPERLINK("https://jira.itg.ti.com/browse/JACINTOREQ-194","JACINTOREQ-194")</f>
        <v>JACINTOREQ-194</v>
      </c>
      <c r="B688" s="19" t="str">
        <f>HYPERLINK("https://jira.itg.ti.com/browse/PDK-3394","PDK-3394")</f>
        <v>PDK-3394</v>
      </c>
      <c r="C688" s="18" t="s">
        <v>408</v>
      </c>
      <c r="D688" s="18" t="s">
        <v>910</v>
      </c>
      <c r="E688" s="18" t="s">
        <v>1645</v>
      </c>
      <c r="F688" s="20" t="s">
        <v>1229</v>
      </c>
      <c r="G688" s="9" t="s">
        <v>495</v>
      </c>
      <c r="H688" s="8" t="s">
        <v>394</v>
      </c>
      <c r="I688" s="7" t="s">
        <v>1031</v>
      </c>
    </row>
    <row r="689" spans="1:9" x14ac:dyDescent="0.35">
      <c r="A689" s="19" t="str">
        <f>HYPERLINK("https://jira.itg.ti.com/browse/JACINTOREQ-194","JACINTOREQ-194")</f>
        <v>JACINTOREQ-194</v>
      </c>
      <c r="B689" s="19" t="str">
        <f>HYPERLINK("https://jira.itg.ti.com/browse/PDK-4277","PDK-4277")</f>
        <v>PDK-4277</v>
      </c>
      <c r="C689" s="18" t="s">
        <v>1284</v>
      </c>
      <c r="D689" s="18" t="s">
        <v>692</v>
      </c>
      <c r="E689" s="18" t="s">
        <v>1645</v>
      </c>
      <c r="F689" s="20" t="s">
        <v>1229</v>
      </c>
      <c r="G689" s="9" t="s">
        <v>479</v>
      </c>
      <c r="H689" s="8" t="s">
        <v>394</v>
      </c>
      <c r="I689" s="7" t="s">
        <v>1031</v>
      </c>
    </row>
    <row r="690" spans="1:9" x14ac:dyDescent="0.35">
      <c r="A690" s="19" t="str">
        <f>HYPERLINK("https://jira.itg.ti.com/browse/JACINTOREQ-194","JACINTOREQ-194")</f>
        <v>JACINTOREQ-194</v>
      </c>
      <c r="B690" s="19" t="str">
        <f>HYPERLINK("https://jira.itg.ti.com/browse/PDK-2137","PDK-2137")</f>
        <v>PDK-2137</v>
      </c>
      <c r="C690" s="18" t="s">
        <v>403</v>
      </c>
      <c r="D690" s="18" t="s">
        <v>1206</v>
      </c>
      <c r="E690" s="18" t="s">
        <v>1645</v>
      </c>
      <c r="F690" s="20" t="s">
        <v>1229</v>
      </c>
      <c r="G690" s="9" t="s">
        <v>564</v>
      </c>
      <c r="H690" s="8" t="s">
        <v>394</v>
      </c>
      <c r="I690" s="7" t="s">
        <v>1031</v>
      </c>
    </row>
    <row r="691" spans="1:9" x14ac:dyDescent="0.35">
      <c r="A691" s="19"/>
      <c r="B691" s="19"/>
      <c r="C691" s="18"/>
      <c r="D691" s="18"/>
      <c r="E691" s="18"/>
      <c r="F691" s="20"/>
      <c r="G691" s="10" t="s">
        <v>1161</v>
      </c>
      <c r="H691" s="8" t="s">
        <v>394</v>
      </c>
    </row>
    <row r="692" spans="1:9" x14ac:dyDescent="0.35">
      <c r="A692" s="19" t="str">
        <f>HYPERLINK("https://jira.itg.ti.com/browse/JACINTOREQ-194","JACINTOREQ-194")</f>
        <v>JACINTOREQ-194</v>
      </c>
      <c r="B692" s="19" t="str">
        <f>HYPERLINK("https://jira.itg.ti.com/browse/PDK-2138","PDK-2138")</f>
        <v>PDK-2138</v>
      </c>
      <c r="C692" s="18" t="s">
        <v>1103</v>
      </c>
      <c r="D692" s="18" t="s">
        <v>1206</v>
      </c>
      <c r="E692" s="18" t="s">
        <v>1645</v>
      </c>
      <c r="F692" s="20" t="s">
        <v>1229</v>
      </c>
      <c r="G692" s="9" t="s">
        <v>564</v>
      </c>
      <c r="H692" s="8" t="s">
        <v>394</v>
      </c>
      <c r="I692" s="7" t="s">
        <v>1031</v>
      </c>
    </row>
    <row r="693" spans="1:9" x14ac:dyDescent="0.35">
      <c r="A693" s="19"/>
      <c r="B693" s="19"/>
      <c r="C693" s="18"/>
      <c r="D693" s="18"/>
      <c r="E693" s="18"/>
      <c r="F693" s="20"/>
      <c r="G693" s="10" t="s">
        <v>1161</v>
      </c>
      <c r="H693" s="8" t="s">
        <v>394</v>
      </c>
    </row>
    <row r="694" spans="1:9" x14ac:dyDescent="0.35">
      <c r="A694" s="19" t="str">
        <f>HYPERLINK("https://jira.itg.ti.com/browse/JACINTOREQ-194","JACINTOREQ-194")</f>
        <v>JACINTOREQ-194</v>
      </c>
      <c r="B694" s="19" t="str">
        <f>HYPERLINK("https://jira.itg.ti.com/browse/PDK-2139","PDK-2139")</f>
        <v>PDK-2139</v>
      </c>
      <c r="C694" s="18" t="s">
        <v>159</v>
      </c>
      <c r="D694" s="18" t="s">
        <v>1206</v>
      </c>
      <c r="E694" s="18" t="s">
        <v>1645</v>
      </c>
      <c r="F694" s="20" t="s">
        <v>1229</v>
      </c>
      <c r="G694" s="9" t="s">
        <v>1314</v>
      </c>
      <c r="H694" s="8" t="s">
        <v>394</v>
      </c>
      <c r="I694" s="7" t="s">
        <v>1031</v>
      </c>
    </row>
    <row r="695" spans="1:9" x14ac:dyDescent="0.35">
      <c r="A695" s="14"/>
      <c r="B695" s="14"/>
      <c r="C695" s="14"/>
      <c r="D695" s="14"/>
      <c r="E695" s="14"/>
      <c r="F695" s="14"/>
      <c r="G695" s="10" t="s">
        <v>934</v>
      </c>
      <c r="H695" s="8" t="s">
        <v>394</v>
      </c>
    </row>
    <row r="696" spans="1:9" x14ac:dyDescent="0.35">
      <c r="A696" s="14"/>
      <c r="B696" s="14"/>
      <c r="C696" s="14"/>
      <c r="D696" s="14"/>
      <c r="E696" s="14"/>
      <c r="F696" s="14"/>
      <c r="G696" s="10" t="s">
        <v>273</v>
      </c>
      <c r="H696" s="8" t="s">
        <v>394</v>
      </c>
    </row>
    <row r="697" spans="1:9" x14ac:dyDescent="0.35">
      <c r="A697" s="19"/>
      <c r="B697" s="19"/>
      <c r="C697" s="18"/>
      <c r="D697" s="18"/>
      <c r="E697" s="18"/>
      <c r="F697" s="20"/>
      <c r="G697" s="10" t="s">
        <v>991</v>
      </c>
      <c r="H697" s="8" t="s">
        <v>394</v>
      </c>
    </row>
    <row r="698" spans="1:9" x14ac:dyDescent="0.35">
      <c r="A698" s="19" t="str">
        <f>HYPERLINK("https://jira.itg.ti.com/browse/JACINTOREQ-194","JACINTOREQ-194")</f>
        <v>JACINTOREQ-194</v>
      </c>
      <c r="B698" s="19" t="str">
        <f>HYPERLINK("https://jira.itg.ti.com/browse/PDK-2140","PDK-2140")</f>
        <v>PDK-2140</v>
      </c>
      <c r="C698" s="18" t="s">
        <v>582</v>
      </c>
      <c r="D698" s="18" t="s">
        <v>1206</v>
      </c>
      <c r="E698" s="18" t="s">
        <v>1645</v>
      </c>
      <c r="F698" s="20" t="s">
        <v>1229</v>
      </c>
      <c r="G698" s="9" t="s">
        <v>564</v>
      </c>
      <c r="H698" s="8" t="s">
        <v>394</v>
      </c>
      <c r="I698" s="7" t="s">
        <v>1031</v>
      </c>
    </row>
    <row r="699" spans="1:9" x14ac:dyDescent="0.35">
      <c r="A699" s="14"/>
      <c r="B699" s="14"/>
      <c r="C699" s="14"/>
      <c r="D699" s="14"/>
      <c r="E699" s="14"/>
      <c r="F699" s="14"/>
      <c r="G699" s="10" t="s">
        <v>1314</v>
      </c>
      <c r="H699" s="8" t="s">
        <v>394</v>
      </c>
    </row>
    <row r="700" spans="1:9" x14ac:dyDescent="0.35">
      <c r="A700" s="14"/>
      <c r="B700" s="14"/>
      <c r="C700" s="14"/>
      <c r="D700" s="14"/>
      <c r="E700" s="14"/>
      <c r="F700" s="14"/>
      <c r="G700" s="10" t="s">
        <v>1088</v>
      </c>
      <c r="H700" s="8" t="s">
        <v>394</v>
      </c>
    </row>
    <row r="701" spans="1:9" x14ac:dyDescent="0.35">
      <c r="A701" s="14"/>
      <c r="B701" s="14"/>
      <c r="C701" s="14"/>
      <c r="D701" s="14"/>
      <c r="E701" s="14"/>
      <c r="F701" s="14"/>
      <c r="G701" s="10" t="s">
        <v>934</v>
      </c>
      <c r="H701" s="8" t="s">
        <v>394</v>
      </c>
    </row>
    <row r="702" spans="1:9" x14ac:dyDescent="0.35">
      <c r="A702" s="14"/>
      <c r="B702" s="14"/>
      <c r="C702" s="14"/>
      <c r="D702" s="14"/>
      <c r="E702" s="14"/>
      <c r="F702" s="14"/>
      <c r="G702" s="10" t="s">
        <v>273</v>
      </c>
      <c r="H702" s="8" t="s">
        <v>394</v>
      </c>
    </row>
    <row r="703" spans="1:9" x14ac:dyDescent="0.35">
      <c r="A703" s="19"/>
      <c r="B703" s="19"/>
      <c r="C703" s="18"/>
      <c r="D703" s="18"/>
      <c r="E703" s="18"/>
      <c r="F703" s="20"/>
      <c r="G703" s="10" t="s">
        <v>991</v>
      </c>
      <c r="H703" s="8" t="s">
        <v>394</v>
      </c>
    </row>
    <row r="704" spans="1:9" x14ac:dyDescent="0.35">
      <c r="A704" s="19" t="str">
        <f>HYPERLINK("https://jira.itg.ti.com/browse/JACINTOREQ-194","JACINTOREQ-194")</f>
        <v>JACINTOREQ-194</v>
      </c>
      <c r="B704" s="19" t="str">
        <f>HYPERLINK("https://jira.itg.ti.com/browse/PDK-2141","PDK-2141")</f>
        <v>PDK-2141</v>
      </c>
      <c r="C704" s="18" t="s">
        <v>703</v>
      </c>
      <c r="D704" s="18" t="s">
        <v>910</v>
      </c>
      <c r="E704" s="18" t="s">
        <v>1645</v>
      </c>
      <c r="F704" s="20" t="s">
        <v>1229</v>
      </c>
      <c r="G704" s="9" t="s">
        <v>991</v>
      </c>
      <c r="H704" s="8" t="s">
        <v>394</v>
      </c>
      <c r="I704" s="7" t="s">
        <v>1031</v>
      </c>
    </row>
    <row r="705" spans="1:9" x14ac:dyDescent="0.35">
      <c r="A705" s="19"/>
      <c r="B705" s="19"/>
      <c r="C705" s="18"/>
      <c r="D705" s="18"/>
      <c r="E705" s="18"/>
      <c r="F705" s="20"/>
      <c r="G705" s="10" t="s">
        <v>70</v>
      </c>
      <c r="H705" s="8" t="s">
        <v>394</v>
      </c>
    </row>
    <row r="706" spans="1:9" x14ac:dyDescent="0.35">
      <c r="A706" s="19" t="str">
        <f>HYPERLINK("https://jira.itg.ti.com/browse/JACINTOREQ-194","JACINTOREQ-194")</f>
        <v>JACINTOREQ-194</v>
      </c>
      <c r="B706" s="19" t="str">
        <f>HYPERLINK("https://jira.itg.ti.com/browse/PDK-2142","PDK-2142")</f>
        <v>PDK-2142</v>
      </c>
      <c r="C706" s="18" t="s">
        <v>392</v>
      </c>
      <c r="D706" s="18" t="s">
        <v>1206</v>
      </c>
      <c r="E706" s="18" t="s">
        <v>1645</v>
      </c>
      <c r="F706" s="20" t="s">
        <v>1229</v>
      </c>
      <c r="G706" s="9" t="s">
        <v>1314</v>
      </c>
      <c r="H706" s="8" t="s">
        <v>394</v>
      </c>
      <c r="I706" s="7" t="s">
        <v>1031</v>
      </c>
    </row>
    <row r="707" spans="1:9" x14ac:dyDescent="0.35">
      <c r="A707" s="19" t="str">
        <f>HYPERLINK("https://jira.itg.ti.com/browse/JACINTOREQ-194","JACINTOREQ-194")</f>
        <v>JACINTOREQ-194</v>
      </c>
      <c r="B707" s="19" t="str">
        <f>HYPERLINK("https://jira.itg.ti.com/browse/PDK-2143","PDK-2143")</f>
        <v>PDK-2143</v>
      </c>
      <c r="C707" s="18" t="s">
        <v>1102</v>
      </c>
      <c r="D707" s="18" t="s">
        <v>1206</v>
      </c>
      <c r="E707" s="18" t="s">
        <v>1645</v>
      </c>
      <c r="F707" s="20" t="s">
        <v>1229</v>
      </c>
      <c r="G707" s="9" t="s">
        <v>1088</v>
      </c>
      <c r="H707" s="8" t="s">
        <v>394</v>
      </c>
      <c r="I707" s="7" t="s">
        <v>1031</v>
      </c>
    </row>
    <row r="708" spans="1:9" x14ac:dyDescent="0.35">
      <c r="A708" s="19" t="str">
        <f>HYPERLINK("https://jira.itg.ti.com/browse/JACINTOREQ-194","JACINTOREQ-194")</f>
        <v>JACINTOREQ-194</v>
      </c>
      <c r="B708" s="19" t="str">
        <f>HYPERLINK("https://jira.itg.ti.com/browse/PDK-2144","PDK-2144")</f>
        <v>PDK-2144</v>
      </c>
      <c r="C708" s="18" t="s">
        <v>22</v>
      </c>
      <c r="D708" s="18" t="s">
        <v>910</v>
      </c>
      <c r="E708" s="18" t="s">
        <v>1645</v>
      </c>
      <c r="F708" s="20" t="s">
        <v>1229</v>
      </c>
      <c r="G708" s="9" t="s">
        <v>1088</v>
      </c>
      <c r="H708" s="8" t="s">
        <v>394</v>
      </c>
      <c r="I708" s="7" t="s">
        <v>1031</v>
      </c>
    </row>
    <row r="709" spans="1:9" x14ac:dyDescent="0.35">
      <c r="A709" s="19" t="str">
        <f>HYPERLINK("https://jira.itg.ti.com/browse/JACINTOREQ-194","JACINTOREQ-194")</f>
        <v>JACINTOREQ-194</v>
      </c>
      <c r="B709" s="19" t="str">
        <f>HYPERLINK("https://jira.itg.ti.com/browse/PDK-2145","PDK-2145")</f>
        <v>PDK-2145</v>
      </c>
      <c r="C709" s="18" t="s">
        <v>1322</v>
      </c>
      <c r="D709" s="18" t="s">
        <v>910</v>
      </c>
      <c r="E709" s="18" t="s">
        <v>1645</v>
      </c>
      <c r="F709" s="20" t="s">
        <v>1229</v>
      </c>
      <c r="G709" s="9" t="s">
        <v>1088</v>
      </c>
      <c r="H709" s="8" t="s">
        <v>394</v>
      </c>
      <c r="I709" s="7" t="s">
        <v>1031</v>
      </c>
    </row>
    <row r="710" spans="1:9" x14ac:dyDescent="0.35">
      <c r="A710" s="19" t="str">
        <f>HYPERLINK("https://jira.itg.ti.com/browse/JACINTOREQ-194","JACINTOREQ-194")</f>
        <v>JACINTOREQ-194</v>
      </c>
      <c r="B710" s="19" t="str">
        <f>HYPERLINK("https://jira.itg.ti.com/browse/PDK-2146","PDK-2146")</f>
        <v>PDK-2146</v>
      </c>
      <c r="C710" s="18" t="s">
        <v>1259</v>
      </c>
      <c r="D710" s="18" t="s">
        <v>1206</v>
      </c>
      <c r="E710" s="18" t="s">
        <v>1645</v>
      </c>
      <c r="F710" s="20" t="s">
        <v>1229</v>
      </c>
      <c r="G710" s="9" t="s">
        <v>564</v>
      </c>
      <c r="H710" s="8" t="s">
        <v>394</v>
      </c>
      <c r="I710" s="7" t="s">
        <v>1031</v>
      </c>
    </row>
    <row r="711" spans="1:9" x14ac:dyDescent="0.35">
      <c r="A711" s="19"/>
      <c r="B711" s="19"/>
      <c r="C711" s="18"/>
      <c r="D711" s="18"/>
      <c r="E711" s="18"/>
      <c r="F711" s="20"/>
      <c r="G711" s="10" t="s">
        <v>1161</v>
      </c>
      <c r="H711" s="8" t="s">
        <v>394</v>
      </c>
    </row>
    <row r="712" spans="1:9" x14ac:dyDescent="0.35">
      <c r="A712" s="19" t="str">
        <f>HYPERLINK("https://jira.itg.ti.com/browse/JACINTOREQ-194","JACINTOREQ-194")</f>
        <v>JACINTOREQ-194</v>
      </c>
      <c r="B712" s="19" t="str">
        <f>HYPERLINK("https://jira.itg.ti.com/browse/PDK-2207","PDK-2207")</f>
        <v>PDK-2207</v>
      </c>
      <c r="C712" s="18" t="s">
        <v>320</v>
      </c>
      <c r="D712" s="18" t="s">
        <v>1206</v>
      </c>
      <c r="E712" s="18" t="s">
        <v>1645</v>
      </c>
      <c r="F712" s="20" t="s">
        <v>1229</v>
      </c>
      <c r="G712" s="9" t="s">
        <v>495</v>
      </c>
      <c r="H712" s="8" t="s">
        <v>394</v>
      </c>
      <c r="I712" s="7" t="s">
        <v>1031</v>
      </c>
    </row>
    <row r="713" spans="1:9" x14ac:dyDescent="0.35">
      <c r="A713" s="19" t="str">
        <f>HYPERLINK("https://jira.itg.ti.com/browse/JACINTOREQ-194","JACINTOREQ-194")</f>
        <v>JACINTOREQ-194</v>
      </c>
      <c r="B713" s="19" t="str">
        <f>HYPERLINK("https://jira.itg.ti.com/browse/PDK-2209","PDK-2209")</f>
        <v>PDK-2209</v>
      </c>
      <c r="C713" s="18" t="s">
        <v>1661</v>
      </c>
      <c r="D713" s="18" t="s">
        <v>1206</v>
      </c>
      <c r="E713" s="18" t="s">
        <v>1645</v>
      </c>
      <c r="F713" s="20" t="s">
        <v>1229</v>
      </c>
      <c r="G713" s="9" t="s">
        <v>934</v>
      </c>
      <c r="H713" s="8" t="s">
        <v>394</v>
      </c>
      <c r="I713" s="7" t="s">
        <v>1031</v>
      </c>
    </row>
    <row r="714" spans="1:9" x14ac:dyDescent="0.35">
      <c r="A714" s="14"/>
      <c r="B714" s="14"/>
      <c r="C714" s="14"/>
      <c r="D714" s="14"/>
      <c r="E714" s="14"/>
      <c r="F714" s="14"/>
      <c r="G714" s="10" t="s">
        <v>273</v>
      </c>
      <c r="H714" s="8" t="s">
        <v>394</v>
      </c>
    </row>
    <row r="715" spans="1:9" x14ac:dyDescent="0.35">
      <c r="A715" s="14"/>
      <c r="B715" s="14"/>
      <c r="C715" s="14"/>
      <c r="D715" s="14"/>
      <c r="E715" s="14"/>
      <c r="F715" s="14"/>
      <c r="G715" s="10" t="s">
        <v>991</v>
      </c>
      <c r="H715" s="8" t="s">
        <v>394</v>
      </c>
    </row>
    <row r="716" spans="1:9" x14ac:dyDescent="0.35">
      <c r="A716" s="19"/>
      <c r="B716" s="19"/>
      <c r="C716" s="18"/>
      <c r="D716" s="18"/>
      <c r="E716" s="18"/>
      <c r="F716" s="20"/>
      <c r="G716" s="10" t="s">
        <v>70</v>
      </c>
      <c r="H716" s="8" t="s">
        <v>394</v>
      </c>
    </row>
    <row r="717" spans="1:9" x14ac:dyDescent="0.35">
      <c r="A717" s="19" t="str">
        <f>HYPERLINK("https://jira.itg.ti.com/browse/JACINTOREQ-194","JACINTOREQ-194")</f>
        <v>JACINTOREQ-194</v>
      </c>
      <c r="B717" s="19" t="str">
        <f>HYPERLINK("https://jira.itg.ti.com/browse/PDK-2210","PDK-2210")</f>
        <v>PDK-2210</v>
      </c>
      <c r="C717" s="18" t="s">
        <v>350</v>
      </c>
      <c r="D717" s="18" t="s">
        <v>1206</v>
      </c>
      <c r="E717" s="18" t="s">
        <v>1645</v>
      </c>
      <c r="F717" s="20" t="s">
        <v>1229</v>
      </c>
      <c r="G717" s="9" t="s">
        <v>1088</v>
      </c>
      <c r="H717" s="8" t="s">
        <v>394</v>
      </c>
      <c r="I717" s="7" t="s">
        <v>1031</v>
      </c>
    </row>
    <row r="718" spans="1:9" x14ac:dyDescent="0.35">
      <c r="A718" s="19" t="str">
        <f>HYPERLINK("https://jira.itg.ti.com/browse/JACINTOREQ-197","JACINTOREQ-197")</f>
        <v>JACINTOREQ-197</v>
      </c>
      <c r="B718" s="19" t="str">
        <f>HYPERLINK("https://jira.itg.ti.com/browse/PDK-2360","PDK-2360")</f>
        <v>PDK-2360</v>
      </c>
      <c r="C718" s="18" t="s">
        <v>654</v>
      </c>
      <c r="D718" s="18" t="s">
        <v>245</v>
      </c>
      <c r="E718" s="18" t="s">
        <v>1645</v>
      </c>
      <c r="F718" s="20" t="s">
        <v>1229</v>
      </c>
      <c r="G718" s="9" t="s">
        <v>379</v>
      </c>
      <c r="H718" s="8" t="s">
        <v>394</v>
      </c>
      <c r="I718" s="7" t="s">
        <v>1031</v>
      </c>
    </row>
    <row r="719" spans="1:9" x14ac:dyDescent="0.35">
      <c r="A719" s="19" t="str">
        <f>HYPERLINK("https://jira.itg.ti.com/browse/JACINTOREQ-198","JACINTOREQ-198")</f>
        <v>JACINTOREQ-198</v>
      </c>
      <c r="B719" s="19" t="str">
        <f>HYPERLINK("https://jira.itg.ti.com/browse/PDK-2362","PDK-2362")</f>
        <v>PDK-2362</v>
      </c>
      <c r="C719" s="18" t="s">
        <v>128</v>
      </c>
      <c r="D719" s="18" t="s">
        <v>245</v>
      </c>
      <c r="E719" s="18" t="s">
        <v>1645</v>
      </c>
      <c r="F719" s="20" t="s">
        <v>1229</v>
      </c>
      <c r="G719" s="9" t="s">
        <v>379</v>
      </c>
      <c r="H719" s="8" t="s">
        <v>394</v>
      </c>
      <c r="I719" s="7" t="s">
        <v>1031</v>
      </c>
    </row>
    <row r="720" spans="1:9" x14ac:dyDescent="0.35">
      <c r="A720" s="19" t="str">
        <f>HYPERLINK("https://jira.itg.ti.com/browse/JACINTOREQ-199","JACINTOREQ-199")</f>
        <v>JACINTOREQ-199</v>
      </c>
      <c r="B720" s="19" t="str">
        <f>HYPERLINK("https://jira.itg.ti.com/browse/PDK-2349","PDK-2349")</f>
        <v>PDK-2349</v>
      </c>
      <c r="C720" s="18" t="s">
        <v>1504</v>
      </c>
      <c r="D720" s="18" t="s">
        <v>467</v>
      </c>
      <c r="E720" s="18" t="s">
        <v>1645</v>
      </c>
      <c r="F720" s="20" t="s">
        <v>1229</v>
      </c>
      <c r="G720" s="9" t="s">
        <v>894</v>
      </c>
      <c r="H720" s="8" t="s">
        <v>394</v>
      </c>
      <c r="I720" s="7" t="s">
        <v>1031</v>
      </c>
    </row>
    <row r="721" spans="1:9" x14ac:dyDescent="0.35">
      <c r="A721" s="19" t="str">
        <f>HYPERLINK("https://jira.itg.ti.com/browse/JACINTOREQ-199","JACINTOREQ-199")</f>
        <v>JACINTOREQ-199</v>
      </c>
      <c r="B721" s="19" t="str">
        <f>HYPERLINK("https://jira.itg.ti.com/browse/PDK-2363","PDK-2363")</f>
        <v>PDK-2363</v>
      </c>
      <c r="C721" s="18" t="s">
        <v>144</v>
      </c>
      <c r="D721" s="18" t="s">
        <v>245</v>
      </c>
      <c r="E721" s="18" t="s">
        <v>1645</v>
      </c>
      <c r="F721" s="20" t="s">
        <v>1229</v>
      </c>
      <c r="G721" s="9" t="s">
        <v>379</v>
      </c>
      <c r="H721" s="8" t="s">
        <v>394</v>
      </c>
      <c r="I721" s="7" t="s">
        <v>1031</v>
      </c>
    </row>
    <row r="722" spans="1:9" x14ac:dyDescent="0.35">
      <c r="A722" s="19" t="str">
        <f>HYPERLINK("https://jira.itg.ti.com/browse/JACINTOREQ-200","JACINTOREQ-200")</f>
        <v>JACINTOREQ-200</v>
      </c>
      <c r="B722" s="19" t="str">
        <f>HYPERLINK("https://jira.itg.ti.com/browse/PDK-2347","PDK-2347")</f>
        <v>PDK-2347</v>
      </c>
      <c r="C722" s="18" t="s">
        <v>760</v>
      </c>
      <c r="D722" s="18" t="s">
        <v>467</v>
      </c>
      <c r="E722" s="18" t="s">
        <v>1645</v>
      </c>
      <c r="F722" s="20" t="s">
        <v>1229</v>
      </c>
      <c r="G722" s="9" t="s">
        <v>1655</v>
      </c>
      <c r="H722" s="8" t="s">
        <v>394</v>
      </c>
      <c r="I722" s="7" t="s">
        <v>1031</v>
      </c>
    </row>
    <row r="723" spans="1:9" x14ac:dyDescent="0.35">
      <c r="A723" s="19" t="str">
        <f>HYPERLINK("https://jira.itg.ti.com/browse/JACINTOREQ-200","JACINTOREQ-200")</f>
        <v>JACINTOREQ-200</v>
      </c>
      <c r="B723" s="19" t="str">
        <f>HYPERLINK("https://jira.itg.ti.com/browse/PDK-2361","PDK-2361")</f>
        <v>PDK-2361</v>
      </c>
      <c r="C723" s="18" t="s">
        <v>1332</v>
      </c>
      <c r="D723" s="18" t="s">
        <v>245</v>
      </c>
      <c r="E723" s="18" t="s">
        <v>1645</v>
      </c>
      <c r="F723" s="20" t="s">
        <v>1229</v>
      </c>
      <c r="G723" s="9" t="s">
        <v>379</v>
      </c>
      <c r="H723" s="8" t="s">
        <v>394</v>
      </c>
      <c r="I723" s="7" t="s">
        <v>1031</v>
      </c>
    </row>
    <row r="724" spans="1:9" ht="25.5" x14ac:dyDescent="0.35">
      <c r="A724" s="19"/>
      <c r="B724" s="19"/>
      <c r="C724" s="18"/>
      <c r="D724" s="18"/>
      <c r="E724" s="18"/>
      <c r="F724" s="20"/>
      <c r="G724" s="10" t="s">
        <v>842</v>
      </c>
      <c r="H724" s="8" t="s">
        <v>394</v>
      </c>
    </row>
    <row r="725" spans="1:9" x14ac:dyDescent="0.35">
      <c r="A725" s="19" t="str">
        <f>HYPERLINK("https://jira.itg.ti.com/browse/JACINTOREQ-201","JACINTOREQ-201")</f>
        <v>JACINTOREQ-201</v>
      </c>
      <c r="B725" s="19" t="str">
        <f>HYPERLINK("https://jira.itg.ti.com/browse/PDK-2356","PDK-2356")</f>
        <v>PDK-2356</v>
      </c>
      <c r="C725" s="18" t="s">
        <v>82</v>
      </c>
      <c r="D725" s="18" t="s">
        <v>467</v>
      </c>
      <c r="E725" s="18" t="s">
        <v>1645</v>
      </c>
      <c r="F725" s="20" t="s">
        <v>1229</v>
      </c>
      <c r="G725" s="9" t="s">
        <v>780</v>
      </c>
      <c r="H725" s="8" t="s">
        <v>394</v>
      </c>
      <c r="I725" s="7" t="s">
        <v>1031</v>
      </c>
    </row>
    <row r="726" spans="1:9" x14ac:dyDescent="0.35">
      <c r="A726" s="19" t="str">
        <f>HYPERLINK("https://jira.itg.ti.com/browse/JACINTOREQ-202","JACINTOREQ-202")</f>
        <v>JACINTOREQ-202</v>
      </c>
      <c r="B726" s="19" t="str">
        <f>HYPERLINK("https://jira.itg.ti.com/browse/PDK-2357","PDK-2357")</f>
        <v>PDK-2357</v>
      </c>
      <c r="C726" s="18" t="s">
        <v>317</v>
      </c>
      <c r="D726" s="18" t="s">
        <v>467</v>
      </c>
      <c r="E726" s="18" t="s">
        <v>1645</v>
      </c>
      <c r="F726" s="20" t="s">
        <v>1229</v>
      </c>
      <c r="G726" s="9" t="s">
        <v>450</v>
      </c>
      <c r="H726" s="8" t="s">
        <v>394</v>
      </c>
      <c r="I726" s="7" t="s">
        <v>1031</v>
      </c>
    </row>
    <row r="727" spans="1:9" x14ac:dyDescent="0.35">
      <c r="A727" s="19" t="str">
        <f>HYPERLINK("https://jira.itg.ti.com/browse/JACINTOREQ-203","JACINTOREQ-203")</f>
        <v>JACINTOREQ-203</v>
      </c>
      <c r="B727" s="19" t="str">
        <f>HYPERLINK("https://jira.itg.ti.com/browse/PDK-2468","PDK-2468")</f>
        <v>PDK-2468</v>
      </c>
      <c r="C727" s="18" t="s">
        <v>1414</v>
      </c>
      <c r="D727" s="18" t="s">
        <v>1301</v>
      </c>
      <c r="E727" s="18" t="s">
        <v>1645</v>
      </c>
      <c r="F727" s="20" t="s">
        <v>1229</v>
      </c>
      <c r="G727" s="9" t="s">
        <v>1655</v>
      </c>
      <c r="H727" s="8" t="s">
        <v>394</v>
      </c>
      <c r="I727" s="7" t="s">
        <v>1031</v>
      </c>
    </row>
    <row r="728" spans="1:9" x14ac:dyDescent="0.35">
      <c r="A728" s="14"/>
      <c r="B728" s="14"/>
      <c r="C728" s="14"/>
      <c r="D728" s="14"/>
      <c r="E728" s="14"/>
      <c r="F728" s="14"/>
      <c r="G728" s="10" t="s">
        <v>695</v>
      </c>
      <c r="H728" s="8" t="s">
        <v>394</v>
      </c>
    </row>
    <row r="729" spans="1:9" x14ac:dyDescent="0.35">
      <c r="A729" s="14"/>
      <c r="B729" s="14"/>
      <c r="C729" s="14"/>
      <c r="D729" s="14"/>
      <c r="E729" s="14"/>
      <c r="F729" s="14"/>
      <c r="G729" s="10" t="s">
        <v>894</v>
      </c>
      <c r="H729" s="8" t="s">
        <v>394</v>
      </c>
    </row>
    <row r="730" spans="1:9" ht="25.5" x14ac:dyDescent="0.35">
      <c r="A730" s="14"/>
      <c r="B730" s="14"/>
      <c r="C730" s="14"/>
      <c r="D730" s="14"/>
      <c r="E730" s="14"/>
      <c r="F730" s="14"/>
      <c r="G730" s="10" t="s">
        <v>509</v>
      </c>
      <c r="H730" s="8" t="s">
        <v>394</v>
      </c>
    </row>
    <row r="731" spans="1:9" x14ac:dyDescent="0.35">
      <c r="A731" s="14"/>
      <c r="B731" s="14"/>
      <c r="C731" s="14"/>
      <c r="D731" s="14"/>
      <c r="E731" s="14"/>
      <c r="F731" s="14"/>
      <c r="G731" s="10" t="s">
        <v>255</v>
      </c>
      <c r="H731" s="8" t="s">
        <v>394</v>
      </c>
    </row>
    <row r="732" spans="1:9" x14ac:dyDescent="0.35">
      <c r="A732" s="14"/>
      <c r="B732" s="14"/>
      <c r="C732" s="14"/>
      <c r="D732" s="14"/>
      <c r="E732" s="14"/>
      <c r="F732" s="14"/>
      <c r="G732" s="10" t="s">
        <v>780</v>
      </c>
      <c r="H732" s="8" t="s">
        <v>394</v>
      </c>
    </row>
    <row r="733" spans="1:9" x14ac:dyDescent="0.35">
      <c r="A733" s="14"/>
      <c r="B733" s="14"/>
      <c r="C733" s="14"/>
      <c r="D733" s="14"/>
      <c r="E733" s="14"/>
      <c r="F733" s="14"/>
      <c r="G733" s="10" t="s">
        <v>450</v>
      </c>
      <c r="H733" s="8" t="s">
        <v>394</v>
      </c>
    </row>
    <row r="734" spans="1:9" x14ac:dyDescent="0.35">
      <c r="A734" s="14"/>
      <c r="B734" s="14"/>
      <c r="C734" s="14"/>
      <c r="D734" s="14"/>
      <c r="E734" s="14"/>
      <c r="F734" s="14"/>
      <c r="G734" s="10" t="s">
        <v>1481</v>
      </c>
      <c r="H734" s="8" t="s">
        <v>394</v>
      </c>
    </row>
    <row r="735" spans="1:9" x14ac:dyDescent="0.35">
      <c r="A735" s="14"/>
      <c r="B735" s="14"/>
      <c r="C735" s="14"/>
      <c r="D735" s="14"/>
      <c r="E735" s="14"/>
      <c r="F735" s="14"/>
      <c r="G735" s="10" t="s">
        <v>28</v>
      </c>
      <c r="H735" s="8" t="s">
        <v>394</v>
      </c>
    </row>
    <row r="736" spans="1:9" ht="25.5" x14ac:dyDescent="0.35">
      <c r="A736" s="14"/>
      <c r="B736" s="14"/>
      <c r="C736" s="14"/>
      <c r="D736" s="14"/>
      <c r="E736" s="14"/>
      <c r="F736" s="14"/>
      <c r="G736" s="10" t="s">
        <v>382</v>
      </c>
      <c r="H736" s="8" t="s">
        <v>394</v>
      </c>
    </row>
    <row r="737" spans="1:9" x14ac:dyDescent="0.35">
      <c r="A737" s="19"/>
      <c r="B737" s="19"/>
      <c r="C737" s="18"/>
      <c r="D737" s="18"/>
      <c r="E737" s="18"/>
      <c r="F737" s="20"/>
      <c r="G737" s="10" t="s">
        <v>21</v>
      </c>
      <c r="H737" s="8" t="s">
        <v>394</v>
      </c>
    </row>
    <row r="738" spans="1:9" x14ac:dyDescent="0.35">
      <c r="A738" s="19" t="str">
        <f t="shared" ref="A738:A749" si="5">HYPERLINK("https://jira.itg.ti.com/browse/JACINTOREQ-203","JACINTOREQ-203")</f>
        <v>JACINTOREQ-203</v>
      </c>
      <c r="B738" s="19" t="str">
        <f>HYPERLINK("https://jira.itg.ti.com/browse/PDK-2346","PDK-2346")</f>
        <v>PDK-2346</v>
      </c>
      <c r="C738" s="18" t="s">
        <v>600</v>
      </c>
      <c r="D738" s="18" t="s">
        <v>467</v>
      </c>
      <c r="E738" s="18" t="s">
        <v>1645</v>
      </c>
      <c r="F738" s="20" t="s">
        <v>1229</v>
      </c>
      <c r="G738" s="9" t="s">
        <v>1176</v>
      </c>
      <c r="H738" s="8" t="s">
        <v>394</v>
      </c>
      <c r="I738" s="7" t="s">
        <v>1031</v>
      </c>
    </row>
    <row r="739" spans="1:9" x14ac:dyDescent="0.35">
      <c r="A739" s="19" t="str">
        <f t="shared" si="5"/>
        <v>JACINTOREQ-203</v>
      </c>
      <c r="B739" s="19" t="str">
        <f>HYPERLINK("https://jira.itg.ti.com/browse/PDK-2348","PDK-2348")</f>
        <v>PDK-2348</v>
      </c>
      <c r="C739" s="18" t="s">
        <v>1122</v>
      </c>
      <c r="D739" s="18" t="s">
        <v>467</v>
      </c>
      <c r="E739" s="18" t="s">
        <v>1645</v>
      </c>
      <c r="F739" s="20" t="s">
        <v>1229</v>
      </c>
      <c r="G739" s="9" t="s">
        <v>695</v>
      </c>
      <c r="H739" s="8" t="s">
        <v>394</v>
      </c>
      <c r="I739" s="7" t="s">
        <v>1031</v>
      </c>
    </row>
    <row r="740" spans="1:9" ht="25.5" x14ac:dyDescent="0.35">
      <c r="A740" s="19" t="str">
        <f t="shared" si="5"/>
        <v>JACINTOREQ-203</v>
      </c>
      <c r="B740" s="19" t="str">
        <f>HYPERLINK("https://jira.itg.ti.com/browse/PDK-2354","PDK-2354")</f>
        <v>PDK-2354</v>
      </c>
      <c r="C740" s="18" t="s">
        <v>984</v>
      </c>
      <c r="D740" s="18" t="s">
        <v>467</v>
      </c>
      <c r="E740" s="18" t="s">
        <v>1645</v>
      </c>
      <c r="F740" s="20" t="s">
        <v>1229</v>
      </c>
      <c r="G740" s="9" t="s">
        <v>509</v>
      </c>
      <c r="H740" s="8" t="s">
        <v>394</v>
      </c>
      <c r="I740" s="7" t="s">
        <v>1031</v>
      </c>
    </row>
    <row r="741" spans="1:9" x14ac:dyDescent="0.35">
      <c r="A741" s="19" t="str">
        <f t="shared" si="5"/>
        <v>JACINTOREQ-203</v>
      </c>
      <c r="B741" s="19" t="str">
        <f>HYPERLINK("https://jira.itg.ti.com/browse/PDK-2355","PDK-2355")</f>
        <v>PDK-2355</v>
      </c>
      <c r="C741" s="18" t="s">
        <v>396</v>
      </c>
      <c r="D741" s="18" t="s">
        <v>467</v>
      </c>
      <c r="E741" s="18" t="s">
        <v>1645</v>
      </c>
      <c r="F741" s="20" t="s">
        <v>1229</v>
      </c>
      <c r="G741" s="9" t="s">
        <v>255</v>
      </c>
      <c r="H741" s="8" t="s">
        <v>394</v>
      </c>
      <c r="I741" s="7" t="s">
        <v>1031</v>
      </c>
    </row>
    <row r="742" spans="1:9" x14ac:dyDescent="0.35">
      <c r="A742" s="19" t="str">
        <f t="shared" si="5"/>
        <v>JACINTOREQ-203</v>
      </c>
      <c r="B742" s="19" t="str">
        <f>HYPERLINK("https://jira.itg.ti.com/browse/PDK-2358","PDK-2358")</f>
        <v>PDK-2358</v>
      </c>
      <c r="C742" s="18" t="s">
        <v>919</v>
      </c>
      <c r="D742" s="18" t="s">
        <v>467</v>
      </c>
      <c r="E742" s="18" t="s">
        <v>1645</v>
      </c>
      <c r="F742" s="20" t="s">
        <v>1229</v>
      </c>
      <c r="G742" s="9" t="s">
        <v>1481</v>
      </c>
      <c r="H742" s="8" t="s">
        <v>394</v>
      </c>
      <c r="I742" s="7" t="s">
        <v>1031</v>
      </c>
    </row>
    <row r="743" spans="1:9" x14ac:dyDescent="0.35">
      <c r="A743" s="19" t="str">
        <f t="shared" si="5"/>
        <v>JACINTOREQ-203</v>
      </c>
      <c r="B743" s="19" t="str">
        <f>HYPERLINK("https://jira.itg.ti.com/browse/PDK-2359","PDK-2359")</f>
        <v>PDK-2359</v>
      </c>
      <c r="C743" s="18" t="s">
        <v>1313</v>
      </c>
      <c r="D743" s="18" t="s">
        <v>467</v>
      </c>
      <c r="E743" s="18" t="s">
        <v>1645</v>
      </c>
      <c r="F743" s="20" t="s">
        <v>1229</v>
      </c>
      <c r="G743" s="9" t="s">
        <v>28</v>
      </c>
      <c r="H743" s="8" t="s">
        <v>394</v>
      </c>
      <c r="I743" s="7" t="s">
        <v>1031</v>
      </c>
    </row>
    <row r="744" spans="1:9" x14ac:dyDescent="0.35">
      <c r="A744" s="19" t="str">
        <f t="shared" si="5"/>
        <v>JACINTOREQ-203</v>
      </c>
      <c r="B744" s="19" t="str">
        <f>HYPERLINK("https://jira.itg.ti.com/browse/PDK-3319","PDK-3319")</f>
        <v>PDK-3319</v>
      </c>
      <c r="C744" s="18" t="s">
        <v>578</v>
      </c>
      <c r="D744" s="18" t="s">
        <v>245</v>
      </c>
      <c r="E744" s="18" t="s">
        <v>1645</v>
      </c>
      <c r="F744" s="20" t="s">
        <v>1229</v>
      </c>
      <c r="G744" s="9" t="s">
        <v>379</v>
      </c>
      <c r="H744" s="8" t="s">
        <v>394</v>
      </c>
      <c r="I744" s="7" t="s">
        <v>1031</v>
      </c>
    </row>
    <row r="745" spans="1:9" x14ac:dyDescent="0.35">
      <c r="A745" s="19" t="str">
        <f t="shared" si="5"/>
        <v>JACINTOREQ-203</v>
      </c>
      <c r="B745" s="19" t="str">
        <f>HYPERLINK("https://jira.itg.ti.com/browse/PDK-3320","PDK-3320")</f>
        <v>PDK-3320</v>
      </c>
      <c r="C745" s="18" t="s">
        <v>772</v>
      </c>
      <c r="D745" s="18" t="s">
        <v>245</v>
      </c>
      <c r="E745" s="18" t="s">
        <v>1645</v>
      </c>
      <c r="F745" s="20" t="s">
        <v>1229</v>
      </c>
      <c r="G745" s="9" t="s">
        <v>379</v>
      </c>
      <c r="H745" s="8" t="s">
        <v>394</v>
      </c>
      <c r="I745" s="7" t="s">
        <v>1031</v>
      </c>
    </row>
    <row r="746" spans="1:9" x14ac:dyDescent="0.35">
      <c r="A746" s="19" t="str">
        <f t="shared" si="5"/>
        <v>JACINTOREQ-203</v>
      </c>
      <c r="B746" s="19" t="str">
        <f>HYPERLINK("https://jira.itg.ti.com/browse/PDK-3321","PDK-3321")</f>
        <v>PDK-3321</v>
      </c>
      <c r="C746" s="18" t="s">
        <v>230</v>
      </c>
      <c r="D746" s="18" t="s">
        <v>245</v>
      </c>
      <c r="E746" s="18" t="s">
        <v>1645</v>
      </c>
      <c r="F746" s="20" t="s">
        <v>1229</v>
      </c>
      <c r="G746" s="9" t="s">
        <v>379</v>
      </c>
      <c r="H746" s="8" t="s">
        <v>394</v>
      </c>
      <c r="I746" s="7" t="s">
        <v>1031</v>
      </c>
    </row>
    <row r="747" spans="1:9" x14ac:dyDescent="0.35">
      <c r="A747" s="19" t="str">
        <f t="shared" si="5"/>
        <v>JACINTOREQ-203</v>
      </c>
      <c r="B747" s="19" t="str">
        <f>HYPERLINK("https://jira.itg.ti.com/browse/PDK-3322","PDK-3322")</f>
        <v>PDK-3322</v>
      </c>
      <c r="C747" s="18" t="s">
        <v>1574</v>
      </c>
      <c r="D747" s="18" t="s">
        <v>245</v>
      </c>
      <c r="E747" s="18" t="s">
        <v>1645</v>
      </c>
      <c r="F747" s="20" t="s">
        <v>1229</v>
      </c>
      <c r="G747" s="9" t="s">
        <v>379</v>
      </c>
      <c r="H747" s="8" t="s">
        <v>394</v>
      </c>
      <c r="I747" s="7" t="s">
        <v>1031</v>
      </c>
    </row>
    <row r="748" spans="1:9" x14ac:dyDescent="0.35">
      <c r="A748" s="19" t="str">
        <f t="shared" si="5"/>
        <v>JACINTOREQ-203</v>
      </c>
      <c r="B748" s="19" t="str">
        <f>HYPERLINK("https://jira.itg.ti.com/browse/PDK-3323","PDK-3323")</f>
        <v>PDK-3323</v>
      </c>
      <c r="C748" s="18" t="s">
        <v>475</v>
      </c>
      <c r="D748" s="18" t="s">
        <v>245</v>
      </c>
      <c r="E748" s="18" t="s">
        <v>1645</v>
      </c>
      <c r="F748" s="20" t="s">
        <v>1229</v>
      </c>
      <c r="G748" s="9" t="s">
        <v>379</v>
      </c>
      <c r="H748" s="8" t="s">
        <v>394</v>
      </c>
      <c r="I748" s="7" t="s">
        <v>1031</v>
      </c>
    </row>
    <row r="749" spans="1:9" x14ac:dyDescent="0.35">
      <c r="A749" s="19" t="str">
        <f t="shared" si="5"/>
        <v>JACINTOREQ-203</v>
      </c>
      <c r="B749" s="19" t="str">
        <f>HYPERLINK("https://jira.itg.ti.com/browse/PDK-3324","PDK-3324")</f>
        <v>PDK-3324</v>
      </c>
      <c r="C749" s="18" t="s">
        <v>1324</v>
      </c>
      <c r="D749" s="18" t="s">
        <v>245</v>
      </c>
      <c r="E749" s="18" t="s">
        <v>1645</v>
      </c>
      <c r="F749" s="20" t="s">
        <v>1229</v>
      </c>
      <c r="G749" s="9" t="s">
        <v>379</v>
      </c>
      <c r="H749" s="8" t="s">
        <v>394</v>
      </c>
      <c r="I749" s="7" t="s">
        <v>1031</v>
      </c>
    </row>
    <row r="750" spans="1:9" x14ac:dyDescent="0.35">
      <c r="A750" s="19" t="str">
        <f t="shared" ref="A750:A760" si="6">HYPERLINK("https://jira.itg.ti.com/browse/JACINTOREQ-204","JACINTOREQ-204")</f>
        <v>JACINTOREQ-204</v>
      </c>
      <c r="B750" s="19" t="str">
        <f>HYPERLINK("https://jira.itg.ti.com/browse/PDK-2170","PDK-2170")</f>
        <v>PDK-2170</v>
      </c>
      <c r="C750" s="18" t="s">
        <v>520</v>
      </c>
      <c r="D750" s="18" t="s">
        <v>1268</v>
      </c>
      <c r="E750" s="18" t="s">
        <v>1645</v>
      </c>
      <c r="F750" s="20" t="s">
        <v>1229</v>
      </c>
      <c r="G750" s="9" t="s">
        <v>895</v>
      </c>
      <c r="H750" s="8" t="s">
        <v>394</v>
      </c>
      <c r="I750" s="7" t="s">
        <v>1031</v>
      </c>
    </row>
    <row r="751" spans="1:9" x14ac:dyDescent="0.35">
      <c r="A751" s="19" t="str">
        <f t="shared" si="6"/>
        <v>JACINTOREQ-204</v>
      </c>
      <c r="B751" s="19" t="str">
        <f>HYPERLINK("https://jira.itg.ti.com/browse/PDK-2795","PDK-2795")</f>
        <v>PDK-2795</v>
      </c>
      <c r="C751" s="18" t="s">
        <v>1539</v>
      </c>
      <c r="D751" s="18" t="s">
        <v>1268</v>
      </c>
      <c r="E751" s="18" t="s">
        <v>1645</v>
      </c>
      <c r="F751" s="20" t="s">
        <v>1229</v>
      </c>
      <c r="G751" s="9" t="s">
        <v>895</v>
      </c>
      <c r="H751" s="8" t="s">
        <v>394</v>
      </c>
      <c r="I751" s="7" t="s">
        <v>1031</v>
      </c>
    </row>
    <row r="752" spans="1:9" x14ac:dyDescent="0.35">
      <c r="A752" s="19" t="str">
        <f t="shared" si="6"/>
        <v>JACINTOREQ-204</v>
      </c>
      <c r="B752" s="19" t="str">
        <f>HYPERLINK("https://jira.itg.ti.com/browse/PDK-4940","PDK-4940")</f>
        <v>PDK-4940</v>
      </c>
      <c r="C752" s="18" t="s">
        <v>941</v>
      </c>
      <c r="D752" s="18" t="s">
        <v>210</v>
      </c>
      <c r="E752" s="18" t="s">
        <v>1645</v>
      </c>
      <c r="F752" s="20" t="s">
        <v>1229</v>
      </c>
      <c r="G752" s="9" t="s">
        <v>686</v>
      </c>
      <c r="H752" s="8" t="s">
        <v>394</v>
      </c>
      <c r="I752" s="7" t="s">
        <v>1031</v>
      </c>
    </row>
    <row r="753" spans="1:9" x14ac:dyDescent="0.35">
      <c r="A753" s="19" t="str">
        <f t="shared" si="6"/>
        <v>JACINTOREQ-204</v>
      </c>
      <c r="B753" s="19" t="str">
        <f>HYPERLINK("https://jira.itg.ti.com/browse/PDK-2164","PDK-2164")</f>
        <v>PDK-2164</v>
      </c>
      <c r="C753" s="18" t="s">
        <v>1603</v>
      </c>
      <c r="D753" s="18" t="s">
        <v>1268</v>
      </c>
      <c r="E753" s="18" t="s">
        <v>1645</v>
      </c>
      <c r="F753" s="20" t="s">
        <v>1229</v>
      </c>
      <c r="G753" s="9" t="s">
        <v>895</v>
      </c>
      <c r="H753" s="8" t="s">
        <v>394</v>
      </c>
      <c r="I753" s="7" t="s">
        <v>1031</v>
      </c>
    </row>
    <row r="754" spans="1:9" x14ac:dyDescent="0.35">
      <c r="A754" s="19" t="str">
        <f t="shared" si="6"/>
        <v>JACINTOREQ-204</v>
      </c>
      <c r="B754" s="19" t="str">
        <f>HYPERLINK("https://jira.itg.ti.com/browse/PDK-2165","PDK-2165")</f>
        <v>PDK-2165</v>
      </c>
      <c r="C754" s="18" t="s">
        <v>1386</v>
      </c>
      <c r="D754" s="18" t="s">
        <v>1268</v>
      </c>
      <c r="E754" s="18" t="s">
        <v>1645</v>
      </c>
      <c r="F754" s="20" t="s">
        <v>1229</v>
      </c>
      <c r="G754" s="9" t="s">
        <v>895</v>
      </c>
      <c r="H754" s="8" t="s">
        <v>394</v>
      </c>
      <c r="I754" s="7" t="s">
        <v>1031</v>
      </c>
    </row>
    <row r="755" spans="1:9" x14ac:dyDescent="0.35">
      <c r="A755" s="19" t="str">
        <f t="shared" si="6"/>
        <v>JACINTOREQ-204</v>
      </c>
      <c r="B755" s="19" t="str">
        <f>HYPERLINK("https://jira.itg.ti.com/browse/PDK-2166","PDK-2166")</f>
        <v>PDK-2166</v>
      </c>
      <c r="C755" s="18" t="s">
        <v>332</v>
      </c>
      <c r="D755" s="18" t="s">
        <v>1268</v>
      </c>
      <c r="E755" s="18" t="s">
        <v>1645</v>
      </c>
      <c r="F755" s="20" t="s">
        <v>1229</v>
      </c>
      <c r="G755" s="9" t="s">
        <v>895</v>
      </c>
      <c r="H755" s="8" t="s">
        <v>394</v>
      </c>
      <c r="I755" s="7" t="s">
        <v>1031</v>
      </c>
    </row>
    <row r="756" spans="1:9" x14ac:dyDescent="0.35">
      <c r="A756" s="19" t="str">
        <f t="shared" si="6"/>
        <v>JACINTOREQ-204</v>
      </c>
      <c r="B756" s="19" t="str">
        <f>HYPERLINK("https://jira.itg.ti.com/browse/PDK-2168","PDK-2168")</f>
        <v>PDK-2168</v>
      </c>
      <c r="C756" s="18" t="s">
        <v>1258</v>
      </c>
      <c r="D756" s="18" t="s">
        <v>1268</v>
      </c>
      <c r="E756" s="18" t="s">
        <v>1645</v>
      </c>
      <c r="F756" s="20" t="s">
        <v>1229</v>
      </c>
      <c r="G756" s="9" t="s">
        <v>1342</v>
      </c>
      <c r="H756" s="8" t="s">
        <v>394</v>
      </c>
      <c r="I756" s="7" t="s">
        <v>1031</v>
      </c>
    </row>
    <row r="757" spans="1:9" x14ac:dyDescent="0.35">
      <c r="A757" s="19" t="str">
        <f t="shared" si="6"/>
        <v>JACINTOREQ-204</v>
      </c>
      <c r="B757" s="19" t="str">
        <f>HYPERLINK("https://jira.itg.ti.com/browse/PDK-2171","PDK-2171")</f>
        <v>PDK-2171</v>
      </c>
      <c r="C757" s="18" t="s">
        <v>1654</v>
      </c>
      <c r="D757" s="18" t="s">
        <v>1268</v>
      </c>
      <c r="E757" s="18" t="s">
        <v>1645</v>
      </c>
      <c r="F757" s="20" t="s">
        <v>1229</v>
      </c>
      <c r="G757" s="9" t="s">
        <v>895</v>
      </c>
      <c r="H757" s="8" t="s">
        <v>394</v>
      </c>
      <c r="I757" s="7" t="s">
        <v>1031</v>
      </c>
    </row>
    <row r="758" spans="1:9" x14ac:dyDescent="0.35">
      <c r="A758" s="19" t="str">
        <f t="shared" si="6"/>
        <v>JACINTOREQ-204</v>
      </c>
      <c r="B758" s="19" t="str">
        <f>HYPERLINK("https://jira.itg.ti.com/browse/PDK-2172","PDK-2172")</f>
        <v>PDK-2172</v>
      </c>
      <c r="C758" s="18" t="s">
        <v>1606</v>
      </c>
      <c r="D758" s="18" t="s">
        <v>1268</v>
      </c>
      <c r="E758" s="18" t="s">
        <v>1645</v>
      </c>
      <c r="F758" s="20" t="s">
        <v>1229</v>
      </c>
      <c r="G758" s="9" t="s">
        <v>140</v>
      </c>
      <c r="H758" s="8" t="s">
        <v>394</v>
      </c>
      <c r="I758" s="7" t="s">
        <v>1031</v>
      </c>
    </row>
    <row r="759" spans="1:9" x14ac:dyDescent="0.35">
      <c r="A759" s="19" t="str">
        <f t="shared" si="6"/>
        <v>JACINTOREQ-204</v>
      </c>
      <c r="B759" s="19" t="str">
        <f>HYPERLINK("https://jira.itg.ti.com/browse/PDK-2173","PDK-2173")</f>
        <v>PDK-2173</v>
      </c>
      <c r="C759" s="18" t="s">
        <v>291</v>
      </c>
      <c r="D759" s="18" t="s">
        <v>1268</v>
      </c>
      <c r="E759" s="18" t="s">
        <v>1645</v>
      </c>
      <c r="F759" s="20" t="s">
        <v>1229</v>
      </c>
      <c r="G759" s="9" t="s">
        <v>140</v>
      </c>
      <c r="H759" s="8" t="s">
        <v>394</v>
      </c>
      <c r="I759" s="7" t="s">
        <v>1031</v>
      </c>
    </row>
    <row r="760" spans="1:9" x14ac:dyDescent="0.35">
      <c r="A760" s="19" t="str">
        <f t="shared" si="6"/>
        <v>JACINTOREQ-204</v>
      </c>
      <c r="B760" s="19" t="str">
        <f>HYPERLINK("https://jira.itg.ti.com/browse/PDK-2174","PDK-2174")</f>
        <v>PDK-2174</v>
      </c>
      <c r="C760" s="18" t="s">
        <v>1035</v>
      </c>
      <c r="D760" s="18" t="s">
        <v>1268</v>
      </c>
      <c r="E760" s="18" t="s">
        <v>1645</v>
      </c>
      <c r="F760" s="20" t="s">
        <v>1229</v>
      </c>
      <c r="G760" s="9" t="s">
        <v>140</v>
      </c>
      <c r="H760" s="8" t="s">
        <v>394</v>
      </c>
      <c r="I760" s="7" t="s">
        <v>1031</v>
      </c>
    </row>
    <row r="761" spans="1:9" x14ac:dyDescent="0.35">
      <c r="A761" s="19" t="str">
        <f>HYPERLINK("https://jira.itg.ti.com/browse/JACINTOREQ-209","JACINTOREQ-209")</f>
        <v>JACINTOREQ-209</v>
      </c>
      <c r="B761" s="19" t="str">
        <f>HYPERLINK("https://jira.itg.ti.com/browse/PDK-2397","PDK-2397")</f>
        <v>PDK-2397</v>
      </c>
      <c r="C761" s="18" t="s">
        <v>841</v>
      </c>
      <c r="D761" s="18" t="s">
        <v>1268</v>
      </c>
      <c r="E761" s="18" t="s">
        <v>1645</v>
      </c>
      <c r="F761" s="20" t="s">
        <v>1229</v>
      </c>
      <c r="G761" s="9" t="s">
        <v>1309</v>
      </c>
      <c r="H761" s="8" t="s">
        <v>394</v>
      </c>
      <c r="I761" s="7" t="s">
        <v>1031</v>
      </c>
    </row>
    <row r="762" spans="1:9" x14ac:dyDescent="0.35">
      <c r="A762" s="14"/>
      <c r="B762" s="14"/>
      <c r="C762" s="14"/>
      <c r="D762" s="14"/>
      <c r="E762" s="14"/>
      <c r="F762" s="14"/>
      <c r="G762" s="10" t="s">
        <v>1486</v>
      </c>
      <c r="H762" s="8" t="s">
        <v>394</v>
      </c>
    </row>
    <row r="763" spans="1:9" x14ac:dyDescent="0.35">
      <c r="A763" s="19"/>
      <c r="B763" s="19"/>
      <c r="C763" s="18"/>
      <c r="D763" s="18"/>
      <c r="E763" s="18"/>
      <c r="F763" s="20"/>
      <c r="G763" s="10" t="s">
        <v>436</v>
      </c>
      <c r="H763" s="8" t="s">
        <v>394</v>
      </c>
    </row>
    <row r="764" spans="1:9" x14ac:dyDescent="0.35">
      <c r="A764" s="19" t="str">
        <f t="shared" ref="A764:A770" si="7">HYPERLINK("https://jira.itg.ti.com/browse/JACINTOREQ-209","JACINTOREQ-209")</f>
        <v>JACINTOREQ-209</v>
      </c>
      <c r="B764" s="19" t="str">
        <f>HYPERLINK("https://jira.itg.ti.com/browse/PDK-2884","PDK-2884")</f>
        <v>PDK-2884</v>
      </c>
      <c r="C764" s="18" t="s">
        <v>1624</v>
      </c>
      <c r="D764" s="18" t="s">
        <v>1268</v>
      </c>
      <c r="E764" s="18" t="s">
        <v>1645</v>
      </c>
      <c r="F764" s="22" t="s">
        <v>552</v>
      </c>
      <c r="G764" s="9" t="s">
        <v>156</v>
      </c>
      <c r="H764" s="11" t="s">
        <v>313</v>
      </c>
      <c r="I764" s="7" t="s">
        <v>1031</v>
      </c>
    </row>
    <row r="765" spans="1:9" x14ac:dyDescent="0.35">
      <c r="A765" s="19" t="str">
        <f t="shared" si="7"/>
        <v>JACINTOREQ-209</v>
      </c>
      <c r="B765" s="19" t="str">
        <f>HYPERLINK("https://jira.itg.ti.com/browse/PDK-2885","PDK-2885")</f>
        <v>PDK-2885</v>
      </c>
      <c r="C765" s="18" t="s">
        <v>1571</v>
      </c>
      <c r="D765" s="18" t="s">
        <v>1268</v>
      </c>
      <c r="E765" s="18" t="s">
        <v>1645</v>
      </c>
      <c r="F765" s="22" t="s">
        <v>552</v>
      </c>
      <c r="G765" s="9" t="s">
        <v>674</v>
      </c>
      <c r="H765" s="11" t="s">
        <v>313</v>
      </c>
      <c r="I765" s="7" t="s">
        <v>1031</v>
      </c>
    </row>
    <row r="766" spans="1:9" x14ac:dyDescent="0.35">
      <c r="A766" s="19" t="str">
        <f t="shared" si="7"/>
        <v>JACINTOREQ-209</v>
      </c>
      <c r="B766" s="19" t="str">
        <f>HYPERLINK("https://jira.itg.ti.com/browse/PDK-3694","PDK-3694")</f>
        <v>PDK-3694</v>
      </c>
      <c r="C766" s="18" t="s">
        <v>493</v>
      </c>
      <c r="D766" s="18" t="s">
        <v>1268</v>
      </c>
      <c r="E766" s="18" t="s">
        <v>1645</v>
      </c>
      <c r="F766" s="22" t="s">
        <v>552</v>
      </c>
      <c r="G766" s="9" t="s">
        <v>156</v>
      </c>
      <c r="H766" s="11" t="s">
        <v>313</v>
      </c>
      <c r="I766" s="7" t="s">
        <v>1031</v>
      </c>
    </row>
    <row r="767" spans="1:9" ht="25.5" x14ac:dyDescent="0.35">
      <c r="A767" s="19" t="str">
        <f t="shared" si="7"/>
        <v>JACINTOREQ-209</v>
      </c>
      <c r="B767" s="19" t="str">
        <f>HYPERLINK("https://jira.itg.ti.com/browse/PDK-3714","PDK-3714")</f>
        <v>PDK-3714</v>
      </c>
      <c r="C767" s="18" t="s">
        <v>1297</v>
      </c>
      <c r="D767" s="18" t="s">
        <v>1268</v>
      </c>
      <c r="E767" s="18" t="s">
        <v>1645</v>
      </c>
      <c r="F767" s="20" t="s">
        <v>1229</v>
      </c>
      <c r="G767" s="9" t="s">
        <v>142</v>
      </c>
      <c r="H767" s="8" t="s">
        <v>394</v>
      </c>
      <c r="I767" s="7" t="s">
        <v>1031</v>
      </c>
    </row>
    <row r="768" spans="1:9" x14ac:dyDescent="0.35">
      <c r="A768" s="19" t="str">
        <f t="shared" si="7"/>
        <v>JACINTOREQ-209</v>
      </c>
      <c r="B768" s="19" t="str">
        <f>HYPERLINK("https://jira.itg.ti.com/browse/PDK-4058","PDK-4058")</f>
        <v>PDK-4058</v>
      </c>
      <c r="C768" s="18" t="s">
        <v>1595</v>
      </c>
      <c r="D768" s="18" t="s">
        <v>692</v>
      </c>
      <c r="E768" s="18" t="s">
        <v>1645</v>
      </c>
      <c r="F768" s="22" t="s">
        <v>552</v>
      </c>
      <c r="G768" s="9" t="s">
        <v>681</v>
      </c>
      <c r="H768" s="12" t="s">
        <v>1241</v>
      </c>
      <c r="I768" s="7" t="s">
        <v>1031</v>
      </c>
    </row>
    <row r="769" spans="1:9" x14ac:dyDescent="0.35">
      <c r="A769" s="19" t="str">
        <f t="shared" si="7"/>
        <v>JACINTOREQ-209</v>
      </c>
      <c r="B769" s="19" t="str">
        <f>HYPERLINK("https://jira.itg.ti.com/browse/PDK-4064","PDK-4064")</f>
        <v>PDK-4064</v>
      </c>
      <c r="C769" s="18" t="s">
        <v>907</v>
      </c>
      <c r="D769" s="18" t="s">
        <v>1268</v>
      </c>
      <c r="E769" s="18" t="s">
        <v>1645</v>
      </c>
      <c r="F769" s="20" t="s">
        <v>1229</v>
      </c>
      <c r="G769" s="9" t="s">
        <v>881</v>
      </c>
      <c r="H769" s="8" t="s">
        <v>394</v>
      </c>
      <c r="I769" s="7" t="s">
        <v>1031</v>
      </c>
    </row>
    <row r="770" spans="1:9" ht="25.5" x14ac:dyDescent="0.35">
      <c r="A770" s="19" t="str">
        <f t="shared" si="7"/>
        <v>JACINTOREQ-209</v>
      </c>
      <c r="B770" s="19" t="str">
        <f>HYPERLINK("https://jira.itg.ti.com/browse/PDK-4358","PDK-4358")</f>
        <v>PDK-4358</v>
      </c>
      <c r="C770" s="18" t="s">
        <v>1340</v>
      </c>
      <c r="D770" s="18" t="s">
        <v>692</v>
      </c>
      <c r="E770" s="18" t="s">
        <v>1645</v>
      </c>
      <c r="F770" s="20" t="s">
        <v>1229</v>
      </c>
      <c r="G770" s="9" t="s">
        <v>142</v>
      </c>
      <c r="H770" s="8" t="s">
        <v>394</v>
      </c>
      <c r="I770" s="7" t="s">
        <v>1031</v>
      </c>
    </row>
    <row r="771" spans="1:9" x14ac:dyDescent="0.35">
      <c r="A771" s="19" t="str">
        <f>HYPERLINK("https://jira.itg.ti.com/browse/JACINTOREQ-211","JACINTOREQ-211")</f>
        <v>JACINTOREQ-211</v>
      </c>
      <c r="B771" s="19" t="str">
        <f>HYPERLINK("https://jira.itg.ti.com/browse/PDK-2470","PDK-2470")</f>
        <v>PDK-2470</v>
      </c>
      <c r="C771" s="18" t="s">
        <v>724</v>
      </c>
      <c r="D771" s="18" t="s">
        <v>467</v>
      </c>
      <c r="E771" s="18" t="s">
        <v>1645</v>
      </c>
      <c r="F771" s="20" t="s">
        <v>1229</v>
      </c>
      <c r="G771" s="9" t="s">
        <v>200</v>
      </c>
      <c r="H771" s="8" t="s">
        <v>394</v>
      </c>
      <c r="I771" s="7" t="s">
        <v>1031</v>
      </c>
    </row>
    <row r="772" spans="1:9" ht="25.5" x14ac:dyDescent="0.35">
      <c r="A772" s="19" t="str">
        <f>HYPERLINK("https://jira.itg.ti.com/browse/JACINTOREQ-212","JACINTOREQ-212")</f>
        <v>JACINTOREQ-212</v>
      </c>
      <c r="B772" s="19" t="str">
        <f>HYPERLINK("https://jira.itg.ti.com/browse/PDK-2471","PDK-2471")</f>
        <v>PDK-2471</v>
      </c>
      <c r="C772" s="18" t="s">
        <v>360</v>
      </c>
      <c r="D772" s="18" t="s">
        <v>467</v>
      </c>
      <c r="E772" s="18" t="s">
        <v>1645</v>
      </c>
      <c r="F772" s="20" t="s">
        <v>1229</v>
      </c>
      <c r="G772" s="9" t="s">
        <v>241</v>
      </c>
      <c r="H772" s="8" t="s">
        <v>394</v>
      </c>
      <c r="I772" s="7" t="s">
        <v>1031</v>
      </c>
    </row>
    <row r="773" spans="1:9" ht="25.5" x14ac:dyDescent="0.35">
      <c r="A773" s="19"/>
      <c r="B773" s="19"/>
      <c r="C773" s="18"/>
      <c r="D773" s="18"/>
      <c r="E773" s="18"/>
      <c r="F773" s="20"/>
      <c r="G773" s="10" t="s">
        <v>1233</v>
      </c>
      <c r="H773" s="8" t="s">
        <v>394</v>
      </c>
    </row>
    <row r="774" spans="1:9" x14ac:dyDescent="0.35">
      <c r="A774" s="19" t="str">
        <f>HYPERLINK("https://jira.itg.ti.com/browse/JACINTOREQ-247","JACINTOREQ-247")</f>
        <v>JACINTOREQ-247</v>
      </c>
      <c r="B774" s="19" t="str">
        <f>HYPERLINK("https://jira.itg.ti.com/browse/PDK-2490","PDK-2490")</f>
        <v>PDK-2490</v>
      </c>
      <c r="C774" s="18" t="s">
        <v>1580</v>
      </c>
      <c r="D774" s="18" t="s">
        <v>1179</v>
      </c>
      <c r="E774" s="18" t="s">
        <v>1645</v>
      </c>
      <c r="F774" s="20" t="s">
        <v>1229</v>
      </c>
      <c r="G774" s="9" t="s">
        <v>1587</v>
      </c>
      <c r="H774" s="8" t="s">
        <v>394</v>
      </c>
      <c r="I774" s="7" t="s">
        <v>1031</v>
      </c>
    </row>
    <row r="775" spans="1:9" x14ac:dyDescent="0.35">
      <c r="A775" s="14"/>
      <c r="B775" s="14"/>
      <c r="C775" s="14"/>
      <c r="D775" s="14"/>
      <c r="E775" s="14"/>
      <c r="F775" s="14"/>
      <c r="G775" s="10" t="s">
        <v>1428</v>
      </c>
      <c r="H775" s="8" t="s">
        <v>394</v>
      </c>
    </row>
    <row r="776" spans="1:9" x14ac:dyDescent="0.35">
      <c r="A776" s="19"/>
      <c r="B776" s="19"/>
      <c r="C776" s="18"/>
      <c r="D776" s="18"/>
      <c r="E776" s="18"/>
      <c r="F776" s="20"/>
      <c r="G776" s="10" t="s">
        <v>1564</v>
      </c>
      <c r="H776" s="8" t="s">
        <v>394</v>
      </c>
    </row>
    <row r="777" spans="1:9" x14ac:dyDescent="0.35">
      <c r="A777" s="19" t="str">
        <f t="shared" ref="A777:A782" si="8">HYPERLINK("https://jira.itg.ti.com/browse/JACINTOREQ-327","JACINTOREQ-327")</f>
        <v>JACINTOREQ-327</v>
      </c>
      <c r="B777" s="19" t="str">
        <f>HYPERLINK("https://jira.itg.ti.com/browse/PDK-2764","PDK-2764")</f>
        <v>PDK-2764</v>
      </c>
      <c r="C777" s="18" t="s">
        <v>739</v>
      </c>
      <c r="D777" s="18" t="s">
        <v>1268</v>
      </c>
      <c r="E777" s="18" t="s">
        <v>1645</v>
      </c>
      <c r="F777" s="20" t="s">
        <v>1229</v>
      </c>
      <c r="G777" s="9" t="s">
        <v>850</v>
      </c>
      <c r="H777" s="8" t="s">
        <v>394</v>
      </c>
      <c r="I777" s="7" t="s">
        <v>1031</v>
      </c>
    </row>
    <row r="778" spans="1:9" x14ac:dyDescent="0.35">
      <c r="A778" s="19" t="str">
        <f t="shared" si="8"/>
        <v>JACINTOREQ-327</v>
      </c>
      <c r="B778" s="19" t="str">
        <f>HYPERLINK("https://jira.itg.ti.com/browse/PDK-2766","PDK-2766")</f>
        <v>PDK-2766</v>
      </c>
      <c r="C778" s="18" t="s">
        <v>284</v>
      </c>
      <c r="D778" s="18" t="s">
        <v>1268</v>
      </c>
      <c r="E778" s="18" t="s">
        <v>1645</v>
      </c>
      <c r="F778" s="20" t="s">
        <v>1229</v>
      </c>
      <c r="G778" s="9" t="s">
        <v>525</v>
      </c>
      <c r="H778" s="8" t="s">
        <v>394</v>
      </c>
      <c r="I778" s="7" t="s">
        <v>1031</v>
      </c>
    </row>
    <row r="779" spans="1:9" x14ac:dyDescent="0.35">
      <c r="A779" s="19" t="str">
        <f t="shared" si="8"/>
        <v>JACINTOREQ-327</v>
      </c>
      <c r="B779" s="19" t="str">
        <f>HYPERLINK("https://jira.itg.ti.com/browse/PDK-2767","PDK-2767")</f>
        <v>PDK-2767</v>
      </c>
      <c r="C779" s="18" t="s">
        <v>1068</v>
      </c>
      <c r="D779" s="18" t="s">
        <v>1268</v>
      </c>
      <c r="E779" s="18" t="s">
        <v>1645</v>
      </c>
      <c r="F779" s="20" t="s">
        <v>1229</v>
      </c>
      <c r="G779" s="9" t="s">
        <v>532</v>
      </c>
      <c r="H779" s="8" t="s">
        <v>394</v>
      </c>
      <c r="I779" s="7" t="s">
        <v>1031</v>
      </c>
    </row>
    <row r="780" spans="1:9" x14ac:dyDescent="0.35">
      <c r="A780" s="19" t="str">
        <f t="shared" si="8"/>
        <v>JACINTOREQ-327</v>
      </c>
      <c r="B780" s="19" t="str">
        <f>HYPERLINK("https://jira.itg.ti.com/browse/PDK-2768","PDK-2768")</f>
        <v>PDK-2768</v>
      </c>
      <c r="C780" s="18" t="s">
        <v>1093</v>
      </c>
      <c r="D780" s="18" t="s">
        <v>1268</v>
      </c>
      <c r="E780" s="18" t="s">
        <v>1645</v>
      </c>
      <c r="F780" s="20" t="s">
        <v>1229</v>
      </c>
      <c r="G780" s="9" t="s">
        <v>1582</v>
      </c>
      <c r="H780" s="8" t="s">
        <v>394</v>
      </c>
      <c r="I780" s="7" t="s">
        <v>1031</v>
      </c>
    </row>
    <row r="781" spans="1:9" x14ac:dyDescent="0.35">
      <c r="A781" s="19" t="str">
        <f t="shared" si="8"/>
        <v>JACINTOREQ-327</v>
      </c>
      <c r="B781" s="19" t="str">
        <f>HYPERLINK("https://jira.itg.ti.com/browse/PDK-2769","PDK-2769")</f>
        <v>PDK-2769</v>
      </c>
      <c r="C781" s="18" t="s">
        <v>83</v>
      </c>
      <c r="D781" s="18" t="s">
        <v>1268</v>
      </c>
      <c r="E781" s="18" t="s">
        <v>1645</v>
      </c>
      <c r="F781" s="20" t="s">
        <v>1229</v>
      </c>
      <c r="G781" s="9" t="s">
        <v>96</v>
      </c>
      <c r="H781" s="8" t="s">
        <v>394</v>
      </c>
      <c r="I781" s="7" t="s">
        <v>1031</v>
      </c>
    </row>
    <row r="782" spans="1:9" x14ac:dyDescent="0.35">
      <c r="A782" s="19" t="str">
        <f t="shared" si="8"/>
        <v>JACINTOREQ-327</v>
      </c>
      <c r="B782" s="19" t="str">
        <f>HYPERLINK("https://jira.itg.ti.com/browse/PDK-2771","PDK-2771")</f>
        <v>PDK-2771</v>
      </c>
      <c r="C782" s="18" t="s">
        <v>1439</v>
      </c>
      <c r="D782" s="18" t="s">
        <v>1268</v>
      </c>
      <c r="E782" s="18" t="s">
        <v>1645</v>
      </c>
      <c r="F782" s="20" t="s">
        <v>1229</v>
      </c>
      <c r="G782" s="9" t="s">
        <v>1147</v>
      </c>
      <c r="H782" s="8" t="s">
        <v>394</v>
      </c>
      <c r="I782" s="7" t="s">
        <v>1031</v>
      </c>
    </row>
    <row r="783" spans="1:9" x14ac:dyDescent="0.35">
      <c r="A783" s="19" t="str">
        <f t="shared" ref="A783:A796" si="9">HYPERLINK("https://jira.itg.ti.com/browse/JACINTOREQ-340","JACINTOREQ-340")</f>
        <v>JACINTOREQ-340</v>
      </c>
      <c r="B783" s="19" t="str">
        <f>HYPERLINK("https://jira.itg.ti.com/browse/PDK-2816","PDK-2816")</f>
        <v>PDK-2816</v>
      </c>
      <c r="C783" s="18" t="s">
        <v>1361</v>
      </c>
      <c r="D783" s="18" t="s">
        <v>1268</v>
      </c>
      <c r="E783" s="18" t="s">
        <v>1645</v>
      </c>
      <c r="F783" s="20" t="s">
        <v>1229</v>
      </c>
      <c r="G783" s="9" t="s">
        <v>1309</v>
      </c>
      <c r="H783" s="8" t="s">
        <v>394</v>
      </c>
      <c r="I783" s="7" t="s">
        <v>1031</v>
      </c>
    </row>
    <row r="784" spans="1:9" x14ac:dyDescent="0.35">
      <c r="A784" s="19" t="str">
        <f t="shared" si="9"/>
        <v>JACINTOREQ-340</v>
      </c>
      <c r="B784" s="19" t="str">
        <f>HYPERLINK("https://jira.itg.ti.com/browse/PDK-2821","PDK-2821")</f>
        <v>PDK-2821</v>
      </c>
      <c r="C784" s="18" t="s">
        <v>1622</v>
      </c>
      <c r="D784" s="18" t="s">
        <v>1268</v>
      </c>
      <c r="E784" s="18" t="s">
        <v>1645</v>
      </c>
      <c r="F784" s="20" t="s">
        <v>1229</v>
      </c>
      <c r="G784" s="9" t="s">
        <v>260</v>
      </c>
      <c r="H784" s="8" t="s">
        <v>394</v>
      </c>
      <c r="I784" s="7" t="s">
        <v>1031</v>
      </c>
    </row>
    <row r="785" spans="1:9" x14ac:dyDescent="0.35">
      <c r="A785" s="19" t="str">
        <f t="shared" si="9"/>
        <v>JACINTOREQ-340</v>
      </c>
      <c r="B785" s="19" t="str">
        <f>HYPERLINK("https://jira.itg.ti.com/browse/PDK-2823","PDK-2823")</f>
        <v>PDK-2823</v>
      </c>
      <c r="C785" s="18" t="s">
        <v>216</v>
      </c>
      <c r="D785" s="18" t="s">
        <v>1268</v>
      </c>
      <c r="E785" s="18" t="s">
        <v>1645</v>
      </c>
      <c r="F785" s="20" t="s">
        <v>1229</v>
      </c>
      <c r="G785" s="9" t="s">
        <v>196</v>
      </c>
      <c r="H785" s="8" t="s">
        <v>394</v>
      </c>
      <c r="I785" s="7" t="s">
        <v>1031</v>
      </c>
    </row>
    <row r="786" spans="1:9" x14ac:dyDescent="0.35">
      <c r="A786" s="19" t="str">
        <f t="shared" si="9"/>
        <v>JACINTOREQ-340</v>
      </c>
      <c r="B786" s="19" t="str">
        <f>HYPERLINK("https://jira.itg.ti.com/browse/PDK-2824","PDK-2824")</f>
        <v>PDK-2824</v>
      </c>
      <c r="C786" s="18" t="s">
        <v>608</v>
      </c>
      <c r="D786" s="18" t="s">
        <v>1268</v>
      </c>
      <c r="E786" s="18" t="s">
        <v>1645</v>
      </c>
      <c r="F786" s="20" t="s">
        <v>1229</v>
      </c>
      <c r="G786" s="9" t="s">
        <v>874</v>
      </c>
      <c r="H786" s="8" t="s">
        <v>394</v>
      </c>
      <c r="I786" s="7" t="s">
        <v>1031</v>
      </c>
    </row>
    <row r="787" spans="1:9" x14ac:dyDescent="0.35">
      <c r="A787" s="19" t="str">
        <f t="shared" si="9"/>
        <v>JACINTOREQ-340</v>
      </c>
      <c r="B787" s="19" t="str">
        <f>HYPERLINK("https://jira.itg.ti.com/browse/PDK-2826","PDK-2826")</f>
        <v>PDK-2826</v>
      </c>
      <c r="C787" s="18" t="s">
        <v>458</v>
      </c>
      <c r="D787" s="18" t="s">
        <v>1268</v>
      </c>
      <c r="E787" s="18" t="s">
        <v>1645</v>
      </c>
      <c r="F787" s="20" t="s">
        <v>1229</v>
      </c>
      <c r="G787" s="9" t="s">
        <v>89</v>
      </c>
      <c r="H787" s="8" t="s">
        <v>394</v>
      </c>
      <c r="I787" s="7" t="s">
        <v>1031</v>
      </c>
    </row>
    <row r="788" spans="1:9" x14ac:dyDescent="0.35">
      <c r="A788" s="19" t="str">
        <f t="shared" si="9"/>
        <v>JACINTOREQ-340</v>
      </c>
      <c r="B788" s="19" t="str">
        <f>HYPERLINK("https://jira.itg.ti.com/browse/PDK-2827","PDK-2827")</f>
        <v>PDK-2827</v>
      </c>
      <c r="C788" s="18" t="s">
        <v>1317</v>
      </c>
      <c r="D788" s="18" t="s">
        <v>1268</v>
      </c>
      <c r="E788" s="18" t="s">
        <v>1645</v>
      </c>
      <c r="F788" s="20" t="s">
        <v>1229</v>
      </c>
      <c r="G788" s="9" t="s">
        <v>1183</v>
      </c>
      <c r="H788" s="8" t="s">
        <v>394</v>
      </c>
      <c r="I788" s="7" t="s">
        <v>1031</v>
      </c>
    </row>
    <row r="789" spans="1:9" x14ac:dyDescent="0.35">
      <c r="A789" s="19" t="str">
        <f t="shared" si="9"/>
        <v>JACINTOREQ-340</v>
      </c>
      <c r="B789" s="19" t="str">
        <f>HYPERLINK("https://jira.itg.ti.com/browse/PDK-2828","PDK-2828")</f>
        <v>PDK-2828</v>
      </c>
      <c r="C789" s="18" t="s">
        <v>1211</v>
      </c>
      <c r="D789" s="18" t="s">
        <v>1268</v>
      </c>
      <c r="E789" s="18" t="s">
        <v>1645</v>
      </c>
      <c r="F789" s="20" t="s">
        <v>1229</v>
      </c>
      <c r="G789" s="9" t="s">
        <v>1486</v>
      </c>
      <c r="H789" s="8" t="s">
        <v>394</v>
      </c>
      <c r="I789" s="7" t="s">
        <v>1031</v>
      </c>
    </row>
    <row r="790" spans="1:9" x14ac:dyDescent="0.35">
      <c r="A790" s="19" t="str">
        <f t="shared" si="9"/>
        <v>JACINTOREQ-340</v>
      </c>
      <c r="B790" s="19" t="str">
        <f>HYPERLINK("https://jira.itg.ti.com/browse/PDK-2830","PDK-2830")</f>
        <v>PDK-2830</v>
      </c>
      <c r="C790" s="18" t="s">
        <v>1197</v>
      </c>
      <c r="D790" s="18" t="s">
        <v>1268</v>
      </c>
      <c r="E790" s="18" t="s">
        <v>1645</v>
      </c>
      <c r="F790" s="20" t="s">
        <v>1229</v>
      </c>
      <c r="G790" s="9" t="s">
        <v>1650</v>
      </c>
      <c r="H790" s="8" t="s">
        <v>394</v>
      </c>
      <c r="I790" s="7" t="s">
        <v>1031</v>
      </c>
    </row>
    <row r="791" spans="1:9" x14ac:dyDescent="0.35">
      <c r="A791" s="19" t="str">
        <f t="shared" si="9"/>
        <v>JACINTOREQ-340</v>
      </c>
      <c r="B791" s="19" t="str">
        <f>HYPERLINK("https://jira.itg.ti.com/browse/PDK-2834","PDK-2834")</f>
        <v>PDK-2834</v>
      </c>
      <c r="C791" s="18" t="s">
        <v>221</v>
      </c>
      <c r="D791" s="18" t="s">
        <v>692</v>
      </c>
      <c r="E791" s="18" t="s">
        <v>1645</v>
      </c>
      <c r="F791" s="20" t="s">
        <v>1229</v>
      </c>
      <c r="G791" s="9" t="s">
        <v>406</v>
      </c>
      <c r="H791" s="8" t="s">
        <v>394</v>
      </c>
      <c r="I791" s="7" t="s">
        <v>1031</v>
      </c>
    </row>
    <row r="792" spans="1:9" x14ac:dyDescent="0.35">
      <c r="A792" s="19" t="str">
        <f t="shared" si="9"/>
        <v>JACINTOREQ-340</v>
      </c>
      <c r="B792" s="19" t="str">
        <f>HYPERLINK("https://jira.itg.ti.com/browse/PDK-2835","PDK-2835")</f>
        <v>PDK-2835</v>
      </c>
      <c r="C792" s="18" t="s">
        <v>1022</v>
      </c>
      <c r="D792" s="18" t="s">
        <v>1268</v>
      </c>
      <c r="E792" s="18" t="s">
        <v>1645</v>
      </c>
      <c r="F792" s="20" t="s">
        <v>1229</v>
      </c>
      <c r="G792" s="9" t="s">
        <v>214</v>
      </c>
      <c r="H792" s="8" t="s">
        <v>394</v>
      </c>
      <c r="I792" s="7" t="s">
        <v>1031</v>
      </c>
    </row>
    <row r="793" spans="1:9" x14ac:dyDescent="0.35">
      <c r="A793" s="19" t="str">
        <f t="shared" si="9"/>
        <v>JACINTOREQ-340</v>
      </c>
      <c r="B793" s="19" t="str">
        <f>HYPERLINK("https://jira.itg.ti.com/browse/PDK-2836","PDK-2836")</f>
        <v>PDK-2836</v>
      </c>
      <c r="C793" s="18" t="s">
        <v>1351</v>
      </c>
      <c r="D793" s="18" t="s">
        <v>1268</v>
      </c>
      <c r="E793" s="18" t="s">
        <v>1645</v>
      </c>
      <c r="F793" s="20" t="s">
        <v>1229</v>
      </c>
      <c r="G793" s="9" t="s">
        <v>510</v>
      </c>
      <c r="H793" s="8" t="s">
        <v>394</v>
      </c>
      <c r="I793" s="7" t="s">
        <v>1031</v>
      </c>
    </row>
    <row r="794" spans="1:9" x14ac:dyDescent="0.35">
      <c r="A794" s="19" t="str">
        <f t="shared" si="9"/>
        <v>JACINTOREQ-340</v>
      </c>
      <c r="B794" s="19" t="str">
        <f>HYPERLINK("https://jira.itg.ti.com/browse/PDK-2838","PDK-2838")</f>
        <v>PDK-2838</v>
      </c>
      <c r="C794" s="18" t="s">
        <v>995</v>
      </c>
      <c r="D794" s="18" t="s">
        <v>692</v>
      </c>
      <c r="E794" s="18" t="s">
        <v>1645</v>
      </c>
      <c r="F794" s="20" t="s">
        <v>1229</v>
      </c>
      <c r="G794" s="9" t="s">
        <v>1535</v>
      </c>
      <c r="H794" s="8" t="s">
        <v>394</v>
      </c>
      <c r="I794" s="7" t="s">
        <v>1031</v>
      </c>
    </row>
    <row r="795" spans="1:9" x14ac:dyDescent="0.35">
      <c r="A795" s="19" t="str">
        <f t="shared" si="9"/>
        <v>JACINTOREQ-340</v>
      </c>
      <c r="B795" s="19" t="str">
        <f>HYPERLINK("https://jira.itg.ti.com/browse/PDK-2839","PDK-2839")</f>
        <v>PDK-2839</v>
      </c>
      <c r="C795" s="18" t="s">
        <v>1657</v>
      </c>
      <c r="D795" s="18" t="s">
        <v>692</v>
      </c>
      <c r="E795" s="18" t="s">
        <v>1645</v>
      </c>
      <c r="F795" s="20" t="s">
        <v>1229</v>
      </c>
      <c r="G795" s="9" t="s">
        <v>1535</v>
      </c>
      <c r="H795" s="8" t="s">
        <v>394</v>
      </c>
      <c r="I795" s="7" t="s">
        <v>1031</v>
      </c>
    </row>
    <row r="796" spans="1:9" x14ac:dyDescent="0.35">
      <c r="A796" s="19" t="str">
        <f t="shared" si="9"/>
        <v>JACINTOREQ-340</v>
      </c>
      <c r="B796" s="19" t="str">
        <f>HYPERLINK("https://jira.itg.ti.com/browse/PDK-2843","PDK-2843")</f>
        <v>PDK-2843</v>
      </c>
      <c r="C796" s="18" t="s">
        <v>1018</v>
      </c>
      <c r="D796" s="18" t="s">
        <v>1268</v>
      </c>
      <c r="E796" s="18" t="s">
        <v>1645</v>
      </c>
      <c r="F796" s="20" t="s">
        <v>1229</v>
      </c>
      <c r="G796" s="9" t="s">
        <v>1091</v>
      </c>
      <c r="H796" s="8" t="s">
        <v>394</v>
      </c>
      <c r="I796" s="7" t="s">
        <v>1031</v>
      </c>
    </row>
    <row r="797" spans="1:9" x14ac:dyDescent="0.35">
      <c r="A797" s="19"/>
      <c r="B797" s="19"/>
      <c r="C797" s="18"/>
      <c r="D797" s="18"/>
      <c r="E797" s="18"/>
      <c r="F797" s="20"/>
      <c r="G797" s="10" t="s">
        <v>917</v>
      </c>
      <c r="H797" s="8" t="s">
        <v>394</v>
      </c>
    </row>
    <row r="798" spans="1:9" x14ac:dyDescent="0.35">
      <c r="A798" s="19" t="str">
        <f t="shared" ref="A798:A806" si="10">HYPERLINK("https://jira.itg.ti.com/browse/JACINTOREQ-340","JACINTOREQ-340")</f>
        <v>JACINTOREQ-340</v>
      </c>
      <c r="B798" s="19" t="str">
        <f>HYPERLINK("https://jira.itg.ti.com/browse/PDK-2844","PDK-2844")</f>
        <v>PDK-2844</v>
      </c>
      <c r="C798" s="18" t="s">
        <v>1081</v>
      </c>
      <c r="D798" s="18" t="s">
        <v>1268</v>
      </c>
      <c r="E798" s="18" t="s">
        <v>1645</v>
      </c>
      <c r="F798" s="20" t="s">
        <v>1229</v>
      </c>
      <c r="G798" s="9" t="s">
        <v>1204</v>
      </c>
      <c r="H798" s="8" t="s">
        <v>394</v>
      </c>
      <c r="I798" s="7" t="s">
        <v>1031</v>
      </c>
    </row>
    <row r="799" spans="1:9" x14ac:dyDescent="0.35">
      <c r="A799" s="19" t="str">
        <f t="shared" si="10"/>
        <v>JACINTOREQ-340</v>
      </c>
      <c r="B799" s="19" t="str">
        <f>HYPERLINK("https://jira.itg.ti.com/browse/PDK-2846","PDK-2846")</f>
        <v>PDK-2846</v>
      </c>
      <c r="C799" s="18" t="s">
        <v>132</v>
      </c>
      <c r="D799" s="18" t="s">
        <v>1268</v>
      </c>
      <c r="E799" s="18" t="s">
        <v>1645</v>
      </c>
      <c r="F799" s="20" t="s">
        <v>1229</v>
      </c>
      <c r="G799" s="9" t="s">
        <v>581</v>
      </c>
      <c r="H799" s="8" t="s">
        <v>394</v>
      </c>
      <c r="I799" s="7" t="s">
        <v>1031</v>
      </c>
    </row>
    <row r="800" spans="1:9" x14ac:dyDescent="0.35">
      <c r="A800" s="19" t="str">
        <f t="shared" si="10"/>
        <v>JACINTOREQ-340</v>
      </c>
      <c r="B800" s="19" t="str">
        <f>HYPERLINK("https://jira.itg.ti.com/browse/PDK-2851","PDK-2851")</f>
        <v>PDK-2851</v>
      </c>
      <c r="C800" s="18" t="s">
        <v>710</v>
      </c>
      <c r="D800" s="18" t="s">
        <v>1268</v>
      </c>
      <c r="E800" s="18" t="s">
        <v>1645</v>
      </c>
      <c r="F800" s="22" t="s">
        <v>552</v>
      </c>
      <c r="G800" s="9" t="s">
        <v>674</v>
      </c>
      <c r="H800" s="11" t="s">
        <v>313</v>
      </c>
      <c r="I800" s="7" t="s">
        <v>1031</v>
      </c>
    </row>
    <row r="801" spans="1:9" x14ac:dyDescent="0.35">
      <c r="A801" s="19" t="str">
        <f t="shared" si="10"/>
        <v>JACINTOREQ-340</v>
      </c>
      <c r="B801" s="19" t="str">
        <f>HYPERLINK("https://jira.itg.ti.com/browse/PDK-2862","PDK-2862")</f>
        <v>PDK-2862</v>
      </c>
      <c r="C801" s="18" t="s">
        <v>1429</v>
      </c>
      <c r="D801" s="18" t="s">
        <v>1268</v>
      </c>
      <c r="E801" s="18" t="s">
        <v>1645</v>
      </c>
      <c r="F801" s="20" t="s">
        <v>1229</v>
      </c>
      <c r="G801" s="9" t="s">
        <v>741</v>
      </c>
      <c r="H801" s="8" t="s">
        <v>394</v>
      </c>
      <c r="I801" s="7" t="s">
        <v>1031</v>
      </c>
    </row>
    <row r="802" spans="1:9" x14ac:dyDescent="0.35">
      <c r="A802" s="19" t="str">
        <f t="shared" si="10"/>
        <v>JACINTOREQ-340</v>
      </c>
      <c r="B802" s="19" t="str">
        <f>HYPERLINK("https://jira.itg.ti.com/browse/PDK-2869","PDK-2869")</f>
        <v>PDK-2869</v>
      </c>
      <c r="C802" s="18" t="s">
        <v>556</v>
      </c>
      <c r="D802" s="18" t="s">
        <v>1268</v>
      </c>
      <c r="E802" s="18" t="s">
        <v>1645</v>
      </c>
      <c r="F802" s="20" t="s">
        <v>1229</v>
      </c>
      <c r="G802" s="9" t="s">
        <v>427</v>
      </c>
      <c r="H802" s="8" t="s">
        <v>394</v>
      </c>
      <c r="I802" s="7" t="s">
        <v>1031</v>
      </c>
    </row>
    <row r="803" spans="1:9" x14ac:dyDescent="0.35">
      <c r="A803" s="19" t="str">
        <f t="shared" si="10"/>
        <v>JACINTOREQ-340</v>
      </c>
      <c r="B803" s="19" t="str">
        <f>HYPERLINK("https://jira.itg.ti.com/browse/PDK-2870","PDK-2870")</f>
        <v>PDK-2870</v>
      </c>
      <c r="C803" s="18" t="s">
        <v>270</v>
      </c>
      <c r="D803" s="18" t="s">
        <v>1268</v>
      </c>
      <c r="E803" s="18" t="s">
        <v>1645</v>
      </c>
      <c r="F803" s="20" t="s">
        <v>1229</v>
      </c>
      <c r="G803" s="9" t="s">
        <v>177</v>
      </c>
      <c r="H803" s="8" t="s">
        <v>394</v>
      </c>
      <c r="I803" s="7" t="s">
        <v>1031</v>
      </c>
    </row>
    <row r="804" spans="1:9" x14ac:dyDescent="0.35">
      <c r="A804" s="19" t="str">
        <f t="shared" si="10"/>
        <v>JACINTOREQ-340</v>
      </c>
      <c r="B804" s="19" t="str">
        <f>HYPERLINK("https://jira.itg.ti.com/browse/PDK-3658","PDK-3658")</f>
        <v>PDK-3658</v>
      </c>
      <c r="C804" s="18" t="s">
        <v>707</v>
      </c>
      <c r="D804" s="18" t="s">
        <v>692</v>
      </c>
      <c r="E804" s="18" t="s">
        <v>1645</v>
      </c>
      <c r="F804" s="22" t="s">
        <v>552</v>
      </c>
      <c r="G804" s="9" t="s">
        <v>677</v>
      </c>
      <c r="H804" s="11" t="s">
        <v>711</v>
      </c>
      <c r="I804" s="7" t="s">
        <v>1031</v>
      </c>
    </row>
    <row r="805" spans="1:9" x14ac:dyDescent="0.35">
      <c r="A805" s="19" t="str">
        <f t="shared" si="10"/>
        <v>JACINTOREQ-340</v>
      </c>
      <c r="B805" s="19" t="str">
        <f>HYPERLINK("https://jira.itg.ti.com/browse/PDK-3661","PDK-3661")</f>
        <v>PDK-3661</v>
      </c>
      <c r="C805" s="18" t="s">
        <v>1080</v>
      </c>
      <c r="D805" s="18" t="s">
        <v>1268</v>
      </c>
      <c r="E805" s="18" t="s">
        <v>1645</v>
      </c>
      <c r="F805" s="20" t="s">
        <v>1229</v>
      </c>
      <c r="G805" s="9" t="s">
        <v>489</v>
      </c>
      <c r="H805" s="8" t="s">
        <v>394</v>
      </c>
      <c r="I805" s="7" t="s">
        <v>1031</v>
      </c>
    </row>
    <row r="806" spans="1:9" x14ac:dyDescent="0.35">
      <c r="A806" s="19" t="str">
        <f t="shared" si="10"/>
        <v>JACINTOREQ-340</v>
      </c>
      <c r="B806" s="19" t="str">
        <f>HYPERLINK("https://jira.itg.ti.com/browse/PDK-4059","PDK-4059")</f>
        <v>PDK-4059</v>
      </c>
      <c r="C806" s="18" t="s">
        <v>85</v>
      </c>
      <c r="D806" s="18" t="s">
        <v>1268</v>
      </c>
      <c r="E806" s="18" t="s">
        <v>1645</v>
      </c>
      <c r="F806" s="20" t="s">
        <v>1229</v>
      </c>
      <c r="G806" s="9" t="s">
        <v>1409</v>
      </c>
      <c r="H806" s="8" t="s">
        <v>394</v>
      </c>
      <c r="I806" s="7" t="s">
        <v>1031</v>
      </c>
    </row>
    <row r="807" spans="1:9" ht="25.5" x14ac:dyDescent="0.35">
      <c r="A807" s="19" t="str">
        <f>HYPERLINK("https://jira.itg.ti.com/browse/JACINTOREQ-343","JACINTOREQ-343")</f>
        <v>JACINTOREQ-343</v>
      </c>
      <c r="B807" s="19" t="str">
        <f>HYPERLINK("https://jira.itg.ti.com/browse/PDK-4611","PDK-4611")</f>
        <v>PDK-4611</v>
      </c>
      <c r="C807" s="18" t="s">
        <v>1408</v>
      </c>
      <c r="D807" s="18" t="s">
        <v>692</v>
      </c>
      <c r="E807" s="18" t="s">
        <v>1645</v>
      </c>
      <c r="F807" s="20" t="s">
        <v>1229</v>
      </c>
      <c r="G807" s="9" t="s">
        <v>142</v>
      </c>
      <c r="H807" s="8" t="s">
        <v>394</v>
      </c>
      <c r="I807" s="7" t="s">
        <v>1031</v>
      </c>
    </row>
    <row r="808" spans="1:9" x14ac:dyDescent="0.35">
      <c r="A808" s="19" t="str">
        <f>HYPERLINK("https://jira.itg.ti.com/browse/JACINTOREQ-343","JACINTOREQ-343")</f>
        <v>JACINTOREQ-343</v>
      </c>
      <c r="B808" s="19" t="str">
        <f>HYPERLINK("https://jira.itg.ti.com/browse/PDK-3664","PDK-3664")</f>
        <v>PDK-3664</v>
      </c>
      <c r="C808" s="18" t="s">
        <v>629</v>
      </c>
      <c r="D808" s="18" t="s">
        <v>692</v>
      </c>
      <c r="E808" s="18" t="s">
        <v>1645</v>
      </c>
      <c r="F808" s="22" t="s">
        <v>863</v>
      </c>
      <c r="G808" s="7" t="s">
        <v>1031</v>
      </c>
      <c r="H808" s="7" t="s">
        <v>1031</v>
      </c>
      <c r="I808" s="7" t="s">
        <v>1031</v>
      </c>
    </row>
    <row r="809" spans="1:9" x14ac:dyDescent="0.35">
      <c r="A809" s="19" t="str">
        <f>HYPERLINK("https://jira.itg.ti.com/browse/JACINTOREQ-345","JACINTOREQ-345")</f>
        <v>JACINTOREQ-345</v>
      </c>
      <c r="B809" s="19" t="str">
        <f>HYPERLINK("https://jira.itg.ti.com/browse/PDK-2879","PDK-2879")</f>
        <v>PDK-2879</v>
      </c>
      <c r="C809" s="18" t="s">
        <v>668</v>
      </c>
      <c r="D809" s="18" t="s">
        <v>1268</v>
      </c>
      <c r="E809" s="18" t="s">
        <v>1645</v>
      </c>
      <c r="F809" s="20" t="s">
        <v>1229</v>
      </c>
      <c r="G809" s="9" t="s">
        <v>622</v>
      </c>
      <c r="H809" s="8" t="s">
        <v>394</v>
      </c>
      <c r="I809" s="7" t="s">
        <v>1031</v>
      </c>
    </row>
    <row r="810" spans="1:9" x14ac:dyDescent="0.35">
      <c r="A810" s="19" t="str">
        <f>HYPERLINK("https://jira.itg.ti.com/browse/JACINTOREQ-345","JACINTOREQ-345")</f>
        <v>JACINTOREQ-345</v>
      </c>
      <c r="B810" s="19" t="str">
        <f>HYPERLINK("https://jira.itg.ti.com/browse/PDK-2881","PDK-2881")</f>
        <v>PDK-2881</v>
      </c>
      <c r="C810" s="18" t="s">
        <v>100</v>
      </c>
      <c r="D810" s="18" t="s">
        <v>692</v>
      </c>
      <c r="E810" s="18" t="s">
        <v>1645</v>
      </c>
      <c r="F810" s="22" t="s">
        <v>552</v>
      </c>
      <c r="G810" s="9" t="s">
        <v>420</v>
      </c>
      <c r="H810" s="11" t="s">
        <v>711</v>
      </c>
      <c r="I810" s="7" t="s">
        <v>1031</v>
      </c>
    </row>
    <row r="811" spans="1:9" x14ac:dyDescent="0.35">
      <c r="A811" s="19" t="str">
        <f>HYPERLINK("https://jira.itg.ti.com/browse/JACINTOREQ-351","JACINTOREQ-351")</f>
        <v>JACINTOREQ-351</v>
      </c>
      <c r="B811" s="19" t="str">
        <f>HYPERLINK("https://jira.itg.ti.com/browse/PDK-2928","PDK-2928")</f>
        <v>PDK-2928</v>
      </c>
      <c r="C811" s="18" t="s">
        <v>1388</v>
      </c>
      <c r="D811" s="18" t="s">
        <v>1268</v>
      </c>
      <c r="E811" s="18" t="s">
        <v>1645</v>
      </c>
      <c r="F811" s="20" t="s">
        <v>1229</v>
      </c>
      <c r="G811" s="9" t="s">
        <v>436</v>
      </c>
      <c r="H811" s="8" t="s">
        <v>394</v>
      </c>
      <c r="I811" s="7" t="s">
        <v>1031</v>
      </c>
    </row>
    <row r="812" spans="1:9" x14ac:dyDescent="0.35">
      <c r="A812" s="19" t="str">
        <f>HYPERLINK("https://jira.itg.ti.com/browse/JACINTOREQ-351","JACINTOREQ-351")</f>
        <v>JACINTOREQ-351</v>
      </c>
      <c r="B812" s="19" t="str">
        <f>HYPERLINK("https://jira.itg.ti.com/browse/PDK-3654","PDK-3654")</f>
        <v>PDK-3654</v>
      </c>
      <c r="C812" s="18" t="s">
        <v>1578</v>
      </c>
      <c r="D812" s="18" t="s">
        <v>692</v>
      </c>
      <c r="E812" s="18" t="s">
        <v>1645</v>
      </c>
      <c r="F812" s="22" t="s">
        <v>552</v>
      </c>
      <c r="G812" s="9" t="s">
        <v>1014</v>
      </c>
      <c r="H812" s="12" t="s">
        <v>1241</v>
      </c>
      <c r="I812" s="7" t="s">
        <v>1031</v>
      </c>
    </row>
    <row r="813" spans="1:9" x14ac:dyDescent="0.35">
      <c r="A813" s="19" t="str">
        <f>HYPERLINK("https://jira.itg.ti.com/browse/JACINTOREQ-351","JACINTOREQ-351")</f>
        <v>JACINTOREQ-351</v>
      </c>
      <c r="B813" s="19" t="str">
        <f>HYPERLINK("https://jira.itg.ti.com/browse/PDK-3656","PDK-3656")</f>
        <v>PDK-3656</v>
      </c>
      <c r="C813" s="18" t="s">
        <v>1581</v>
      </c>
      <c r="D813" s="18" t="s">
        <v>692</v>
      </c>
      <c r="E813" s="18" t="s">
        <v>1645</v>
      </c>
      <c r="F813" s="22" t="s">
        <v>552</v>
      </c>
      <c r="G813" s="9" t="s">
        <v>307</v>
      </c>
      <c r="H813" s="12" t="s">
        <v>1241</v>
      </c>
      <c r="I813" s="7" t="s">
        <v>1031</v>
      </c>
    </row>
    <row r="814" spans="1:9" x14ac:dyDescent="0.35">
      <c r="A814" s="19" t="str">
        <f>HYPERLINK("https://jira.itg.ti.com/browse/JACINTOREQ-351","JACINTOREQ-351")</f>
        <v>JACINTOREQ-351</v>
      </c>
      <c r="B814" s="19" t="str">
        <f>HYPERLINK("https://jira.itg.ti.com/browse/PDK-3686","PDK-3686")</f>
        <v>PDK-3686</v>
      </c>
      <c r="C814" s="18" t="s">
        <v>926</v>
      </c>
      <c r="D814" s="18" t="s">
        <v>692</v>
      </c>
      <c r="E814" s="18" t="s">
        <v>1645</v>
      </c>
      <c r="F814" s="22" t="s">
        <v>552</v>
      </c>
      <c r="G814" s="9" t="s">
        <v>1318</v>
      </c>
      <c r="H814" s="12" t="s">
        <v>1241</v>
      </c>
      <c r="I814" s="7" t="s">
        <v>1031</v>
      </c>
    </row>
    <row r="815" spans="1:9" x14ac:dyDescent="0.35">
      <c r="A815" s="19" t="str">
        <f>HYPERLINK("https://jira.itg.ti.com/browse/JACINTOREQ-358","JACINTOREQ-358")</f>
        <v>JACINTOREQ-358</v>
      </c>
      <c r="B815" s="19" t="str">
        <f>HYPERLINK("https://jira.itg.ti.com/browse/PDK-2977","PDK-2977")</f>
        <v>PDK-2977</v>
      </c>
      <c r="C815" s="18" t="s">
        <v>1494</v>
      </c>
      <c r="D815" s="18" t="s">
        <v>120</v>
      </c>
      <c r="E815" s="18" t="s">
        <v>1645</v>
      </c>
      <c r="F815" s="20" t="s">
        <v>1229</v>
      </c>
      <c r="G815" s="9" t="s">
        <v>183</v>
      </c>
      <c r="H815" s="8" t="s">
        <v>394</v>
      </c>
      <c r="I815" s="7" t="s">
        <v>1031</v>
      </c>
    </row>
    <row r="816" spans="1:9" x14ac:dyDescent="0.35">
      <c r="A816" s="19" t="str">
        <f>HYPERLINK("https://jira.itg.ti.com/browse/JACINTOREQ-358","JACINTOREQ-358")</f>
        <v>JACINTOREQ-358</v>
      </c>
      <c r="B816" s="19" t="str">
        <f>HYPERLINK("https://jira.itg.ti.com/browse/PDK-3236","PDK-3236")</f>
        <v>PDK-3236</v>
      </c>
      <c r="C816" s="18" t="s">
        <v>665</v>
      </c>
      <c r="D816" s="18" t="s">
        <v>1301</v>
      </c>
      <c r="E816" s="18" t="s">
        <v>1645</v>
      </c>
      <c r="F816" s="20" t="s">
        <v>1229</v>
      </c>
      <c r="G816" s="9" t="s">
        <v>55</v>
      </c>
      <c r="H816" s="8" t="s">
        <v>394</v>
      </c>
      <c r="I816" s="7" t="s">
        <v>1031</v>
      </c>
    </row>
    <row r="817" spans="1:9" x14ac:dyDescent="0.35">
      <c r="A817" s="19" t="str">
        <f>HYPERLINK("https://jira.itg.ti.com/browse/JACINTOREQ-358","JACINTOREQ-358")</f>
        <v>JACINTOREQ-358</v>
      </c>
      <c r="B817" s="19" t="str">
        <f>HYPERLINK("https://jira.itg.ti.com/browse/PDK-3415","PDK-3415")</f>
        <v>PDK-3415</v>
      </c>
      <c r="C817" s="18" t="s">
        <v>930</v>
      </c>
      <c r="D817" s="18" t="s">
        <v>245</v>
      </c>
      <c r="E817" s="18" t="s">
        <v>1645</v>
      </c>
      <c r="F817" s="20" t="s">
        <v>1229</v>
      </c>
      <c r="G817" s="9" t="s">
        <v>1190</v>
      </c>
      <c r="H817" s="8" t="s">
        <v>394</v>
      </c>
      <c r="I817" s="7" t="s">
        <v>1031</v>
      </c>
    </row>
    <row r="818" spans="1:9" x14ac:dyDescent="0.35">
      <c r="A818" s="19"/>
      <c r="B818" s="19"/>
      <c r="C818" s="18"/>
      <c r="D818" s="18"/>
      <c r="E818" s="18"/>
      <c r="F818" s="20"/>
      <c r="G818" s="10" t="s">
        <v>322</v>
      </c>
      <c r="H818" s="8" t="s">
        <v>394</v>
      </c>
    </row>
    <row r="819" spans="1:9" ht="25.5" x14ac:dyDescent="0.35">
      <c r="A819" s="19" t="str">
        <f>HYPERLINK("https://jira.itg.ti.com/browse/JACINTOREQ-358","JACINTOREQ-358")</f>
        <v>JACINTOREQ-358</v>
      </c>
      <c r="B819" s="19" t="str">
        <f>HYPERLINK("https://jira.itg.ti.com/browse/PDK-2594","PDK-2594")</f>
        <v>PDK-2594</v>
      </c>
      <c r="C819" s="18" t="s">
        <v>1549</v>
      </c>
      <c r="D819" s="18" t="s">
        <v>1493</v>
      </c>
      <c r="E819" s="18" t="s">
        <v>1645</v>
      </c>
      <c r="F819" s="20" t="s">
        <v>1229</v>
      </c>
      <c r="G819" s="9" t="s">
        <v>45</v>
      </c>
      <c r="H819" s="8" t="s">
        <v>394</v>
      </c>
      <c r="I819" s="7" t="s">
        <v>1031</v>
      </c>
    </row>
    <row r="820" spans="1:9" ht="25.5" x14ac:dyDescent="0.35">
      <c r="A820" s="14"/>
      <c r="B820" s="14"/>
      <c r="C820" s="14"/>
      <c r="D820" s="14"/>
      <c r="E820" s="14"/>
      <c r="F820" s="14"/>
      <c r="G820" s="10" t="s">
        <v>278</v>
      </c>
      <c r="H820" s="8" t="s">
        <v>394</v>
      </c>
    </row>
    <row r="821" spans="1:9" ht="25.5" x14ac:dyDescent="0.35">
      <c r="A821" s="14"/>
      <c r="B821" s="14"/>
      <c r="C821" s="14"/>
      <c r="D821" s="14"/>
      <c r="E821" s="14"/>
      <c r="F821" s="14"/>
      <c r="G821" s="10" t="s">
        <v>1246</v>
      </c>
      <c r="H821" s="8" t="s">
        <v>394</v>
      </c>
    </row>
    <row r="822" spans="1:9" ht="25.5" x14ac:dyDescent="0.35">
      <c r="A822" s="19"/>
      <c r="B822" s="19"/>
      <c r="C822" s="18"/>
      <c r="D822" s="18"/>
      <c r="E822" s="18"/>
      <c r="F822" s="20"/>
      <c r="G822" s="10" t="s">
        <v>817</v>
      </c>
      <c r="H822" s="8" t="s">
        <v>394</v>
      </c>
    </row>
    <row r="823" spans="1:9" ht="25.5" x14ac:dyDescent="0.35">
      <c r="A823" s="19" t="str">
        <f>HYPERLINK("https://jira.itg.ti.com/browse/JACINTOREQ-358","JACINTOREQ-358")</f>
        <v>JACINTOREQ-358</v>
      </c>
      <c r="B823" s="19" t="str">
        <f>HYPERLINK("https://jira.itg.ti.com/browse/PDK-2595","PDK-2595")</f>
        <v>PDK-2595</v>
      </c>
      <c r="C823" s="18" t="s">
        <v>1420</v>
      </c>
      <c r="D823" s="18" t="s">
        <v>1493</v>
      </c>
      <c r="E823" s="18" t="s">
        <v>1645</v>
      </c>
      <c r="F823" s="20" t="s">
        <v>1229</v>
      </c>
      <c r="G823" s="9" t="s">
        <v>517</v>
      </c>
      <c r="H823" s="8" t="s">
        <v>394</v>
      </c>
      <c r="I823" s="7" t="s">
        <v>1031</v>
      </c>
    </row>
    <row r="824" spans="1:9" ht="25.5" x14ac:dyDescent="0.35">
      <c r="A824" s="14"/>
      <c r="B824" s="14"/>
      <c r="C824" s="14"/>
      <c r="D824" s="14"/>
      <c r="E824" s="14"/>
      <c r="F824" s="14"/>
      <c r="G824" s="10" t="s">
        <v>747</v>
      </c>
      <c r="H824" s="8" t="s">
        <v>394</v>
      </c>
    </row>
    <row r="825" spans="1:9" ht="25.5" x14ac:dyDescent="0.35">
      <c r="A825" s="19"/>
      <c r="B825" s="19"/>
      <c r="C825" s="18"/>
      <c r="D825" s="18"/>
      <c r="E825" s="18"/>
      <c r="F825" s="20"/>
      <c r="G825" s="10" t="s">
        <v>118</v>
      </c>
      <c r="H825" s="8" t="s">
        <v>394</v>
      </c>
    </row>
    <row r="826" spans="1:9" x14ac:dyDescent="0.35">
      <c r="A826" s="19" t="str">
        <f t="shared" ref="A826:A837" si="11">HYPERLINK("https://jira.itg.ti.com/browse/JACINTOREQ-358","JACINTOREQ-358")</f>
        <v>JACINTOREQ-358</v>
      </c>
      <c r="B826" s="19" t="str">
        <f>HYPERLINK("https://jira.itg.ti.com/browse/PDK-2613","PDK-2613")</f>
        <v>PDK-2613</v>
      </c>
      <c r="C826" s="18" t="s">
        <v>1079</v>
      </c>
      <c r="D826" s="18" t="s">
        <v>245</v>
      </c>
      <c r="E826" s="18" t="s">
        <v>1645</v>
      </c>
      <c r="F826" s="20" t="s">
        <v>1229</v>
      </c>
      <c r="G826" s="9" t="s">
        <v>1135</v>
      </c>
      <c r="H826" s="8" t="s">
        <v>394</v>
      </c>
      <c r="I826" s="7" t="s">
        <v>1031</v>
      </c>
    </row>
    <row r="827" spans="1:9" x14ac:dyDescent="0.35">
      <c r="A827" s="19" t="str">
        <f t="shared" si="11"/>
        <v>JACINTOREQ-358</v>
      </c>
      <c r="B827" s="19" t="str">
        <f>HYPERLINK("https://jira.itg.ti.com/browse/PDK-2618","PDK-2618")</f>
        <v>PDK-2618</v>
      </c>
      <c r="C827" s="18" t="s">
        <v>1380</v>
      </c>
      <c r="D827" s="18" t="s">
        <v>1493</v>
      </c>
      <c r="E827" s="18" t="s">
        <v>1645</v>
      </c>
      <c r="F827" s="20" t="s">
        <v>1229</v>
      </c>
      <c r="G827" s="9" t="s">
        <v>1319</v>
      </c>
      <c r="H827" s="8" t="s">
        <v>394</v>
      </c>
      <c r="I827" s="7" t="s">
        <v>1031</v>
      </c>
    </row>
    <row r="828" spans="1:9" x14ac:dyDescent="0.35">
      <c r="A828" s="19" t="str">
        <f t="shared" si="11"/>
        <v>JACINTOREQ-358</v>
      </c>
      <c r="B828" s="19" t="str">
        <f>HYPERLINK("https://jira.itg.ti.com/browse/PDK-2620","PDK-2620")</f>
        <v>PDK-2620</v>
      </c>
      <c r="C828" s="18" t="s">
        <v>1192</v>
      </c>
      <c r="D828" s="18" t="s">
        <v>1493</v>
      </c>
      <c r="E828" s="18" t="s">
        <v>1645</v>
      </c>
      <c r="F828" s="20" t="s">
        <v>1229</v>
      </c>
      <c r="G828" s="9" t="s">
        <v>254</v>
      </c>
      <c r="H828" s="8" t="s">
        <v>394</v>
      </c>
      <c r="I828" s="7" t="s">
        <v>1031</v>
      </c>
    </row>
    <row r="829" spans="1:9" ht="25.5" x14ac:dyDescent="0.35">
      <c r="A829" s="19" t="str">
        <f t="shared" si="11"/>
        <v>JACINTOREQ-358</v>
      </c>
      <c r="B829" s="19" t="str">
        <f>HYPERLINK("https://jira.itg.ti.com/browse/PDK-2621","PDK-2621")</f>
        <v>PDK-2621</v>
      </c>
      <c r="C829" s="18" t="s">
        <v>1138</v>
      </c>
      <c r="D829" s="18" t="s">
        <v>1301</v>
      </c>
      <c r="E829" s="18" t="s">
        <v>1645</v>
      </c>
      <c r="F829" s="20" t="s">
        <v>1229</v>
      </c>
      <c r="G829" s="9" t="s">
        <v>42</v>
      </c>
      <c r="H829" s="8" t="s">
        <v>394</v>
      </c>
      <c r="I829" s="7" t="s">
        <v>1031</v>
      </c>
    </row>
    <row r="830" spans="1:9" x14ac:dyDescent="0.35">
      <c r="A830" s="19" t="str">
        <f t="shared" si="11"/>
        <v>JACINTOREQ-358</v>
      </c>
      <c r="B830" s="19" t="str">
        <f>HYPERLINK("https://jira.itg.ti.com/browse/PDK-2627","PDK-2627")</f>
        <v>PDK-2627</v>
      </c>
      <c r="C830" s="18" t="s">
        <v>521</v>
      </c>
      <c r="D830" s="18" t="s">
        <v>245</v>
      </c>
      <c r="E830" s="18" t="s">
        <v>1645</v>
      </c>
      <c r="F830" s="20" t="s">
        <v>1229</v>
      </c>
      <c r="G830" s="9" t="s">
        <v>322</v>
      </c>
      <c r="H830" s="8" t="s">
        <v>394</v>
      </c>
      <c r="I830" s="7" t="s">
        <v>1031</v>
      </c>
    </row>
    <row r="831" spans="1:9" x14ac:dyDescent="0.35">
      <c r="A831" s="19" t="str">
        <f t="shared" si="11"/>
        <v>JACINTOREQ-358</v>
      </c>
      <c r="B831" s="19" t="str">
        <f>HYPERLINK("https://jira.itg.ti.com/browse/PDK-2630","PDK-2630")</f>
        <v>PDK-2630</v>
      </c>
      <c r="C831" s="18" t="s">
        <v>508</v>
      </c>
      <c r="D831" s="18" t="s">
        <v>1493</v>
      </c>
      <c r="E831" s="18" t="s">
        <v>1645</v>
      </c>
      <c r="F831" s="20" t="s">
        <v>1229</v>
      </c>
      <c r="G831" s="9" t="s">
        <v>254</v>
      </c>
      <c r="H831" s="8" t="s">
        <v>394</v>
      </c>
      <c r="I831" s="7" t="s">
        <v>1031</v>
      </c>
    </row>
    <row r="832" spans="1:9" x14ac:dyDescent="0.35">
      <c r="A832" s="19" t="str">
        <f t="shared" si="11"/>
        <v>JACINTOREQ-358</v>
      </c>
      <c r="B832" s="19" t="str">
        <f>HYPERLINK("https://jira.itg.ti.com/browse/PDK-2633","PDK-2633")</f>
        <v>PDK-2633</v>
      </c>
      <c r="C832" s="18" t="s">
        <v>302</v>
      </c>
      <c r="D832" s="18" t="s">
        <v>245</v>
      </c>
      <c r="E832" s="18" t="s">
        <v>1645</v>
      </c>
      <c r="F832" s="20" t="s">
        <v>1229</v>
      </c>
      <c r="G832" s="9" t="s">
        <v>55</v>
      </c>
      <c r="H832" s="8" t="s">
        <v>394</v>
      </c>
      <c r="I832" s="7" t="s">
        <v>1031</v>
      </c>
    </row>
    <row r="833" spans="1:9" x14ac:dyDescent="0.35">
      <c r="A833" s="19" t="str">
        <f t="shared" si="11"/>
        <v>JACINTOREQ-358</v>
      </c>
      <c r="B833" s="19" t="str">
        <f>HYPERLINK("https://jira.itg.ti.com/browse/PDK-2639","PDK-2639")</f>
        <v>PDK-2639</v>
      </c>
      <c r="C833" s="18" t="s">
        <v>1589</v>
      </c>
      <c r="D833" s="18" t="s">
        <v>245</v>
      </c>
      <c r="E833" s="18" t="s">
        <v>1645</v>
      </c>
      <c r="F833" s="20" t="s">
        <v>1229</v>
      </c>
      <c r="G833" s="9" t="s">
        <v>495</v>
      </c>
      <c r="H833" s="8" t="s">
        <v>394</v>
      </c>
      <c r="I833" s="7" t="s">
        <v>1031</v>
      </c>
    </row>
    <row r="834" spans="1:9" x14ac:dyDescent="0.35">
      <c r="A834" s="19" t="str">
        <f t="shared" si="11"/>
        <v>JACINTOREQ-358</v>
      </c>
      <c r="B834" s="19" t="str">
        <f>HYPERLINK("https://jira.itg.ti.com/browse/PDK-2641","PDK-2641")</f>
        <v>PDK-2641</v>
      </c>
      <c r="C834" s="18" t="s">
        <v>235</v>
      </c>
      <c r="D834" s="18" t="s">
        <v>1493</v>
      </c>
      <c r="E834" s="18" t="s">
        <v>1645</v>
      </c>
      <c r="F834" s="20" t="s">
        <v>1229</v>
      </c>
      <c r="G834" s="9" t="s">
        <v>1004</v>
      </c>
      <c r="H834" s="8" t="s">
        <v>394</v>
      </c>
      <c r="I834" s="7" t="s">
        <v>1031</v>
      </c>
    </row>
    <row r="835" spans="1:9" x14ac:dyDescent="0.35">
      <c r="A835" s="19" t="str">
        <f t="shared" si="11"/>
        <v>JACINTOREQ-358</v>
      </c>
      <c r="B835" s="19" t="str">
        <f>HYPERLINK("https://jira.itg.ti.com/browse/PDK-2861","PDK-2861")</f>
        <v>PDK-2861</v>
      </c>
      <c r="C835" s="18" t="s">
        <v>1544</v>
      </c>
      <c r="D835" s="18" t="s">
        <v>1493</v>
      </c>
      <c r="E835" s="18" t="s">
        <v>1645</v>
      </c>
      <c r="F835" s="20" t="s">
        <v>1229</v>
      </c>
      <c r="G835" s="9" t="s">
        <v>283</v>
      </c>
      <c r="H835" s="8" t="s">
        <v>394</v>
      </c>
      <c r="I835" s="7" t="s">
        <v>1031</v>
      </c>
    </row>
    <row r="836" spans="1:9" x14ac:dyDescent="0.35">
      <c r="A836" s="19" t="str">
        <f t="shared" si="11"/>
        <v>JACINTOREQ-358</v>
      </c>
      <c r="B836" s="19" t="str">
        <f>HYPERLINK("https://jira.itg.ti.com/browse/PDK-2984","PDK-2984")</f>
        <v>PDK-2984</v>
      </c>
      <c r="C836" s="18" t="s">
        <v>1076</v>
      </c>
      <c r="D836" s="18" t="s">
        <v>1493</v>
      </c>
      <c r="E836" s="18" t="s">
        <v>1645</v>
      </c>
      <c r="F836" s="20" t="s">
        <v>1229</v>
      </c>
      <c r="G836" s="9" t="s">
        <v>1513</v>
      </c>
      <c r="H836" s="8" t="s">
        <v>394</v>
      </c>
      <c r="I836" s="7" t="s">
        <v>1031</v>
      </c>
    </row>
    <row r="837" spans="1:9" x14ac:dyDescent="0.35">
      <c r="A837" s="19" t="str">
        <f t="shared" si="11"/>
        <v>JACINTOREQ-358</v>
      </c>
      <c r="B837" s="19" t="str">
        <f>HYPERLINK("https://jira.itg.ti.com/browse/PDK-3238","PDK-3238")</f>
        <v>PDK-3238</v>
      </c>
      <c r="C837" s="18" t="s">
        <v>1172</v>
      </c>
      <c r="D837" s="18" t="s">
        <v>245</v>
      </c>
      <c r="E837" s="18" t="s">
        <v>1645</v>
      </c>
      <c r="F837" s="20" t="s">
        <v>1229</v>
      </c>
      <c r="G837" s="9" t="s">
        <v>1052</v>
      </c>
      <c r="H837" s="8" t="s">
        <v>394</v>
      </c>
      <c r="I837" s="7" t="s">
        <v>1031</v>
      </c>
    </row>
    <row r="838" spans="1:9" x14ac:dyDescent="0.35">
      <c r="A838" s="19" t="str">
        <f t="shared" ref="A838:A855" si="12">HYPERLINK("https://jira.itg.ti.com/browse/JACINTOREQ-359","JACINTOREQ-359")</f>
        <v>JACINTOREQ-359</v>
      </c>
      <c r="B838" s="19" t="str">
        <f>HYPERLINK("https://jira.itg.ti.com/browse/PDK-2233","PDK-2233")</f>
        <v>PDK-2233</v>
      </c>
      <c r="C838" s="18" t="s">
        <v>1328</v>
      </c>
      <c r="D838" s="18" t="s">
        <v>1301</v>
      </c>
      <c r="E838" s="18" t="s">
        <v>1645</v>
      </c>
      <c r="F838" s="20" t="s">
        <v>1229</v>
      </c>
      <c r="G838" s="9" t="s">
        <v>495</v>
      </c>
      <c r="H838" s="8" t="s">
        <v>394</v>
      </c>
      <c r="I838" s="7" t="s">
        <v>1031</v>
      </c>
    </row>
    <row r="839" spans="1:9" x14ac:dyDescent="0.35">
      <c r="A839" s="19" t="str">
        <f t="shared" si="12"/>
        <v>JACINTOREQ-359</v>
      </c>
      <c r="B839" s="19" t="str">
        <f>HYPERLINK("https://jira.itg.ti.com/browse/PDK-2237","PDK-2237")</f>
        <v>PDK-2237</v>
      </c>
      <c r="C839" s="18" t="s">
        <v>123</v>
      </c>
      <c r="D839" s="18" t="s">
        <v>245</v>
      </c>
      <c r="E839" s="18" t="s">
        <v>1645</v>
      </c>
      <c r="F839" s="22" t="s">
        <v>552</v>
      </c>
      <c r="G839" s="9" t="s">
        <v>812</v>
      </c>
      <c r="H839" s="11" t="s">
        <v>313</v>
      </c>
      <c r="I839" s="7" t="s">
        <v>1031</v>
      </c>
    </row>
    <row r="840" spans="1:9" ht="25.5" x14ac:dyDescent="0.35">
      <c r="A840" s="19" t="str">
        <f t="shared" si="12"/>
        <v>JACINTOREQ-359</v>
      </c>
      <c r="B840" s="19" t="str">
        <f>HYPERLINK("https://jira.itg.ti.com/browse/PDK-2268","PDK-2268")</f>
        <v>PDK-2268</v>
      </c>
      <c r="C840" s="18" t="s">
        <v>426</v>
      </c>
      <c r="D840" s="18" t="s">
        <v>1301</v>
      </c>
      <c r="E840" s="18" t="s">
        <v>1645</v>
      </c>
      <c r="F840" s="22" t="s">
        <v>552</v>
      </c>
      <c r="G840" s="9" t="s">
        <v>1651</v>
      </c>
      <c r="H840" s="11" t="s">
        <v>313</v>
      </c>
      <c r="I840" s="7" t="s">
        <v>1031</v>
      </c>
    </row>
    <row r="841" spans="1:9" ht="25.5" x14ac:dyDescent="0.35">
      <c r="A841" s="19" t="str">
        <f t="shared" si="12"/>
        <v>JACINTOREQ-359</v>
      </c>
      <c r="B841" s="19" t="str">
        <f>HYPERLINK("https://jira.itg.ti.com/browse/PDK-2269","PDK-2269")</f>
        <v>PDK-2269</v>
      </c>
      <c r="C841" s="18" t="s">
        <v>825</v>
      </c>
      <c r="D841" s="18" t="s">
        <v>1301</v>
      </c>
      <c r="E841" s="18" t="s">
        <v>1645</v>
      </c>
      <c r="F841" s="22" t="s">
        <v>552</v>
      </c>
      <c r="G841" s="9" t="s">
        <v>462</v>
      </c>
      <c r="H841" s="11" t="s">
        <v>313</v>
      </c>
      <c r="I841" s="7" t="s">
        <v>1031</v>
      </c>
    </row>
    <row r="842" spans="1:9" x14ac:dyDescent="0.35">
      <c r="A842" s="19" t="str">
        <f t="shared" si="12"/>
        <v>JACINTOREQ-359</v>
      </c>
      <c r="B842" s="19" t="str">
        <f>HYPERLINK("https://jira.itg.ti.com/browse/PDK-2286","PDK-2286")</f>
        <v>PDK-2286</v>
      </c>
      <c r="C842" s="18" t="s">
        <v>1132</v>
      </c>
      <c r="D842" s="18" t="s">
        <v>245</v>
      </c>
      <c r="E842" s="18" t="s">
        <v>1645</v>
      </c>
      <c r="F842" s="22" t="s">
        <v>552</v>
      </c>
      <c r="G842" s="9" t="s">
        <v>31</v>
      </c>
      <c r="H842" s="11" t="s">
        <v>313</v>
      </c>
      <c r="I842" s="7" t="s">
        <v>1031</v>
      </c>
    </row>
    <row r="843" spans="1:9" ht="25.5" x14ac:dyDescent="0.35">
      <c r="A843" s="19" t="str">
        <f t="shared" si="12"/>
        <v>JACINTOREQ-359</v>
      </c>
      <c r="B843" s="19" t="str">
        <f>HYPERLINK("https://jira.itg.ti.com/browse/PDK-2287","PDK-2287")</f>
        <v>PDK-2287</v>
      </c>
      <c r="C843" s="18" t="s">
        <v>1272</v>
      </c>
      <c r="D843" s="18" t="s">
        <v>1301</v>
      </c>
      <c r="E843" s="18" t="s">
        <v>1645</v>
      </c>
      <c r="F843" s="22" t="s">
        <v>552</v>
      </c>
      <c r="G843" s="9" t="s">
        <v>607</v>
      </c>
      <c r="H843" s="11" t="s">
        <v>313</v>
      </c>
      <c r="I843" s="7" t="s">
        <v>1031</v>
      </c>
    </row>
    <row r="844" spans="1:9" ht="25.5" x14ac:dyDescent="0.35">
      <c r="A844" s="19" t="str">
        <f t="shared" si="12"/>
        <v>JACINTOREQ-359</v>
      </c>
      <c r="B844" s="19" t="str">
        <f>HYPERLINK("https://jira.itg.ti.com/browse/PDK-2288","PDK-2288")</f>
        <v>PDK-2288</v>
      </c>
      <c r="C844" s="18" t="s">
        <v>1389</v>
      </c>
      <c r="D844" s="18" t="s">
        <v>245</v>
      </c>
      <c r="E844" s="18" t="s">
        <v>1645</v>
      </c>
      <c r="F844" s="20" t="s">
        <v>1229</v>
      </c>
      <c r="G844" s="9" t="s">
        <v>1649</v>
      </c>
      <c r="H844" s="8" t="s">
        <v>394</v>
      </c>
      <c r="I844" s="7" t="s">
        <v>1031</v>
      </c>
    </row>
    <row r="845" spans="1:9" x14ac:dyDescent="0.35">
      <c r="A845" s="19" t="str">
        <f t="shared" si="12"/>
        <v>JACINTOREQ-359</v>
      </c>
      <c r="B845" s="19" t="str">
        <f>HYPERLINK("https://jira.itg.ti.com/browse/PDK-2292","PDK-2292")</f>
        <v>PDK-2292</v>
      </c>
      <c r="C845" s="18" t="s">
        <v>1376</v>
      </c>
      <c r="D845" s="18" t="s">
        <v>245</v>
      </c>
      <c r="E845" s="18" t="s">
        <v>1645</v>
      </c>
      <c r="F845" s="22" t="s">
        <v>552</v>
      </c>
      <c r="G845" s="9" t="s">
        <v>415</v>
      </c>
      <c r="H845" s="11" t="s">
        <v>313</v>
      </c>
      <c r="I845" s="7" t="s">
        <v>1031</v>
      </c>
    </row>
    <row r="846" spans="1:9" x14ac:dyDescent="0.35">
      <c r="A846" s="19" t="str">
        <f t="shared" si="12"/>
        <v>JACINTOREQ-359</v>
      </c>
      <c r="B846" s="19" t="str">
        <f>HYPERLINK("https://jira.itg.ti.com/browse/PDK-2293","PDK-2293")</f>
        <v>PDK-2293</v>
      </c>
      <c r="C846" s="18" t="s">
        <v>75</v>
      </c>
      <c r="D846" s="18" t="s">
        <v>245</v>
      </c>
      <c r="E846" s="18" t="s">
        <v>1645</v>
      </c>
      <c r="F846" s="22" t="s">
        <v>552</v>
      </c>
      <c r="G846" s="9" t="s">
        <v>1144</v>
      </c>
      <c r="H846" s="11" t="s">
        <v>313</v>
      </c>
      <c r="I846" s="7" t="s">
        <v>1031</v>
      </c>
    </row>
    <row r="847" spans="1:9" x14ac:dyDescent="0.35">
      <c r="A847" s="19" t="str">
        <f t="shared" si="12"/>
        <v>JACINTOREQ-359</v>
      </c>
      <c r="B847" s="19" t="str">
        <f>HYPERLINK("https://jira.itg.ti.com/browse/PDK-2305","PDK-2305")</f>
        <v>PDK-2305</v>
      </c>
      <c r="C847" s="18" t="s">
        <v>1195</v>
      </c>
      <c r="D847" s="18" t="s">
        <v>245</v>
      </c>
      <c r="E847" s="18" t="s">
        <v>1645</v>
      </c>
      <c r="F847" s="22" t="s">
        <v>552</v>
      </c>
      <c r="G847" s="9" t="s">
        <v>415</v>
      </c>
      <c r="H847" s="11" t="s">
        <v>313</v>
      </c>
      <c r="I847" s="7" t="s">
        <v>1031</v>
      </c>
    </row>
    <row r="848" spans="1:9" x14ac:dyDescent="0.35">
      <c r="A848" s="19" t="str">
        <f t="shared" si="12"/>
        <v>JACINTOREQ-359</v>
      </c>
      <c r="B848" s="19" t="str">
        <f>HYPERLINK("https://jira.itg.ti.com/browse/PDK-2306","PDK-2306")</f>
        <v>PDK-2306</v>
      </c>
      <c r="C848" s="18" t="s">
        <v>1251</v>
      </c>
      <c r="D848" s="18" t="s">
        <v>245</v>
      </c>
      <c r="E848" s="18" t="s">
        <v>1645</v>
      </c>
      <c r="F848" s="22" t="s">
        <v>552</v>
      </c>
      <c r="G848" s="9" t="s">
        <v>1144</v>
      </c>
      <c r="H848" s="11" t="s">
        <v>313</v>
      </c>
      <c r="I848" s="7" t="s">
        <v>1031</v>
      </c>
    </row>
    <row r="849" spans="1:9" ht="25.5" x14ac:dyDescent="0.35">
      <c r="A849" s="19" t="str">
        <f t="shared" si="12"/>
        <v>JACINTOREQ-359</v>
      </c>
      <c r="B849" s="19" t="str">
        <f>HYPERLINK("https://jira.itg.ti.com/browse/PDK-2310","PDK-2310")</f>
        <v>PDK-2310</v>
      </c>
      <c r="C849" s="18" t="s">
        <v>1444</v>
      </c>
      <c r="D849" s="18" t="s">
        <v>245</v>
      </c>
      <c r="E849" s="18" t="s">
        <v>1645</v>
      </c>
      <c r="F849" s="20" t="s">
        <v>1229</v>
      </c>
      <c r="G849" s="9" t="s">
        <v>1649</v>
      </c>
      <c r="H849" s="8" t="s">
        <v>394</v>
      </c>
      <c r="I849" s="7" t="s">
        <v>1031</v>
      </c>
    </row>
    <row r="850" spans="1:9" ht="25.5" x14ac:dyDescent="0.35">
      <c r="A850" s="19" t="str">
        <f t="shared" si="12"/>
        <v>JACINTOREQ-359</v>
      </c>
      <c r="B850" s="19" t="str">
        <f>HYPERLINK("https://jira.itg.ti.com/browse/PDK-2320","PDK-2320")</f>
        <v>PDK-2320</v>
      </c>
      <c r="C850" s="18" t="s">
        <v>431</v>
      </c>
      <c r="D850" s="18" t="s">
        <v>245</v>
      </c>
      <c r="E850" s="18" t="s">
        <v>1645</v>
      </c>
      <c r="F850" s="20" t="s">
        <v>1229</v>
      </c>
      <c r="G850" s="9" t="s">
        <v>1649</v>
      </c>
      <c r="H850" s="8" t="s">
        <v>394</v>
      </c>
      <c r="I850" s="7" t="s">
        <v>1031</v>
      </c>
    </row>
    <row r="851" spans="1:9" ht="25.5" x14ac:dyDescent="0.35">
      <c r="A851" s="19" t="str">
        <f t="shared" si="12"/>
        <v>JACINTOREQ-359</v>
      </c>
      <c r="B851" s="19" t="str">
        <f>HYPERLINK("https://jira.itg.ti.com/browse/PDK-2323","PDK-2323")</f>
        <v>PDK-2323</v>
      </c>
      <c r="C851" s="18" t="s">
        <v>1121</v>
      </c>
      <c r="D851" s="18" t="s">
        <v>245</v>
      </c>
      <c r="E851" s="18" t="s">
        <v>1645</v>
      </c>
      <c r="F851" s="20" t="s">
        <v>1229</v>
      </c>
      <c r="G851" s="9" t="s">
        <v>1649</v>
      </c>
      <c r="H851" s="8" t="s">
        <v>394</v>
      </c>
      <c r="I851" s="7" t="s">
        <v>1031</v>
      </c>
    </row>
    <row r="852" spans="1:9" x14ac:dyDescent="0.35">
      <c r="A852" s="19" t="str">
        <f t="shared" si="12"/>
        <v>JACINTOREQ-359</v>
      </c>
      <c r="B852" s="19" t="str">
        <f>HYPERLINK("https://jira.itg.ti.com/browse/PDK-2324","PDK-2324")</f>
        <v>PDK-2324</v>
      </c>
      <c r="C852" s="18" t="s">
        <v>663</v>
      </c>
      <c r="D852" s="18" t="s">
        <v>245</v>
      </c>
      <c r="E852" s="18" t="s">
        <v>1645</v>
      </c>
      <c r="F852" s="22" t="s">
        <v>552</v>
      </c>
      <c r="G852" s="9" t="s">
        <v>88</v>
      </c>
      <c r="H852" s="11" t="s">
        <v>313</v>
      </c>
      <c r="I852" s="7" t="s">
        <v>1031</v>
      </c>
    </row>
    <row r="853" spans="1:9" ht="25.5" x14ac:dyDescent="0.35">
      <c r="A853" s="19" t="str">
        <f t="shared" si="12"/>
        <v>JACINTOREQ-359</v>
      </c>
      <c r="B853" s="19" t="str">
        <f>HYPERLINK("https://jira.itg.ti.com/browse/PDK-2332","PDK-2332")</f>
        <v>PDK-2332</v>
      </c>
      <c r="C853" s="18" t="s">
        <v>94</v>
      </c>
      <c r="D853" s="18" t="s">
        <v>245</v>
      </c>
      <c r="E853" s="18" t="s">
        <v>1645</v>
      </c>
      <c r="F853" s="20" t="s">
        <v>1229</v>
      </c>
      <c r="G853" s="9" t="s">
        <v>1649</v>
      </c>
      <c r="H853" s="8" t="s">
        <v>394</v>
      </c>
      <c r="I853" s="7" t="s">
        <v>1031</v>
      </c>
    </row>
    <row r="854" spans="1:9" x14ac:dyDescent="0.35">
      <c r="A854" s="19" t="str">
        <f t="shared" si="12"/>
        <v>JACINTOREQ-359</v>
      </c>
      <c r="B854" s="19" t="str">
        <f>HYPERLINK("https://jira.itg.ti.com/browse/PDK-2368","PDK-2368")</f>
        <v>PDK-2368</v>
      </c>
      <c r="C854" s="18" t="s">
        <v>1605</v>
      </c>
      <c r="D854" s="18" t="s">
        <v>245</v>
      </c>
      <c r="E854" s="18" t="s">
        <v>1645</v>
      </c>
      <c r="F854" s="20" t="s">
        <v>1229</v>
      </c>
      <c r="G854" s="9" t="s">
        <v>921</v>
      </c>
      <c r="H854" s="8" t="s">
        <v>394</v>
      </c>
      <c r="I854" s="7" t="s">
        <v>1031</v>
      </c>
    </row>
    <row r="855" spans="1:9" x14ac:dyDescent="0.35">
      <c r="A855" s="19" t="str">
        <f t="shared" si="12"/>
        <v>JACINTOREQ-359</v>
      </c>
      <c r="B855" s="19" t="str">
        <f>HYPERLINK("https://jira.itg.ti.com/browse/PDK-2370","PDK-2370")</f>
        <v>PDK-2370</v>
      </c>
      <c r="C855" s="18" t="s">
        <v>1083</v>
      </c>
      <c r="D855" s="18" t="s">
        <v>245</v>
      </c>
      <c r="E855" s="18" t="s">
        <v>1645</v>
      </c>
      <c r="F855" s="20" t="s">
        <v>1229</v>
      </c>
      <c r="G855" s="9" t="s">
        <v>365</v>
      </c>
      <c r="H855" s="8" t="s">
        <v>394</v>
      </c>
      <c r="I855" s="7" t="s">
        <v>1031</v>
      </c>
    </row>
    <row r="856" spans="1:9" x14ac:dyDescent="0.35">
      <c r="A856" s="19" t="str">
        <f>HYPERLINK("https://jira.itg.ti.com/browse/JACINTOREQ-37","JACINTOREQ-37")</f>
        <v>JACINTOREQ-37</v>
      </c>
      <c r="B856" s="19" t="str">
        <f>HYPERLINK("https://jira.itg.ti.com/browse/PDK-2496","PDK-2496")</f>
        <v>PDK-2496</v>
      </c>
      <c r="C856" s="18" t="s">
        <v>1006</v>
      </c>
      <c r="D856" s="18" t="s">
        <v>1301</v>
      </c>
      <c r="E856" s="18" t="s">
        <v>1645</v>
      </c>
      <c r="F856" s="20" t="s">
        <v>1229</v>
      </c>
      <c r="G856" s="9" t="s">
        <v>986</v>
      </c>
      <c r="H856" s="8" t="s">
        <v>394</v>
      </c>
      <c r="I856" s="7" t="s">
        <v>1031</v>
      </c>
    </row>
    <row r="857" spans="1:9" ht="25.5" x14ac:dyDescent="0.35">
      <c r="A857" s="19"/>
      <c r="B857" s="19"/>
      <c r="C857" s="18"/>
      <c r="D857" s="18"/>
      <c r="E857" s="18"/>
      <c r="F857" s="20"/>
      <c r="G857" s="10" t="s">
        <v>1440</v>
      </c>
      <c r="H857" s="8" t="s">
        <v>394</v>
      </c>
    </row>
    <row r="858" spans="1:9" x14ac:dyDescent="0.35">
      <c r="A858" s="19" t="str">
        <f>HYPERLINK("https://jira.itg.ti.com/browse/JACINTOREQ-37","JACINTOREQ-37")</f>
        <v>JACINTOREQ-37</v>
      </c>
      <c r="B858" s="19" t="str">
        <f>HYPERLINK("https://jira.itg.ti.com/browse/PDK-2737","PDK-2737")</f>
        <v>PDK-2737</v>
      </c>
      <c r="C858" s="18" t="s">
        <v>269</v>
      </c>
      <c r="D858" s="18" t="s">
        <v>1301</v>
      </c>
      <c r="E858" s="18" t="s">
        <v>1645</v>
      </c>
      <c r="F858" s="20" t="s">
        <v>1229</v>
      </c>
      <c r="G858" s="9" t="s">
        <v>986</v>
      </c>
      <c r="H858" s="8" t="s">
        <v>394</v>
      </c>
      <c r="I858" s="7" t="s">
        <v>1031</v>
      </c>
    </row>
    <row r="859" spans="1:9" x14ac:dyDescent="0.35">
      <c r="A859" s="19" t="str">
        <f>HYPERLINK("https://jira.itg.ti.com/browse/JACINTOREQ-37","JACINTOREQ-37")</f>
        <v>JACINTOREQ-37</v>
      </c>
      <c r="B859" s="19" t="str">
        <f>HYPERLINK("https://jira.itg.ti.com/browse/PDK-2738","PDK-2738")</f>
        <v>PDK-2738</v>
      </c>
      <c r="C859" s="18" t="s">
        <v>1626</v>
      </c>
      <c r="D859" s="18" t="s">
        <v>1301</v>
      </c>
      <c r="E859" s="18" t="s">
        <v>1645</v>
      </c>
      <c r="F859" s="20" t="s">
        <v>1229</v>
      </c>
      <c r="G859" s="9" t="s">
        <v>986</v>
      </c>
      <c r="H859" s="8" t="s">
        <v>394</v>
      </c>
      <c r="I859" s="7" t="s">
        <v>1031</v>
      </c>
    </row>
    <row r="860" spans="1:9" x14ac:dyDescent="0.35">
      <c r="A860" s="19" t="str">
        <f>HYPERLINK("https://jira.itg.ti.com/browse/JACINTOREQ-37","JACINTOREQ-37")</f>
        <v>JACINTOREQ-37</v>
      </c>
      <c r="B860" s="19" t="str">
        <f>HYPERLINK("https://jira.itg.ti.com/browse/PDK-2739","PDK-2739")</f>
        <v>PDK-2739</v>
      </c>
      <c r="C860" s="18" t="s">
        <v>1348</v>
      </c>
      <c r="D860" s="18" t="s">
        <v>1301</v>
      </c>
      <c r="E860" s="18" t="s">
        <v>1645</v>
      </c>
      <c r="F860" s="20" t="s">
        <v>1229</v>
      </c>
      <c r="G860" s="9" t="s">
        <v>986</v>
      </c>
      <c r="H860" s="8" t="s">
        <v>394</v>
      </c>
      <c r="I860" s="7" t="s">
        <v>1031</v>
      </c>
    </row>
    <row r="861" spans="1:9" x14ac:dyDescent="0.35">
      <c r="A861" s="19"/>
      <c r="B861" s="19"/>
      <c r="C861" s="18"/>
      <c r="D861" s="18"/>
      <c r="E861" s="18"/>
      <c r="F861" s="20"/>
      <c r="G861" s="10" t="s">
        <v>211</v>
      </c>
      <c r="H861" s="8" t="s">
        <v>394</v>
      </c>
    </row>
    <row r="862" spans="1:9" x14ac:dyDescent="0.35">
      <c r="A862" s="19" t="str">
        <f>HYPERLINK("https://jira.itg.ti.com/browse/JACINTOREQ-37","JACINTOREQ-37")</f>
        <v>JACINTOREQ-37</v>
      </c>
      <c r="B862" s="19" t="str">
        <f>HYPERLINK("https://jira.itg.ti.com/browse/PDK-2740","PDK-2740")</f>
        <v>PDK-2740</v>
      </c>
      <c r="C862" s="18" t="s">
        <v>639</v>
      </c>
      <c r="D862" s="18" t="s">
        <v>1301</v>
      </c>
      <c r="E862" s="18" t="s">
        <v>1645</v>
      </c>
      <c r="F862" s="20" t="s">
        <v>1229</v>
      </c>
      <c r="G862" s="9" t="s">
        <v>211</v>
      </c>
      <c r="H862" s="8" t="s">
        <v>394</v>
      </c>
      <c r="I862" s="7" t="s">
        <v>1031</v>
      </c>
    </row>
    <row r="863" spans="1:9" x14ac:dyDescent="0.35">
      <c r="A863" s="19" t="str">
        <f>HYPERLINK("https://jira.itg.ti.com/browse/JACINTOREQ-37","JACINTOREQ-37")</f>
        <v>JACINTOREQ-37</v>
      </c>
      <c r="B863" s="19" t="str">
        <f>HYPERLINK("https://jira.itg.ti.com/browse/PDK-2742","PDK-2742")</f>
        <v>PDK-2742</v>
      </c>
      <c r="C863" s="18" t="s">
        <v>810</v>
      </c>
      <c r="D863" s="18" t="s">
        <v>1301</v>
      </c>
      <c r="E863" s="18" t="s">
        <v>1645</v>
      </c>
      <c r="F863" s="20" t="s">
        <v>1229</v>
      </c>
      <c r="G863" s="9" t="s">
        <v>547</v>
      </c>
      <c r="H863" s="8" t="s">
        <v>394</v>
      </c>
      <c r="I863" s="7" t="s">
        <v>1031</v>
      </c>
    </row>
    <row r="864" spans="1:9" x14ac:dyDescent="0.35">
      <c r="A864" s="19" t="str">
        <f>HYPERLINK("https://jira.itg.ti.com/browse/JACINTOREQ-37","JACINTOREQ-37")</f>
        <v>JACINTOREQ-37</v>
      </c>
      <c r="B864" s="19" t="str">
        <f>HYPERLINK("https://jira.itg.ti.com/browse/PDK-2744","PDK-2744")</f>
        <v>PDK-2744</v>
      </c>
      <c r="C864" s="18" t="s">
        <v>785</v>
      </c>
      <c r="D864" s="18" t="s">
        <v>1301</v>
      </c>
      <c r="E864" s="18" t="s">
        <v>1645</v>
      </c>
      <c r="F864" s="20" t="s">
        <v>1229</v>
      </c>
      <c r="G864" s="9" t="s">
        <v>986</v>
      </c>
      <c r="H864" s="8" t="s">
        <v>394</v>
      </c>
      <c r="I864" s="7" t="s">
        <v>1031</v>
      </c>
    </row>
    <row r="865" spans="1:9" x14ac:dyDescent="0.35">
      <c r="A865" s="19" t="str">
        <f>HYPERLINK("https://jira.itg.ti.com/browse/JACINTOREQ-37","JACINTOREQ-37")</f>
        <v>JACINTOREQ-37</v>
      </c>
      <c r="B865" s="19" t="str">
        <f>HYPERLINK("https://jira.itg.ti.com/browse/PDK-2745","PDK-2745")</f>
        <v>PDK-2745</v>
      </c>
      <c r="C865" s="18" t="s">
        <v>186</v>
      </c>
      <c r="D865" s="18" t="s">
        <v>1301</v>
      </c>
      <c r="E865" s="18" t="s">
        <v>1645</v>
      </c>
      <c r="F865" s="20" t="s">
        <v>1229</v>
      </c>
      <c r="G865" s="9" t="s">
        <v>986</v>
      </c>
      <c r="H865" s="8" t="s">
        <v>394</v>
      </c>
      <c r="I865" s="7" t="s">
        <v>1031</v>
      </c>
    </row>
    <row r="866" spans="1:9" x14ac:dyDescent="0.35">
      <c r="A866" s="19" t="str">
        <f>HYPERLINK("https://jira.itg.ti.com/browse/JACINTOREQ-37","JACINTOREQ-37")</f>
        <v>JACINTOREQ-37</v>
      </c>
      <c r="B866" s="19" t="str">
        <f>HYPERLINK("https://jira.itg.ti.com/browse/PDK-2747","PDK-2747")</f>
        <v>PDK-2747</v>
      </c>
      <c r="C866" s="18" t="s">
        <v>1100</v>
      </c>
      <c r="D866" s="18" t="s">
        <v>1301</v>
      </c>
      <c r="E866" s="18" t="s">
        <v>1645</v>
      </c>
      <c r="F866" s="20" t="s">
        <v>1229</v>
      </c>
      <c r="G866" s="9" t="s">
        <v>986</v>
      </c>
      <c r="H866" s="8" t="s">
        <v>394</v>
      </c>
      <c r="I866" s="7" t="s">
        <v>1031</v>
      </c>
    </row>
    <row r="867" spans="1:9" x14ac:dyDescent="0.35">
      <c r="A867" s="19" t="str">
        <f t="shared" ref="A867:A880" si="13">HYPERLINK("https://jira.itg.ti.com/browse/JACINTOREQ-371","JACINTOREQ-371")</f>
        <v>JACINTOREQ-371</v>
      </c>
      <c r="B867" s="19" t="str">
        <f>HYPERLINK("https://jira.itg.ti.com/browse/PDK-2661","PDK-2661")</f>
        <v>PDK-2661</v>
      </c>
      <c r="C867" s="18" t="s">
        <v>1415</v>
      </c>
      <c r="D867" s="18" t="s">
        <v>467</v>
      </c>
      <c r="E867" s="18" t="s">
        <v>1645</v>
      </c>
      <c r="F867" s="20" t="s">
        <v>1229</v>
      </c>
      <c r="G867" s="9" t="s">
        <v>495</v>
      </c>
      <c r="H867" s="8" t="s">
        <v>394</v>
      </c>
      <c r="I867" s="7" t="s">
        <v>1031</v>
      </c>
    </row>
    <row r="868" spans="1:9" x14ac:dyDescent="0.35">
      <c r="A868" s="19" t="str">
        <f t="shared" si="13"/>
        <v>JACINTOREQ-371</v>
      </c>
      <c r="B868" s="19" t="str">
        <f>HYPERLINK("https://jira.itg.ti.com/browse/PDK-2662","PDK-2662")</f>
        <v>PDK-2662</v>
      </c>
      <c r="C868" s="18" t="s">
        <v>1349</v>
      </c>
      <c r="D868" s="18" t="s">
        <v>692</v>
      </c>
      <c r="E868" s="18" t="s">
        <v>1645</v>
      </c>
      <c r="F868" s="20" t="s">
        <v>1229</v>
      </c>
      <c r="G868" s="9" t="s">
        <v>495</v>
      </c>
      <c r="H868" s="8" t="s">
        <v>394</v>
      </c>
      <c r="I868" s="7" t="s">
        <v>1031</v>
      </c>
    </row>
    <row r="869" spans="1:9" x14ac:dyDescent="0.35">
      <c r="A869" s="19" t="str">
        <f t="shared" si="13"/>
        <v>JACINTOREQ-371</v>
      </c>
      <c r="B869" s="19" t="str">
        <f>HYPERLINK("https://jira.itg.ti.com/browse/PDK-2663","PDK-2663")</f>
        <v>PDK-2663</v>
      </c>
      <c r="C869" s="18" t="s">
        <v>327</v>
      </c>
      <c r="D869" s="18" t="s">
        <v>692</v>
      </c>
      <c r="E869" s="18" t="s">
        <v>1645</v>
      </c>
      <c r="F869" s="20" t="s">
        <v>1229</v>
      </c>
      <c r="G869" s="9" t="s">
        <v>495</v>
      </c>
      <c r="H869" s="8" t="s">
        <v>394</v>
      </c>
      <c r="I869" s="7" t="s">
        <v>1031</v>
      </c>
    </row>
    <row r="870" spans="1:9" x14ac:dyDescent="0.35">
      <c r="A870" s="19" t="str">
        <f t="shared" si="13"/>
        <v>JACINTOREQ-371</v>
      </c>
      <c r="B870" s="19" t="str">
        <f>HYPERLINK("https://jira.itg.ti.com/browse/PDK-2664","PDK-2664")</f>
        <v>PDK-2664</v>
      </c>
      <c r="C870" s="18" t="s">
        <v>239</v>
      </c>
      <c r="D870" s="18" t="s">
        <v>467</v>
      </c>
      <c r="E870" s="18" t="s">
        <v>1645</v>
      </c>
      <c r="F870" s="20" t="s">
        <v>1229</v>
      </c>
      <c r="G870" s="9" t="s">
        <v>495</v>
      </c>
      <c r="H870" s="8" t="s">
        <v>394</v>
      </c>
      <c r="I870" s="7" t="s">
        <v>1031</v>
      </c>
    </row>
    <row r="871" spans="1:9" x14ac:dyDescent="0.35">
      <c r="A871" s="19" t="str">
        <f t="shared" si="13"/>
        <v>JACINTOREQ-371</v>
      </c>
      <c r="B871" s="19" t="str">
        <f>HYPERLINK("https://jira.itg.ti.com/browse/PDK-2665","PDK-2665")</f>
        <v>PDK-2665</v>
      </c>
      <c r="C871" s="18" t="s">
        <v>1026</v>
      </c>
      <c r="D871" s="18" t="s">
        <v>692</v>
      </c>
      <c r="E871" s="18" t="s">
        <v>1645</v>
      </c>
      <c r="F871" s="20" t="s">
        <v>1229</v>
      </c>
      <c r="G871" s="9" t="s">
        <v>495</v>
      </c>
      <c r="H871" s="8" t="s">
        <v>394</v>
      </c>
      <c r="I871" s="7" t="s">
        <v>1031</v>
      </c>
    </row>
    <row r="872" spans="1:9" x14ac:dyDescent="0.35">
      <c r="A872" s="19" t="str">
        <f t="shared" si="13"/>
        <v>JACINTOREQ-371</v>
      </c>
      <c r="B872" s="19" t="str">
        <f>HYPERLINK("https://jira.itg.ti.com/browse/PDK-2666","PDK-2666")</f>
        <v>PDK-2666</v>
      </c>
      <c r="C872" s="18" t="s">
        <v>1542</v>
      </c>
      <c r="D872" s="18" t="s">
        <v>692</v>
      </c>
      <c r="E872" s="18" t="s">
        <v>1645</v>
      </c>
      <c r="F872" s="20" t="s">
        <v>1229</v>
      </c>
      <c r="G872" s="9" t="s">
        <v>495</v>
      </c>
      <c r="H872" s="8" t="s">
        <v>394</v>
      </c>
      <c r="I872" s="7" t="s">
        <v>1031</v>
      </c>
    </row>
    <row r="873" spans="1:9" x14ac:dyDescent="0.35">
      <c r="A873" s="19" t="str">
        <f t="shared" si="13"/>
        <v>JACINTOREQ-371</v>
      </c>
      <c r="B873" s="19" t="str">
        <f>HYPERLINK("https://jira.itg.ti.com/browse/PDK-2667","PDK-2667")</f>
        <v>PDK-2667</v>
      </c>
      <c r="C873" s="18" t="s">
        <v>744</v>
      </c>
      <c r="D873" s="18" t="s">
        <v>467</v>
      </c>
      <c r="E873" s="18" t="s">
        <v>1645</v>
      </c>
      <c r="F873" s="20" t="s">
        <v>1229</v>
      </c>
      <c r="G873" s="9" t="s">
        <v>495</v>
      </c>
      <c r="H873" s="8" t="s">
        <v>394</v>
      </c>
      <c r="I873" s="7" t="s">
        <v>1031</v>
      </c>
    </row>
    <row r="874" spans="1:9" x14ac:dyDescent="0.35">
      <c r="A874" s="19" t="str">
        <f t="shared" si="13"/>
        <v>JACINTOREQ-371</v>
      </c>
      <c r="B874" s="19" t="str">
        <f>HYPERLINK("https://jira.itg.ti.com/browse/PDK-2668","PDK-2668")</f>
        <v>PDK-2668</v>
      </c>
      <c r="C874" s="18" t="s">
        <v>1630</v>
      </c>
      <c r="D874" s="18" t="s">
        <v>467</v>
      </c>
      <c r="E874" s="18" t="s">
        <v>1645</v>
      </c>
      <c r="F874" s="20" t="s">
        <v>1229</v>
      </c>
      <c r="G874" s="9" t="s">
        <v>495</v>
      </c>
      <c r="H874" s="8" t="s">
        <v>394</v>
      </c>
      <c r="I874" s="7" t="s">
        <v>1031</v>
      </c>
    </row>
    <row r="875" spans="1:9" x14ac:dyDescent="0.35">
      <c r="A875" s="19" t="str">
        <f t="shared" si="13"/>
        <v>JACINTOREQ-371</v>
      </c>
      <c r="B875" s="19" t="str">
        <f>HYPERLINK("https://jira.itg.ti.com/browse/PDK-2669","PDK-2669")</f>
        <v>PDK-2669</v>
      </c>
      <c r="C875" s="18" t="s">
        <v>1452</v>
      </c>
      <c r="D875" s="18" t="s">
        <v>467</v>
      </c>
      <c r="E875" s="18" t="s">
        <v>1645</v>
      </c>
      <c r="F875" s="20" t="s">
        <v>1229</v>
      </c>
      <c r="G875" s="9" t="s">
        <v>495</v>
      </c>
      <c r="H875" s="8" t="s">
        <v>394</v>
      </c>
      <c r="I875" s="7" t="s">
        <v>1031</v>
      </c>
    </row>
    <row r="876" spans="1:9" x14ac:dyDescent="0.35">
      <c r="A876" s="19" t="str">
        <f t="shared" si="13"/>
        <v>JACINTOREQ-371</v>
      </c>
      <c r="B876" s="19" t="str">
        <f>HYPERLINK("https://jira.itg.ti.com/browse/PDK-2670","PDK-2670")</f>
        <v>PDK-2670</v>
      </c>
      <c r="C876" s="18" t="s">
        <v>737</v>
      </c>
      <c r="D876" s="18" t="s">
        <v>467</v>
      </c>
      <c r="E876" s="18" t="s">
        <v>1645</v>
      </c>
      <c r="F876" s="20" t="s">
        <v>1229</v>
      </c>
      <c r="G876" s="9" t="s">
        <v>495</v>
      </c>
      <c r="H876" s="8" t="s">
        <v>394</v>
      </c>
      <c r="I876" s="7" t="s">
        <v>1031</v>
      </c>
    </row>
    <row r="877" spans="1:9" x14ac:dyDescent="0.35">
      <c r="A877" s="19" t="str">
        <f t="shared" si="13"/>
        <v>JACINTOREQ-371</v>
      </c>
      <c r="B877" s="19" t="str">
        <f>HYPERLINK("https://jira.itg.ti.com/browse/PDK-2671","PDK-2671")</f>
        <v>PDK-2671</v>
      </c>
      <c r="C877" s="18" t="s">
        <v>536</v>
      </c>
      <c r="D877" s="18" t="s">
        <v>467</v>
      </c>
      <c r="E877" s="18" t="s">
        <v>1645</v>
      </c>
      <c r="F877" s="20" t="s">
        <v>1229</v>
      </c>
      <c r="G877" s="9" t="s">
        <v>495</v>
      </c>
      <c r="H877" s="8" t="s">
        <v>394</v>
      </c>
      <c r="I877" s="7" t="s">
        <v>1031</v>
      </c>
    </row>
    <row r="878" spans="1:9" x14ac:dyDescent="0.35">
      <c r="A878" s="19" t="str">
        <f t="shared" si="13"/>
        <v>JACINTOREQ-371</v>
      </c>
      <c r="B878" s="19" t="str">
        <f>HYPERLINK("https://jira.itg.ti.com/browse/PDK-2672","PDK-2672")</f>
        <v>PDK-2672</v>
      </c>
      <c r="C878" s="18" t="s">
        <v>460</v>
      </c>
      <c r="D878" s="18" t="s">
        <v>467</v>
      </c>
      <c r="E878" s="18" t="s">
        <v>1645</v>
      </c>
      <c r="F878" s="20" t="s">
        <v>1229</v>
      </c>
      <c r="G878" s="9" t="s">
        <v>495</v>
      </c>
      <c r="H878" s="8" t="s">
        <v>394</v>
      </c>
      <c r="I878" s="7" t="s">
        <v>1031</v>
      </c>
    </row>
    <row r="879" spans="1:9" x14ac:dyDescent="0.35">
      <c r="A879" s="19" t="str">
        <f t="shared" si="13"/>
        <v>JACINTOREQ-371</v>
      </c>
      <c r="B879" s="19" t="str">
        <f>HYPERLINK("https://jira.itg.ti.com/browse/PDK-2673","PDK-2673")</f>
        <v>PDK-2673</v>
      </c>
      <c r="C879" s="18" t="s">
        <v>1556</v>
      </c>
      <c r="D879" s="18" t="s">
        <v>692</v>
      </c>
      <c r="E879" s="18" t="s">
        <v>1645</v>
      </c>
      <c r="F879" s="20" t="s">
        <v>1229</v>
      </c>
      <c r="G879" s="9" t="s">
        <v>495</v>
      </c>
      <c r="H879" s="8" t="s">
        <v>394</v>
      </c>
      <c r="I879" s="7" t="s">
        <v>1031</v>
      </c>
    </row>
    <row r="880" spans="1:9" x14ac:dyDescent="0.35">
      <c r="A880" s="19" t="str">
        <f t="shared" si="13"/>
        <v>JACINTOREQ-371</v>
      </c>
      <c r="B880" s="19" t="str">
        <f>HYPERLINK("https://jira.itg.ti.com/browse/PDK-2674","PDK-2674")</f>
        <v>PDK-2674</v>
      </c>
      <c r="C880" s="18" t="s">
        <v>65</v>
      </c>
      <c r="D880" s="18" t="s">
        <v>692</v>
      </c>
      <c r="E880" s="18" t="s">
        <v>1645</v>
      </c>
      <c r="F880" s="20" t="s">
        <v>1229</v>
      </c>
      <c r="G880" s="9" t="s">
        <v>495</v>
      </c>
      <c r="H880" s="8" t="s">
        <v>394</v>
      </c>
      <c r="I880" s="7" t="s">
        <v>1031</v>
      </c>
    </row>
    <row r="881" spans="1:9" ht="25.5" x14ac:dyDescent="0.35">
      <c r="A881" s="19" t="str">
        <f>HYPERLINK("https://jira.itg.ti.com/browse/JACINTOREQ-38","JACINTOREQ-38")</f>
        <v>JACINTOREQ-38</v>
      </c>
      <c r="B881" s="19" t="str">
        <f>HYPERLINK("https://jira.itg.ti.com/browse/PDK-2498","PDK-2498")</f>
        <v>PDK-2498</v>
      </c>
      <c r="C881" s="18" t="s">
        <v>372</v>
      </c>
      <c r="D881" s="18" t="s">
        <v>1301</v>
      </c>
      <c r="E881" s="18" t="s">
        <v>1645</v>
      </c>
      <c r="F881" s="20" t="s">
        <v>1229</v>
      </c>
      <c r="G881" s="9" t="s">
        <v>407</v>
      </c>
      <c r="H881" s="8" t="s">
        <v>394</v>
      </c>
      <c r="I881" s="7" t="s">
        <v>1031</v>
      </c>
    </row>
    <row r="882" spans="1:9" ht="25.5" x14ac:dyDescent="0.35">
      <c r="A882" s="19"/>
      <c r="B882" s="19"/>
      <c r="C882" s="18"/>
      <c r="D882" s="18"/>
      <c r="E882" s="18"/>
      <c r="F882" s="20"/>
      <c r="G882" s="10" t="s">
        <v>328</v>
      </c>
      <c r="H882" s="8" t="s">
        <v>394</v>
      </c>
    </row>
    <row r="883" spans="1:9" ht="25.5" x14ac:dyDescent="0.35">
      <c r="A883" s="19" t="str">
        <f>HYPERLINK("https://jira.itg.ti.com/browse/JACINTOREQ-38","JACINTOREQ-38")</f>
        <v>JACINTOREQ-38</v>
      </c>
      <c r="B883" s="19" t="str">
        <f>HYPERLINK("https://jira.itg.ti.com/browse/PDK-2499","PDK-2499")</f>
        <v>PDK-2499</v>
      </c>
      <c r="C883" s="18" t="s">
        <v>1125</v>
      </c>
      <c r="D883" s="18" t="s">
        <v>245</v>
      </c>
      <c r="E883" s="18" t="s">
        <v>1645</v>
      </c>
      <c r="F883" s="20" t="s">
        <v>1229</v>
      </c>
      <c r="G883" s="9" t="s">
        <v>1168</v>
      </c>
      <c r="H883" s="8" t="s">
        <v>394</v>
      </c>
      <c r="I883" s="7" t="s">
        <v>1031</v>
      </c>
    </row>
    <row r="884" spans="1:9" ht="25.5" x14ac:dyDescent="0.35">
      <c r="A884" s="19" t="str">
        <f>HYPERLINK("https://jira.itg.ti.com/browse/JACINTOREQ-38","JACINTOREQ-38")</f>
        <v>JACINTOREQ-38</v>
      </c>
      <c r="B884" s="19" t="str">
        <f>HYPERLINK("https://jira.itg.ti.com/browse/PDK-2501","PDK-2501")</f>
        <v>PDK-2501</v>
      </c>
      <c r="C884" s="18" t="s">
        <v>1492</v>
      </c>
      <c r="D884" s="18" t="s">
        <v>1301</v>
      </c>
      <c r="E884" s="18" t="s">
        <v>1645</v>
      </c>
      <c r="F884" s="20" t="s">
        <v>1229</v>
      </c>
      <c r="G884" s="9" t="s">
        <v>540</v>
      </c>
      <c r="H884" s="8" t="s">
        <v>394</v>
      </c>
      <c r="I884" s="7" t="s">
        <v>1031</v>
      </c>
    </row>
    <row r="885" spans="1:9" ht="25.5" x14ac:dyDescent="0.35">
      <c r="A885" s="14"/>
      <c r="B885" s="14"/>
      <c r="C885" s="14"/>
      <c r="D885" s="14"/>
      <c r="E885" s="14"/>
      <c r="F885" s="14"/>
      <c r="G885" s="10" t="s">
        <v>1078</v>
      </c>
      <c r="H885" s="8" t="s">
        <v>394</v>
      </c>
    </row>
    <row r="886" spans="1:9" ht="25.5" x14ac:dyDescent="0.35">
      <c r="A886" s="14"/>
      <c r="B886" s="14"/>
      <c r="C886" s="14"/>
      <c r="D886" s="14"/>
      <c r="E886" s="14"/>
      <c r="F886" s="14"/>
      <c r="G886" s="10" t="s">
        <v>1046</v>
      </c>
      <c r="H886" s="8" t="s">
        <v>394</v>
      </c>
    </row>
    <row r="887" spans="1:9" ht="25.5" x14ac:dyDescent="0.35">
      <c r="A887" s="14"/>
      <c r="B887" s="14"/>
      <c r="C887" s="14"/>
      <c r="D887" s="14"/>
      <c r="E887" s="14"/>
      <c r="F887" s="14"/>
      <c r="G887" s="10" t="s">
        <v>1024</v>
      </c>
      <c r="H887" s="8" t="s">
        <v>394</v>
      </c>
    </row>
    <row r="888" spans="1:9" ht="25.5" x14ac:dyDescent="0.35">
      <c r="A888" s="19"/>
      <c r="B888" s="19"/>
      <c r="C888" s="18"/>
      <c r="D888" s="18"/>
      <c r="E888" s="18"/>
      <c r="F888" s="20"/>
      <c r="G888" s="10" t="s">
        <v>432</v>
      </c>
      <c r="H888" s="8" t="s">
        <v>394</v>
      </c>
    </row>
    <row r="889" spans="1:9" ht="25.5" x14ac:dyDescent="0.35">
      <c r="A889" s="19" t="str">
        <f>HYPERLINK("https://jira.itg.ti.com/browse/JACINTOREQ-38","JACINTOREQ-38")</f>
        <v>JACINTOREQ-38</v>
      </c>
      <c r="B889" s="19" t="str">
        <f>HYPERLINK("https://jira.itg.ti.com/browse/PDK-2679","PDK-2679")</f>
        <v>PDK-2679</v>
      </c>
      <c r="C889" s="18" t="s">
        <v>989</v>
      </c>
      <c r="D889" s="18" t="s">
        <v>245</v>
      </c>
      <c r="E889" s="18" t="s">
        <v>1645</v>
      </c>
      <c r="F889" s="20" t="s">
        <v>1229</v>
      </c>
      <c r="G889" s="9" t="s">
        <v>1168</v>
      </c>
      <c r="H889" s="8" t="s">
        <v>394</v>
      </c>
      <c r="I889" s="7" t="s">
        <v>1031</v>
      </c>
    </row>
    <row r="890" spans="1:9" x14ac:dyDescent="0.35">
      <c r="A890" s="19"/>
      <c r="B890" s="19"/>
      <c r="C890" s="18"/>
      <c r="D890" s="18"/>
      <c r="E890" s="18"/>
      <c r="F890" s="20"/>
      <c r="G890" s="10" t="s">
        <v>986</v>
      </c>
      <c r="H890" s="8" t="s">
        <v>394</v>
      </c>
    </row>
    <row r="891" spans="1:9" ht="25.5" x14ac:dyDescent="0.35">
      <c r="A891" s="19" t="str">
        <f>HYPERLINK("https://jira.itg.ti.com/browse/JACINTOREQ-38","JACINTOREQ-38")</f>
        <v>JACINTOREQ-38</v>
      </c>
      <c r="B891" s="19" t="str">
        <f>HYPERLINK("https://jira.itg.ti.com/browse/PDK-2680","PDK-2680")</f>
        <v>PDK-2680</v>
      </c>
      <c r="C891" s="18" t="s">
        <v>1488</v>
      </c>
      <c r="D891" s="18" t="s">
        <v>245</v>
      </c>
      <c r="E891" s="18" t="s">
        <v>1645</v>
      </c>
      <c r="F891" s="20" t="s">
        <v>1229</v>
      </c>
      <c r="G891" s="9" t="s">
        <v>1168</v>
      </c>
      <c r="H891" s="8" t="s">
        <v>394</v>
      </c>
      <c r="I891" s="7" t="s">
        <v>1031</v>
      </c>
    </row>
    <row r="892" spans="1:9" ht="25.5" x14ac:dyDescent="0.35">
      <c r="A892" s="19" t="str">
        <f>HYPERLINK("https://jira.itg.ti.com/browse/JACINTOREQ-38","JACINTOREQ-38")</f>
        <v>JACINTOREQ-38</v>
      </c>
      <c r="B892" s="19" t="str">
        <f>HYPERLINK("https://jira.itg.ti.com/browse/PDK-2681","PDK-2681")</f>
        <v>PDK-2681</v>
      </c>
      <c r="C892" s="18" t="s">
        <v>773</v>
      </c>
      <c r="D892" s="18" t="s">
        <v>245</v>
      </c>
      <c r="E892" s="18" t="s">
        <v>1645</v>
      </c>
      <c r="F892" s="20" t="s">
        <v>1229</v>
      </c>
      <c r="G892" s="9" t="s">
        <v>1168</v>
      </c>
      <c r="H892" s="8" t="s">
        <v>394</v>
      </c>
      <c r="I892" s="7" t="s">
        <v>1031</v>
      </c>
    </row>
    <row r="893" spans="1:9" x14ac:dyDescent="0.35">
      <c r="A893" s="19"/>
      <c r="B893" s="19"/>
      <c r="C893" s="18"/>
      <c r="D893" s="18"/>
      <c r="E893" s="18"/>
      <c r="F893" s="20"/>
      <c r="G893" s="10" t="s">
        <v>986</v>
      </c>
      <c r="H893" s="8" t="s">
        <v>394</v>
      </c>
    </row>
    <row r="894" spans="1:9" ht="25.5" x14ac:dyDescent="0.35">
      <c r="A894" s="19" t="str">
        <f>HYPERLINK("https://jira.itg.ti.com/browse/JACINTOREQ-38","JACINTOREQ-38")</f>
        <v>JACINTOREQ-38</v>
      </c>
      <c r="B894" s="19" t="str">
        <f>HYPERLINK("https://jira.itg.ti.com/browse/PDK-2682","PDK-2682")</f>
        <v>PDK-2682</v>
      </c>
      <c r="C894" s="18" t="s">
        <v>346</v>
      </c>
      <c r="D894" s="18" t="s">
        <v>245</v>
      </c>
      <c r="E894" s="18" t="s">
        <v>1645</v>
      </c>
      <c r="F894" s="20" t="s">
        <v>1229</v>
      </c>
      <c r="G894" s="9" t="s">
        <v>1168</v>
      </c>
      <c r="H894" s="8" t="s">
        <v>394</v>
      </c>
      <c r="I894" s="7" t="s">
        <v>1031</v>
      </c>
    </row>
    <row r="895" spans="1:9" x14ac:dyDescent="0.35">
      <c r="A895" s="19"/>
      <c r="B895" s="19"/>
      <c r="C895" s="18"/>
      <c r="D895" s="18"/>
      <c r="E895" s="18"/>
      <c r="F895" s="20"/>
      <c r="G895" s="10" t="s">
        <v>986</v>
      </c>
      <c r="H895" s="8" t="s">
        <v>394</v>
      </c>
    </row>
    <row r="896" spans="1:9" ht="25.5" x14ac:dyDescent="0.35">
      <c r="A896" s="19" t="str">
        <f>HYPERLINK("https://jira.itg.ti.com/browse/JACINTOREQ-38","JACINTOREQ-38")</f>
        <v>JACINTOREQ-38</v>
      </c>
      <c r="B896" s="19" t="str">
        <f>HYPERLINK("https://jira.itg.ti.com/browse/PDK-2683","PDK-2683")</f>
        <v>PDK-2683</v>
      </c>
      <c r="C896" s="18" t="s">
        <v>733</v>
      </c>
      <c r="D896" s="18" t="s">
        <v>245</v>
      </c>
      <c r="E896" s="18" t="s">
        <v>1645</v>
      </c>
      <c r="F896" s="20" t="s">
        <v>1229</v>
      </c>
      <c r="G896" s="9" t="s">
        <v>1168</v>
      </c>
      <c r="H896" s="8" t="s">
        <v>394</v>
      </c>
      <c r="I896" s="7" t="s">
        <v>1031</v>
      </c>
    </row>
    <row r="897" spans="1:9" x14ac:dyDescent="0.35">
      <c r="A897" s="19"/>
      <c r="B897" s="19"/>
      <c r="C897" s="18"/>
      <c r="D897" s="18"/>
      <c r="E897" s="18"/>
      <c r="F897" s="20"/>
      <c r="G897" s="10" t="s">
        <v>986</v>
      </c>
      <c r="H897" s="8" t="s">
        <v>394</v>
      </c>
    </row>
    <row r="898" spans="1:9" ht="25.5" x14ac:dyDescent="0.35">
      <c r="A898" s="19" t="str">
        <f>HYPERLINK("https://jira.itg.ti.com/browse/JACINTOREQ-38","JACINTOREQ-38")</f>
        <v>JACINTOREQ-38</v>
      </c>
      <c r="B898" s="19" t="str">
        <f>HYPERLINK("https://jira.itg.ti.com/browse/PDK-2684","PDK-2684")</f>
        <v>PDK-2684</v>
      </c>
      <c r="C898" s="18" t="s">
        <v>231</v>
      </c>
      <c r="D898" s="18" t="s">
        <v>245</v>
      </c>
      <c r="E898" s="18" t="s">
        <v>1645</v>
      </c>
      <c r="F898" s="20" t="s">
        <v>1229</v>
      </c>
      <c r="G898" s="9" t="s">
        <v>1168</v>
      </c>
      <c r="H898" s="8" t="s">
        <v>394</v>
      </c>
      <c r="I898" s="7" t="s">
        <v>1031</v>
      </c>
    </row>
    <row r="899" spans="1:9" x14ac:dyDescent="0.35">
      <c r="A899" s="19"/>
      <c r="B899" s="19"/>
      <c r="C899" s="18"/>
      <c r="D899" s="18"/>
      <c r="E899" s="18"/>
      <c r="F899" s="20"/>
      <c r="G899" s="10" t="s">
        <v>986</v>
      </c>
      <c r="H899" s="8" t="s">
        <v>394</v>
      </c>
    </row>
    <row r="900" spans="1:9" ht="25.5" x14ac:dyDescent="0.35">
      <c r="A900" s="19" t="str">
        <f>HYPERLINK("https://jira.itg.ti.com/browse/JACINTOREQ-38","JACINTOREQ-38")</f>
        <v>JACINTOREQ-38</v>
      </c>
      <c r="B900" s="19" t="str">
        <f>HYPERLINK("https://jira.itg.ti.com/browse/PDK-2698","PDK-2698")</f>
        <v>PDK-2698</v>
      </c>
      <c r="C900" s="18" t="s">
        <v>1547</v>
      </c>
      <c r="D900" s="18" t="s">
        <v>1301</v>
      </c>
      <c r="E900" s="18" t="s">
        <v>1645</v>
      </c>
      <c r="F900" s="20" t="s">
        <v>1229</v>
      </c>
      <c r="G900" s="9" t="s">
        <v>125</v>
      </c>
      <c r="H900" s="8" t="s">
        <v>394</v>
      </c>
      <c r="I900" s="7" t="s">
        <v>1031</v>
      </c>
    </row>
    <row r="901" spans="1:9" ht="25.5" x14ac:dyDescent="0.35">
      <c r="A901" s="19" t="str">
        <f>HYPERLINK("https://jira.itg.ti.com/browse/JACINTOREQ-38","JACINTOREQ-38")</f>
        <v>JACINTOREQ-38</v>
      </c>
      <c r="B901" s="19" t="str">
        <f>HYPERLINK("https://jira.itg.ti.com/browse/PDK-2699","PDK-2699")</f>
        <v>PDK-2699</v>
      </c>
      <c r="C901" s="18" t="s">
        <v>1066</v>
      </c>
      <c r="D901" s="18" t="s">
        <v>1301</v>
      </c>
      <c r="E901" s="18" t="s">
        <v>1645</v>
      </c>
      <c r="F901" s="20" t="s">
        <v>1229</v>
      </c>
      <c r="G901" s="9" t="s">
        <v>246</v>
      </c>
      <c r="H901" s="8" t="s">
        <v>394</v>
      </c>
      <c r="I901" s="7" t="s">
        <v>1031</v>
      </c>
    </row>
    <row r="902" spans="1:9" ht="25.5" x14ac:dyDescent="0.35">
      <c r="A902" s="19" t="str">
        <f>HYPERLINK("https://jira.itg.ti.com/browse/JACINTOREQ-38","JACINTOREQ-38")</f>
        <v>JACINTOREQ-38</v>
      </c>
      <c r="B902" s="19" t="str">
        <f>HYPERLINK("https://jira.itg.ti.com/browse/PDK-2700","PDK-2700")</f>
        <v>PDK-2700</v>
      </c>
      <c r="C902" s="18" t="s">
        <v>165</v>
      </c>
      <c r="D902" s="18" t="s">
        <v>1301</v>
      </c>
      <c r="E902" s="18" t="s">
        <v>1645</v>
      </c>
      <c r="F902" s="20" t="s">
        <v>1229</v>
      </c>
      <c r="G902" s="9" t="s">
        <v>407</v>
      </c>
      <c r="H902" s="8" t="s">
        <v>394</v>
      </c>
      <c r="I902" s="7" t="s">
        <v>1031</v>
      </c>
    </row>
    <row r="903" spans="1:9" ht="25.5" x14ac:dyDescent="0.35">
      <c r="A903" s="19"/>
      <c r="B903" s="19"/>
      <c r="C903" s="18"/>
      <c r="D903" s="18"/>
      <c r="E903" s="18"/>
      <c r="F903" s="20"/>
      <c r="G903" s="10" t="s">
        <v>328</v>
      </c>
      <c r="H903" s="8" t="s">
        <v>394</v>
      </c>
    </row>
    <row r="904" spans="1:9" ht="25.5" x14ac:dyDescent="0.35">
      <c r="A904" s="19" t="str">
        <f t="shared" ref="A904:A909" si="14">HYPERLINK("https://jira.itg.ti.com/browse/JACINTOREQ-38","JACINTOREQ-38")</f>
        <v>JACINTOREQ-38</v>
      </c>
      <c r="B904" s="19" t="str">
        <f>HYPERLINK("https://jira.itg.ti.com/browse/PDK-2701","PDK-2701")</f>
        <v>PDK-2701</v>
      </c>
      <c r="C904" s="18" t="s">
        <v>594</v>
      </c>
      <c r="D904" s="18" t="s">
        <v>1301</v>
      </c>
      <c r="E904" s="18" t="s">
        <v>1645</v>
      </c>
      <c r="F904" s="20" t="s">
        <v>1229</v>
      </c>
      <c r="G904" s="9" t="s">
        <v>459</v>
      </c>
      <c r="H904" s="8" t="s">
        <v>394</v>
      </c>
      <c r="I904" s="7" t="s">
        <v>1031</v>
      </c>
    </row>
    <row r="905" spans="1:9" ht="25.5" x14ac:dyDescent="0.35">
      <c r="A905" s="19" t="str">
        <f t="shared" si="14"/>
        <v>JACINTOREQ-38</v>
      </c>
      <c r="B905" s="19" t="str">
        <f>HYPERLINK("https://jira.itg.ti.com/browse/PDK-2702","PDK-2702")</f>
        <v>PDK-2702</v>
      </c>
      <c r="C905" s="18" t="s">
        <v>587</v>
      </c>
      <c r="D905" s="18" t="s">
        <v>1301</v>
      </c>
      <c r="E905" s="18" t="s">
        <v>1645</v>
      </c>
      <c r="F905" s="20" t="s">
        <v>1229</v>
      </c>
      <c r="G905" s="9" t="s">
        <v>1109</v>
      </c>
      <c r="H905" s="8" t="s">
        <v>394</v>
      </c>
      <c r="I905" s="7" t="s">
        <v>1031</v>
      </c>
    </row>
    <row r="906" spans="1:9" ht="25.5" x14ac:dyDescent="0.35">
      <c r="A906" s="19" t="str">
        <f t="shared" si="14"/>
        <v>JACINTOREQ-38</v>
      </c>
      <c r="B906" s="19" t="str">
        <f>HYPERLINK("https://jira.itg.ti.com/browse/PDK-2703","PDK-2703")</f>
        <v>PDK-2703</v>
      </c>
      <c r="C906" s="18" t="s">
        <v>1470</v>
      </c>
      <c r="D906" s="18" t="s">
        <v>1301</v>
      </c>
      <c r="E906" s="18" t="s">
        <v>1645</v>
      </c>
      <c r="F906" s="20" t="s">
        <v>1229</v>
      </c>
      <c r="G906" s="9" t="s">
        <v>625</v>
      </c>
      <c r="H906" s="8" t="s">
        <v>394</v>
      </c>
      <c r="I906" s="7" t="s">
        <v>1031</v>
      </c>
    </row>
    <row r="907" spans="1:9" ht="25.5" x14ac:dyDescent="0.35">
      <c r="A907" s="19" t="str">
        <f t="shared" si="14"/>
        <v>JACINTOREQ-38</v>
      </c>
      <c r="B907" s="19" t="str">
        <f>HYPERLINK("https://jira.itg.ti.com/browse/PDK-2704","PDK-2704")</f>
        <v>PDK-2704</v>
      </c>
      <c r="C907" s="18" t="s">
        <v>546</v>
      </c>
      <c r="D907" s="18" t="s">
        <v>1301</v>
      </c>
      <c r="E907" s="18" t="s">
        <v>1645</v>
      </c>
      <c r="F907" s="20" t="s">
        <v>1229</v>
      </c>
      <c r="G907" s="9" t="s">
        <v>407</v>
      </c>
      <c r="H907" s="8" t="s">
        <v>394</v>
      </c>
      <c r="I907" s="7" t="s">
        <v>1031</v>
      </c>
    </row>
    <row r="908" spans="1:9" ht="25.5" x14ac:dyDescent="0.35">
      <c r="A908" s="19" t="str">
        <f t="shared" si="14"/>
        <v>JACINTOREQ-38</v>
      </c>
      <c r="B908" s="19" t="str">
        <f>HYPERLINK("https://jira.itg.ti.com/browse/PDK-2705","PDK-2705")</f>
        <v>PDK-2705</v>
      </c>
      <c r="C908" s="18" t="s">
        <v>676</v>
      </c>
      <c r="D908" s="18" t="s">
        <v>1301</v>
      </c>
      <c r="E908" s="18" t="s">
        <v>1645</v>
      </c>
      <c r="F908" s="20" t="s">
        <v>1229</v>
      </c>
      <c r="G908" s="9" t="s">
        <v>340</v>
      </c>
      <c r="H908" s="8" t="s">
        <v>394</v>
      </c>
      <c r="I908" s="7" t="s">
        <v>1031</v>
      </c>
    </row>
    <row r="909" spans="1:9" ht="25.5" x14ac:dyDescent="0.35">
      <c r="A909" s="19" t="str">
        <f t="shared" si="14"/>
        <v>JACINTOREQ-38</v>
      </c>
      <c r="B909" s="19" t="str">
        <f>HYPERLINK("https://jira.itg.ti.com/browse/PDK-2706","PDK-2706")</f>
        <v>PDK-2706</v>
      </c>
      <c r="C909" s="18" t="s">
        <v>1646</v>
      </c>
      <c r="D909" s="18" t="s">
        <v>1301</v>
      </c>
      <c r="E909" s="18" t="s">
        <v>1645</v>
      </c>
      <c r="F909" s="20" t="s">
        <v>1229</v>
      </c>
      <c r="G909" s="9" t="s">
        <v>407</v>
      </c>
      <c r="H909" s="8" t="s">
        <v>394</v>
      </c>
      <c r="I909" s="7" t="s">
        <v>1031</v>
      </c>
    </row>
    <row r="910" spans="1:9" ht="25.5" x14ac:dyDescent="0.35">
      <c r="A910" s="19"/>
      <c r="B910" s="19"/>
      <c r="C910" s="18"/>
      <c r="D910" s="18"/>
      <c r="E910" s="18"/>
      <c r="F910" s="20"/>
      <c r="G910" s="10" t="s">
        <v>328</v>
      </c>
      <c r="H910" s="8" t="s">
        <v>394</v>
      </c>
    </row>
    <row r="911" spans="1:9" ht="25.5" x14ac:dyDescent="0.35">
      <c r="A911" s="19" t="str">
        <f>HYPERLINK("https://jira.itg.ti.com/browse/JACINTOREQ-38","JACINTOREQ-38")</f>
        <v>JACINTOREQ-38</v>
      </c>
      <c r="B911" s="19" t="str">
        <f>HYPERLINK("https://jira.itg.ti.com/browse/PDK-2707","PDK-2707")</f>
        <v>PDK-2707</v>
      </c>
      <c r="C911" s="18" t="s">
        <v>1554</v>
      </c>
      <c r="D911" s="18" t="s">
        <v>1301</v>
      </c>
      <c r="E911" s="18" t="s">
        <v>1645</v>
      </c>
      <c r="F911" s="20" t="s">
        <v>1229</v>
      </c>
      <c r="G911" s="9" t="s">
        <v>328</v>
      </c>
      <c r="H911" s="8" t="s">
        <v>394</v>
      </c>
      <c r="I911" s="7" t="s">
        <v>1031</v>
      </c>
    </row>
    <row r="912" spans="1:9" ht="25.5" x14ac:dyDescent="0.35">
      <c r="A912" s="19" t="str">
        <f>HYPERLINK("https://jira.itg.ti.com/browse/JACINTOREQ-38","JACINTOREQ-38")</f>
        <v>JACINTOREQ-38</v>
      </c>
      <c r="B912" s="19" t="str">
        <f>HYPERLINK("https://jira.itg.ti.com/browse/PDK-2708","PDK-2708")</f>
        <v>PDK-2708</v>
      </c>
      <c r="C912" s="18" t="s">
        <v>162</v>
      </c>
      <c r="D912" s="18" t="s">
        <v>1301</v>
      </c>
      <c r="E912" s="18" t="s">
        <v>1645</v>
      </c>
      <c r="F912" s="20" t="s">
        <v>1229</v>
      </c>
      <c r="G912" s="9" t="s">
        <v>340</v>
      </c>
      <c r="H912" s="8" t="s">
        <v>394</v>
      </c>
      <c r="I912" s="7" t="s">
        <v>1031</v>
      </c>
    </row>
    <row r="913" spans="1:9" ht="25.5" x14ac:dyDescent="0.35">
      <c r="A913" s="19"/>
      <c r="B913" s="19"/>
      <c r="C913" s="18"/>
      <c r="D913" s="18"/>
      <c r="E913" s="18"/>
      <c r="F913" s="20"/>
      <c r="G913" s="10" t="s">
        <v>621</v>
      </c>
      <c r="H913" s="8" t="s">
        <v>394</v>
      </c>
    </row>
    <row r="914" spans="1:9" ht="25.5" x14ac:dyDescent="0.35">
      <c r="A914" s="19" t="str">
        <f t="shared" ref="A914:A919" si="15">HYPERLINK("https://jira.itg.ti.com/browse/JACINTOREQ-38","JACINTOREQ-38")</f>
        <v>JACINTOREQ-38</v>
      </c>
      <c r="B914" s="19" t="str">
        <f>HYPERLINK("https://jira.itg.ti.com/browse/PDK-2711","PDK-2711")</f>
        <v>PDK-2711</v>
      </c>
      <c r="C914" s="18" t="s">
        <v>828</v>
      </c>
      <c r="D914" s="18" t="s">
        <v>1301</v>
      </c>
      <c r="E914" s="18" t="s">
        <v>1645</v>
      </c>
      <c r="F914" s="20" t="s">
        <v>1229</v>
      </c>
      <c r="G914" s="9" t="s">
        <v>459</v>
      </c>
      <c r="H914" s="8" t="s">
        <v>394</v>
      </c>
      <c r="I914" s="7" t="s">
        <v>1031</v>
      </c>
    </row>
    <row r="915" spans="1:9" ht="25.5" x14ac:dyDescent="0.35">
      <c r="A915" s="19" t="str">
        <f t="shared" si="15"/>
        <v>JACINTOREQ-38</v>
      </c>
      <c r="B915" s="19" t="str">
        <f>HYPERLINK("https://jira.itg.ti.com/browse/PDK-2712","PDK-2712")</f>
        <v>PDK-2712</v>
      </c>
      <c r="C915" s="18" t="s">
        <v>1321</v>
      </c>
      <c r="D915" s="18" t="s">
        <v>245</v>
      </c>
      <c r="E915" s="18" t="s">
        <v>1645</v>
      </c>
      <c r="F915" s="20" t="s">
        <v>1229</v>
      </c>
      <c r="G915" s="9" t="s">
        <v>1162</v>
      </c>
      <c r="H915" s="8" t="s">
        <v>394</v>
      </c>
      <c r="I915" s="7" t="s">
        <v>1031</v>
      </c>
    </row>
    <row r="916" spans="1:9" ht="25.5" x14ac:dyDescent="0.35">
      <c r="A916" s="19" t="str">
        <f t="shared" si="15"/>
        <v>JACINTOREQ-38</v>
      </c>
      <c r="B916" s="19" t="str">
        <f>HYPERLINK("https://jira.itg.ti.com/browse/PDK-2713","PDK-2713")</f>
        <v>PDK-2713</v>
      </c>
      <c r="C916" s="18" t="s">
        <v>1360</v>
      </c>
      <c r="D916" s="18" t="s">
        <v>245</v>
      </c>
      <c r="E916" s="18" t="s">
        <v>1645</v>
      </c>
      <c r="F916" s="20" t="s">
        <v>1229</v>
      </c>
      <c r="G916" s="9" t="s">
        <v>240</v>
      </c>
      <c r="H916" s="8" t="s">
        <v>394</v>
      </c>
      <c r="I916" s="7" t="s">
        <v>1031</v>
      </c>
    </row>
    <row r="917" spans="1:9" ht="25.5" x14ac:dyDescent="0.35">
      <c r="A917" s="19" t="str">
        <f t="shared" si="15"/>
        <v>JACINTOREQ-38</v>
      </c>
      <c r="B917" s="19" t="str">
        <f>HYPERLINK("https://jira.itg.ti.com/browse/PDK-2714","PDK-2714")</f>
        <v>PDK-2714</v>
      </c>
      <c r="C917" s="18" t="s">
        <v>543</v>
      </c>
      <c r="D917" s="18" t="s">
        <v>245</v>
      </c>
      <c r="E917" s="18" t="s">
        <v>1645</v>
      </c>
      <c r="F917" s="20" t="s">
        <v>1229</v>
      </c>
      <c r="G917" s="9" t="s">
        <v>1168</v>
      </c>
      <c r="H917" s="8" t="s">
        <v>394</v>
      </c>
      <c r="I917" s="7" t="s">
        <v>1031</v>
      </c>
    </row>
    <row r="918" spans="1:9" ht="25.5" x14ac:dyDescent="0.35">
      <c r="A918" s="19" t="str">
        <f t="shared" si="15"/>
        <v>JACINTOREQ-38</v>
      </c>
      <c r="B918" s="19" t="str">
        <f>HYPERLINK("https://jira.itg.ti.com/browse/PDK-2715","PDK-2715")</f>
        <v>PDK-2715</v>
      </c>
      <c r="C918" s="18" t="s">
        <v>1672</v>
      </c>
      <c r="D918" s="18" t="s">
        <v>245</v>
      </c>
      <c r="E918" s="18" t="s">
        <v>1645</v>
      </c>
      <c r="F918" s="20" t="s">
        <v>1229</v>
      </c>
      <c r="G918" s="9" t="s">
        <v>1658</v>
      </c>
      <c r="H918" s="8" t="s">
        <v>394</v>
      </c>
      <c r="I918" s="7" t="s">
        <v>1031</v>
      </c>
    </row>
    <row r="919" spans="1:9" ht="25.5" x14ac:dyDescent="0.35">
      <c r="A919" s="19" t="str">
        <f t="shared" si="15"/>
        <v>JACINTOREQ-38</v>
      </c>
      <c r="B919" s="19" t="str">
        <f>HYPERLINK("https://jira.itg.ti.com/browse/PDK-2716","PDK-2716")</f>
        <v>PDK-2716</v>
      </c>
      <c r="C919" s="18" t="s">
        <v>444</v>
      </c>
      <c r="D919" s="18" t="s">
        <v>245</v>
      </c>
      <c r="E919" s="18" t="s">
        <v>1645</v>
      </c>
      <c r="F919" s="20" t="s">
        <v>1229</v>
      </c>
      <c r="G919" s="9" t="s">
        <v>1168</v>
      </c>
      <c r="H919" s="8" t="s">
        <v>394</v>
      </c>
      <c r="I919" s="7" t="s">
        <v>1031</v>
      </c>
    </row>
    <row r="920" spans="1:9" ht="25.5" x14ac:dyDescent="0.35">
      <c r="A920" s="19"/>
      <c r="B920" s="19"/>
      <c r="C920" s="18"/>
      <c r="D920" s="18"/>
      <c r="E920" s="18"/>
      <c r="F920" s="20"/>
      <c r="G920" s="10" t="s">
        <v>234</v>
      </c>
      <c r="H920" s="8" t="s">
        <v>394</v>
      </c>
    </row>
    <row r="921" spans="1:9" ht="25.5" x14ac:dyDescent="0.35">
      <c r="A921" s="19" t="str">
        <f>HYPERLINK("https://jira.itg.ti.com/browse/JACINTOREQ-38","JACINTOREQ-38")</f>
        <v>JACINTOREQ-38</v>
      </c>
      <c r="B921" s="19" t="str">
        <f>HYPERLINK("https://jira.itg.ti.com/browse/PDK-2717","PDK-2717")</f>
        <v>PDK-2717</v>
      </c>
      <c r="C921" s="18" t="s">
        <v>1465</v>
      </c>
      <c r="D921" s="18" t="s">
        <v>245</v>
      </c>
      <c r="E921" s="18" t="s">
        <v>1645</v>
      </c>
      <c r="F921" s="20" t="s">
        <v>1229</v>
      </c>
      <c r="G921" s="9" t="s">
        <v>1168</v>
      </c>
      <c r="H921" s="8" t="s">
        <v>394</v>
      </c>
      <c r="I921" s="7" t="s">
        <v>1031</v>
      </c>
    </row>
    <row r="922" spans="1:9" ht="25.5" x14ac:dyDescent="0.35">
      <c r="A922" s="19" t="str">
        <f>HYPERLINK("https://jira.itg.ti.com/browse/JACINTOREQ-38","JACINTOREQ-38")</f>
        <v>JACINTOREQ-38</v>
      </c>
      <c r="B922" s="19" t="str">
        <f>HYPERLINK("https://jira.itg.ti.com/browse/PDK-2718","PDK-2718")</f>
        <v>PDK-2718</v>
      </c>
      <c r="C922" s="18" t="s">
        <v>285</v>
      </c>
      <c r="D922" s="18" t="s">
        <v>245</v>
      </c>
      <c r="E922" s="18" t="s">
        <v>1645</v>
      </c>
      <c r="F922" s="20" t="s">
        <v>1229</v>
      </c>
      <c r="G922" s="9" t="s">
        <v>1168</v>
      </c>
      <c r="H922" s="8" t="s">
        <v>394</v>
      </c>
      <c r="I922" s="7" t="s">
        <v>1031</v>
      </c>
    </row>
    <row r="923" spans="1:9" ht="25.5" x14ac:dyDescent="0.35">
      <c r="A923" s="19" t="str">
        <f>HYPERLINK("https://jira.itg.ti.com/browse/JACINTOREQ-38","JACINTOREQ-38")</f>
        <v>JACINTOREQ-38</v>
      </c>
      <c r="B923" s="19" t="str">
        <f>HYPERLINK("https://jira.itg.ti.com/browse/PDK-2719","PDK-2719")</f>
        <v>PDK-2719</v>
      </c>
      <c r="C923" s="18" t="s">
        <v>1363</v>
      </c>
      <c r="D923" s="18" t="s">
        <v>245</v>
      </c>
      <c r="E923" s="18" t="s">
        <v>1645</v>
      </c>
      <c r="F923" s="20" t="s">
        <v>1229</v>
      </c>
      <c r="G923" s="9" t="s">
        <v>1168</v>
      </c>
      <c r="H923" s="8" t="s">
        <v>394</v>
      </c>
      <c r="I923" s="7" t="s">
        <v>1031</v>
      </c>
    </row>
    <row r="924" spans="1:9" ht="25.5" x14ac:dyDescent="0.35">
      <c r="A924" s="19"/>
      <c r="B924" s="19"/>
      <c r="C924" s="18"/>
      <c r="D924" s="18"/>
      <c r="E924" s="18"/>
      <c r="F924" s="20"/>
      <c r="G924" s="10" t="s">
        <v>1248</v>
      </c>
      <c r="H924" s="8" t="s">
        <v>394</v>
      </c>
    </row>
    <row r="925" spans="1:9" ht="25.5" x14ac:dyDescent="0.35">
      <c r="A925" s="19" t="str">
        <f>HYPERLINK("https://jira.itg.ti.com/browse/JACINTOREQ-38","JACINTOREQ-38")</f>
        <v>JACINTOREQ-38</v>
      </c>
      <c r="B925" s="19" t="str">
        <f>HYPERLINK("https://jira.itg.ti.com/browse/PDK-2721","PDK-2721")</f>
        <v>PDK-2721</v>
      </c>
      <c r="C925" s="18" t="s">
        <v>192</v>
      </c>
      <c r="D925" s="18" t="s">
        <v>245</v>
      </c>
      <c r="E925" s="18" t="s">
        <v>1645</v>
      </c>
      <c r="F925" s="20" t="s">
        <v>1229</v>
      </c>
      <c r="G925" s="9" t="s">
        <v>1385</v>
      </c>
      <c r="H925" s="8" t="s">
        <v>394</v>
      </c>
      <c r="I925" s="7" t="s">
        <v>1031</v>
      </c>
    </row>
    <row r="926" spans="1:9" ht="25.5" x14ac:dyDescent="0.35">
      <c r="A926" s="19" t="str">
        <f>HYPERLINK("https://jira.itg.ti.com/browse/JACINTOREQ-38","JACINTOREQ-38")</f>
        <v>JACINTOREQ-38</v>
      </c>
      <c r="B926" s="19" t="str">
        <f>HYPERLINK("https://jira.itg.ti.com/browse/PDK-2725","PDK-2725")</f>
        <v>PDK-2725</v>
      </c>
      <c r="C926" s="18" t="s">
        <v>1445</v>
      </c>
      <c r="D926" s="18" t="s">
        <v>1301</v>
      </c>
      <c r="E926" s="18" t="s">
        <v>1645</v>
      </c>
      <c r="F926" s="20" t="s">
        <v>1229</v>
      </c>
      <c r="G926" s="9" t="s">
        <v>540</v>
      </c>
      <c r="H926" s="8" t="s">
        <v>394</v>
      </c>
      <c r="I926" s="7" t="s">
        <v>1031</v>
      </c>
    </row>
    <row r="927" spans="1:9" ht="25.5" x14ac:dyDescent="0.35">
      <c r="A927" s="14"/>
      <c r="B927" s="14"/>
      <c r="C927" s="14"/>
      <c r="D927" s="14"/>
      <c r="E927" s="14"/>
      <c r="F927" s="14"/>
      <c r="G927" s="10" t="s">
        <v>1078</v>
      </c>
      <c r="H927" s="8" t="s">
        <v>394</v>
      </c>
    </row>
    <row r="928" spans="1:9" ht="25.5" x14ac:dyDescent="0.35">
      <c r="A928" s="14"/>
      <c r="B928" s="14"/>
      <c r="C928" s="14"/>
      <c r="D928" s="14"/>
      <c r="E928" s="14"/>
      <c r="F928" s="14"/>
      <c r="G928" s="10" t="s">
        <v>1046</v>
      </c>
      <c r="H928" s="8" t="s">
        <v>394</v>
      </c>
    </row>
    <row r="929" spans="1:9" ht="25.5" x14ac:dyDescent="0.35">
      <c r="A929" s="14"/>
      <c r="B929" s="14"/>
      <c r="C929" s="14"/>
      <c r="D929" s="14"/>
      <c r="E929" s="14"/>
      <c r="F929" s="14"/>
      <c r="G929" s="10" t="s">
        <v>1024</v>
      </c>
      <c r="H929" s="8" t="s">
        <v>394</v>
      </c>
    </row>
    <row r="930" spans="1:9" ht="25.5" x14ac:dyDescent="0.35">
      <c r="A930" s="19"/>
      <c r="B930" s="19"/>
      <c r="C930" s="18"/>
      <c r="D930" s="18"/>
      <c r="E930" s="18"/>
      <c r="F930" s="20"/>
      <c r="G930" s="10" t="s">
        <v>432</v>
      </c>
      <c r="H930" s="8" t="s">
        <v>394</v>
      </c>
    </row>
    <row r="931" spans="1:9" ht="25.5" x14ac:dyDescent="0.35">
      <c r="A931" s="19" t="str">
        <f>HYPERLINK("https://jira.itg.ti.com/browse/JACINTOREQ-38","JACINTOREQ-38")</f>
        <v>JACINTOREQ-38</v>
      </c>
      <c r="B931" s="19" t="str">
        <f>HYPERLINK("https://jira.itg.ti.com/browse/PDK-2726","PDK-2726")</f>
        <v>PDK-2726</v>
      </c>
      <c r="C931" s="18" t="s">
        <v>1412</v>
      </c>
      <c r="D931" s="18" t="s">
        <v>1301</v>
      </c>
      <c r="E931" s="18" t="s">
        <v>1645</v>
      </c>
      <c r="F931" s="20" t="s">
        <v>1229</v>
      </c>
      <c r="G931" s="9" t="s">
        <v>540</v>
      </c>
      <c r="H931" s="8" t="s">
        <v>394</v>
      </c>
      <c r="I931" s="7" t="s">
        <v>1031</v>
      </c>
    </row>
    <row r="932" spans="1:9" ht="25.5" x14ac:dyDescent="0.35">
      <c r="A932" s="19" t="str">
        <f>HYPERLINK("https://jira.itg.ti.com/browse/JACINTOREQ-38","JACINTOREQ-38")</f>
        <v>JACINTOREQ-38</v>
      </c>
      <c r="B932" s="19" t="str">
        <f>HYPERLINK("https://jira.itg.ti.com/browse/PDK-2727","PDK-2727")</f>
        <v>PDK-2727</v>
      </c>
      <c r="C932" s="18" t="s">
        <v>924</v>
      </c>
      <c r="D932" s="18" t="s">
        <v>1301</v>
      </c>
      <c r="E932" s="18" t="s">
        <v>1645</v>
      </c>
      <c r="F932" s="20" t="s">
        <v>1229</v>
      </c>
      <c r="G932" s="9" t="s">
        <v>1078</v>
      </c>
      <c r="H932" s="8" t="s">
        <v>394</v>
      </c>
      <c r="I932" s="7" t="s">
        <v>1031</v>
      </c>
    </row>
    <row r="933" spans="1:9" ht="25.5" x14ac:dyDescent="0.35">
      <c r="A933" s="19" t="str">
        <f>HYPERLINK("https://jira.itg.ti.com/browse/JACINTOREQ-38","JACINTOREQ-38")</f>
        <v>JACINTOREQ-38</v>
      </c>
      <c r="B933" s="19" t="str">
        <f>HYPERLINK("https://jira.itg.ti.com/browse/PDK-2728","PDK-2728")</f>
        <v>PDK-2728</v>
      </c>
      <c r="C933" s="18" t="s">
        <v>482</v>
      </c>
      <c r="D933" s="18" t="s">
        <v>1301</v>
      </c>
      <c r="E933" s="18" t="s">
        <v>1645</v>
      </c>
      <c r="F933" s="20" t="s">
        <v>1229</v>
      </c>
      <c r="G933" s="9" t="s">
        <v>1046</v>
      </c>
      <c r="H933" s="8" t="s">
        <v>394</v>
      </c>
      <c r="I933" s="7" t="s">
        <v>1031</v>
      </c>
    </row>
    <row r="934" spans="1:9" ht="25.5" x14ac:dyDescent="0.35">
      <c r="A934" s="19" t="str">
        <f>HYPERLINK("https://jira.itg.ti.com/browse/JACINTOREQ-38","JACINTOREQ-38")</f>
        <v>JACINTOREQ-38</v>
      </c>
      <c r="B934" s="19" t="str">
        <f>HYPERLINK("https://jira.itg.ti.com/browse/PDK-2729","PDK-2729")</f>
        <v>PDK-2729</v>
      </c>
      <c r="C934" s="18" t="s">
        <v>472</v>
      </c>
      <c r="D934" s="18" t="s">
        <v>1301</v>
      </c>
      <c r="E934" s="18" t="s">
        <v>1645</v>
      </c>
      <c r="F934" s="20" t="s">
        <v>1229</v>
      </c>
      <c r="G934" s="9" t="s">
        <v>540</v>
      </c>
      <c r="H934" s="8" t="s">
        <v>394</v>
      </c>
      <c r="I934" s="7" t="s">
        <v>1031</v>
      </c>
    </row>
    <row r="935" spans="1:9" ht="25.5" x14ac:dyDescent="0.35">
      <c r="A935" s="19"/>
      <c r="B935" s="19"/>
      <c r="C935" s="18"/>
      <c r="D935" s="18"/>
      <c r="E935" s="18"/>
      <c r="F935" s="20"/>
      <c r="G935" s="10" t="s">
        <v>1604</v>
      </c>
      <c r="H935" s="8" t="s">
        <v>394</v>
      </c>
    </row>
    <row r="936" spans="1:9" ht="25.5" x14ac:dyDescent="0.35">
      <c r="A936" s="19" t="str">
        <f>HYPERLINK("https://jira.itg.ti.com/browse/JACINTOREQ-38","JACINTOREQ-38")</f>
        <v>JACINTOREQ-38</v>
      </c>
      <c r="B936" s="19" t="str">
        <f>HYPERLINK("https://jira.itg.ti.com/browse/PDK-2730","PDK-2730")</f>
        <v>PDK-2730</v>
      </c>
      <c r="C936" s="18" t="s">
        <v>1643</v>
      </c>
      <c r="D936" s="18" t="s">
        <v>1301</v>
      </c>
      <c r="E936" s="18" t="s">
        <v>1645</v>
      </c>
      <c r="F936" s="20" t="s">
        <v>1229</v>
      </c>
      <c r="G936" s="9" t="s">
        <v>1024</v>
      </c>
      <c r="H936" s="8" t="s">
        <v>394</v>
      </c>
      <c r="I936" s="7" t="s">
        <v>1031</v>
      </c>
    </row>
    <row r="937" spans="1:9" ht="25.5" x14ac:dyDescent="0.35">
      <c r="A937" s="19" t="str">
        <f>HYPERLINK("https://jira.itg.ti.com/browse/JACINTOREQ-38","JACINTOREQ-38")</f>
        <v>JACINTOREQ-38</v>
      </c>
      <c r="B937" s="19" t="str">
        <f>HYPERLINK("https://jira.itg.ti.com/browse/PDK-2731","PDK-2731")</f>
        <v>PDK-2731</v>
      </c>
      <c r="C937" s="18" t="s">
        <v>1278</v>
      </c>
      <c r="D937" s="18" t="s">
        <v>1301</v>
      </c>
      <c r="E937" s="18" t="s">
        <v>1645</v>
      </c>
      <c r="F937" s="20" t="s">
        <v>1229</v>
      </c>
      <c r="G937" s="9" t="s">
        <v>1046</v>
      </c>
      <c r="H937" s="8" t="s">
        <v>394</v>
      </c>
      <c r="I937" s="7" t="s">
        <v>1031</v>
      </c>
    </row>
    <row r="938" spans="1:9" ht="25.5" x14ac:dyDescent="0.35">
      <c r="A938" s="19" t="str">
        <f>HYPERLINK("https://jira.itg.ti.com/browse/JACINTOREQ-38","JACINTOREQ-38")</f>
        <v>JACINTOREQ-38</v>
      </c>
      <c r="B938" s="19" t="str">
        <f>HYPERLINK("https://jira.itg.ti.com/browse/PDK-2733","PDK-2733")</f>
        <v>PDK-2733</v>
      </c>
      <c r="C938" s="18" t="s">
        <v>61</v>
      </c>
      <c r="D938" s="18" t="s">
        <v>1301</v>
      </c>
      <c r="E938" s="18" t="s">
        <v>1645</v>
      </c>
      <c r="F938" s="20" t="s">
        <v>1229</v>
      </c>
      <c r="G938" s="9" t="s">
        <v>1046</v>
      </c>
      <c r="H938" s="8" t="s">
        <v>394</v>
      </c>
      <c r="I938" s="7" t="s">
        <v>1031</v>
      </c>
    </row>
    <row r="939" spans="1:9" ht="25.5" x14ac:dyDescent="0.35">
      <c r="A939" s="19" t="str">
        <f>HYPERLINK("https://jira.itg.ti.com/browse/JACINTOREQ-38","JACINTOREQ-38")</f>
        <v>JACINTOREQ-38</v>
      </c>
      <c r="B939" s="19" t="str">
        <f>HYPERLINK("https://jira.itg.ti.com/browse/PDK-2736","PDK-2736")</f>
        <v>PDK-2736</v>
      </c>
      <c r="C939" s="18" t="s">
        <v>179</v>
      </c>
      <c r="D939" s="18" t="s">
        <v>1301</v>
      </c>
      <c r="E939" s="18" t="s">
        <v>1645</v>
      </c>
      <c r="F939" s="20" t="s">
        <v>1229</v>
      </c>
      <c r="G939" s="9" t="s">
        <v>432</v>
      </c>
      <c r="H939" s="8" t="s">
        <v>394</v>
      </c>
      <c r="I939" s="7" t="s">
        <v>1031</v>
      </c>
    </row>
    <row r="940" spans="1:9" x14ac:dyDescent="0.35">
      <c r="A940" s="19" t="str">
        <f>HYPERLINK("https://jira.itg.ti.com/browse/JACINTOREQ-387","JACINTOREQ-387")</f>
        <v>JACINTOREQ-387</v>
      </c>
      <c r="B940" s="19" t="str">
        <f>HYPERLINK("https://jira.itg.ti.com/browse/PDK-3709","PDK-3709")</f>
        <v>PDK-3709</v>
      </c>
      <c r="C940" s="18" t="s">
        <v>979</v>
      </c>
      <c r="D940" s="18" t="s">
        <v>692</v>
      </c>
      <c r="E940" s="18" t="s">
        <v>1645</v>
      </c>
      <c r="F940" s="20" t="s">
        <v>1229</v>
      </c>
      <c r="G940" s="9" t="s">
        <v>390</v>
      </c>
      <c r="H940" s="8" t="s">
        <v>394</v>
      </c>
      <c r="I940" s="7" t="s">
        <v>1031</v>
      </c>
    </row>
    <row r="941" spans="1:9" x14ac:dyDescent="0.35">
      <c r="A941" s="19" t="str">
        <f>HYPERLINK("https://jira.itg.ti.com/browse/JACINTOREQ-387","JACINTOREQ-387")</f>
        <v>JACINTOREQ-387</v>
      </c>
      <c r="B941" s="19" t="str">
        <f>HYPERLINK("https://jira.itg.ti.com/browse/PDK-3710","PDK-3710")</f>
        <v>PDK-3710</v>
      </c>
      <c r="C941" s="18" t="s">
        <v>1403</v>
      </c>
      <c r="D941" s="18" t="s">
        <v>5</v>
      </c>
      <c r="E941" s="18" t="s">
        <v>1645</v>
      </c>
      <c r="F941" s="20" t="s">
        <v>1229</v>
      </c>
      <c r="G941" s="9" t="s">
        <v>390</v>
      </c>
      <c r="H941" s="8" t="s">
        <v>394</v>
      </c>
      <c r="I941" s="7" t="s">
        <v>1031</v>
      </c>
    </row>
    <row r="942" spans="1:9" x14ac:dyDescent="0.35">
      <c r="A942" s="19" t="str">
        <f>HYPERLINK("https://jira.itg.ti.com/browse/JACINTOREQ-387","JACINTOREQ-387")</f>
        <v>JACINTOREQ-387</v>
      </c>
      <c r="B942" s="19" t="str">
        <f>HYPERLINK("https://jira.itg.ti.com/browse/PDK-3711","PDK-3711")</f>
        <v>PDK-3711</v>
      </c>
      <c r="C942" s="18" t="s">
        <v>809</v>
      </c>
      <c r="D942" s="18" t="s">
        <v>692</v>
      </c>
      <c r="E942" s="18" t="s">
        <v>1645</v>
      </c>
      <c r="F942" s="20" t="s">
        <v>1229</v>
      </c>
      <c r="G942" s="9" t="s">
        <v>390</v>
      </c>
      <c r="H942" s="8" t="s">
        <v>394</v>
      </c>
      <c r="I942" s="7" t="s">
        <v>1031</v>
      </c>
    </row>
    <row r="943" spans="1:9" x14ac:dyDescent="0.35">
      <c r="A943" s="19" t="str">
        <f>HYPERLINK("https://jira.itg.ti.com/browse/JACINTOREQ-387","JACINTOREQ-387")</f>
        <v>JACINTOREQ-387</v>
      </c>
      <c r="B943" s="19" t="str">
        <f>HYPERLINK("https://jira.itg.ti.com/browse/PDK-3712","PDK-3712")</f>
        <v>PDK-3712</v>
      </c>
      <c r="C943" s="18" t="s">
        <v>721</v>
      </c>
      <c r="D943" s="18" t="s">
        <v>692</v>
      </c>
      <c r="E943" s="18" t="s">
        <v>1645</v>
      </c>
      <c r="F943" s="20" t="s">
        <v>1229</v>
      </c>
      <c r="G943" s="9" t="s">
        <v>390</v>
      </c>
      <c r="H943" s="8" t="s">
        <v>394</v>
      </c>
      <c r="I943" s="7" t="s">
        <v>1031</v>
      </c>
    </row>
    <row r="944" spans="1:9" x14ac:dyDescent="0.35">
      <c r="A944" s="19" t="str">
        <f>HYPERLINK("https://jira.itg.ti.com/browse/JACINTOREQ-387","JACINTOREQ-387")</f>
        <v>JACINTOREQ-387</v>
      </c>
      <c r="B944" s="19" t="str">
        <f>HYPERLINK("https://jira.itg.ti.com/browse/PDK-3713","PDK-3713")</f>
        <v>PDK-3713</v>
      </c>
      <c r="C944" s="18" t="s">
        <v>791</v>
      </c>
      <c r="D944" s="18" t="s">
        <v>692</v>
      </c>
      <c r="E944" s="18" t="s">
        <v>1645</v>
      </c>
      <c r="F944" s="20" t="s">
        <v>1229</v>
      </c>
      <c r="G944" s="9" t="s">
        <v>390</v>
      </c>
      <c r="H944" s="8" t="s">
        <v>394</v>
      </c>
      <c r="I944" s="7" t="s">
        <v>1031</v>
      </c>
    </row>
    <row r="945" spans="1:9" ht="25.5" x14ac:dyDescent="0.35">
      <c r="A945" s="19" t="str">
        <f>HYPERLINK("https://jira.itg.ti.com/browse/JACINTOREQ-396","JACINTOREQ-396")</f>
        <v>JACINTOREQ-396</v>
      </c>
      <c r="B945" s="19" t="str">
        <f>HYPERLINK("https://jira.itg.ti.com/browse/PDK-5170","PDK-5170")</f>
        <v>PDK-5170</v>
      </c>
      <c r="C945" s="18" t="s">
        <v>1435</v>
      </c>
      <c r="D945" s="18" t="s">
        <v>642</v>
      </c>
      <c r="E945" s="18" t="s">
        <v>1645</v>
      </c>
      <c r="F945" s="20" t="s">
        <v>1229</v>
      </c>
      <c r="G945" s="9" t="s">
        <v>142</v>
      </c>
      <c r="H945" s="8" t="s">
        <v>394</v>
      </c>
      <c r="I945" s="7" t="s">
        <v>1031</v>
      </c>
    </row>
    <row r="946" spans="1:9" x14ac:dyDescent="0.35">
      <c r="A946" s="19" t="str">
        <f>HYPERLINK("https://jira.itg.ti.com/browse/JACINTOREQ-401","JACINTOREQ-401")</f>
        <v>JACINTOREQ-401</v>
      </c>
      <c r="B946" s="19" t="str">
        <f>HYPERLINK("https://jira.itg.ti.com/browse/PDK-2497","PDK-2497")</f>
        <v>PDK-2497</v>
      </c>
      <c r="C946" s="18" t="s">
        <v>412</v>
      </c>
      <c r="D946" s="18" t="s">
        <v>1268</v>
      </c>
      <c r="E946" s="18" t="s">
        <v>1645</v>
      </c>
      <c r="F946" s="20" t="s">
        <v>1229</v>
      </c>
      <c r="G946" s="9" t="s">
        <v>218</v>
      </c>
      <c r="H946" s="8" t="s">
        <v>394</v>
      </c>
      <c r="I946" s="7" t="s">
        <v>1031</v>
      </c>
    </row>
    <row r="947" spans="1:9" x14ac:dyDescent="0.35">
      <c r="A947" s="19" t="str">
        <f>HYPERLINK("https://jira.itg.ti.com/browse/JACINTOREQ-401","JACINTOREQ-401")</f>
        <v>JACINTOREQ-401</v>
      </c>
      <c r="B947" s="19" t="str">
        <f>HYPERLINK("https://jira.itg.ti.com/browse/PDK-2748","PDK-2748")</f>
        <v>PDK-2748</v>
      </c>
      <c r="C947" s="18" t="s">
        <v>1522</v>
      </c>
      <c r="D947" s="18" t="s">
        <v>1268</v>
      </c>
      <c r="E947" s="18" t="s">
        <v>1645</v>
      </c>
      <c r="F947" s="20" t="s">
        <v>1229</v>
      </c>
      <c r="G947" s="9" t="s">
        <v>218</v>
      </c>
      <c r="H947" s="8" t="s">
        <v>394</v>
      </c>
      <c r="I947" s="7" t="s">
        <v>1031</v>
      </c>
    </row>
    <row r="948" spans="1:9" x14ac:dyDescent="0.35">
      <c r="A948" s="19"/>
      <c r="B948" s="19"/>
      <c r="C948" s="18"/>
      <c r="D948" s="18"/>
      <c r="E948" s="18"/>
      <c r="F948" s="20"/>
      <c r="G948" s="10" t="s">
        <v>1156</v>
      </c>
      <c r="H948" s="8" t="s">
        <v>394</v>
      </c>
    </row>
    <row r="949" spans="1:9" x14ac:dyDescent="0.35">
      <c r="A949" s="19" t="str">
        <f>HYPERLINK("https://jira.itg.ti.com/browse/JACINTOREQ-401","JACINTOREQ-401")</f>
        <v>JACINTOREQ-401</v>
      </c>
      <c r="B949" s="19" t="str">
        <f>HYPERLINK("https://jira.itg.ti.com/browse/PDK-2749","PDK-2749")</f>
        <v>PDK-2749</v>
      </c>
      <c r="C949" s="18" t="s">
        <v>469</v>
      </c>
      <c r="D949" s="18" t="s">
        <v>1268</v>
      </c>
      <c r="E949" s="18" t="s">
        <v>1645</v>
      </c>
      <c r="F949" s="20" t="s">
        <v>1229</v>
      </c>
      <c r="G949" s="9" t="s">
        <v>986</v>
      </c>
      <c r="H949" s="8" t="s">
        <v>394</v>
      </c>
      <c r="I949" s="7" t="s">
        <v>1031</v>
      </c>
    </row>
    <row r="950" spans="1:9" x14ac:dyDescent="0.35">
      <c r="A950" s="19"/>
      <c r="B950" s="19"/>
      <c r="C950" s="18"/>
      <c r="D950" s="18"/>
      <c r="E950" s="18"/>
      <c r="F950" s="20"/>
      <c r="G950" s="10" t="s">
        <v>218</v>
      </c>
      <c r="H950" s="8" t="s">
        <v>394</v>
      </c>
    </row>
    <row r="951" spans="1:9" x14ac:dyDescent="0.35">
      <c r="A951" s="19" t="str">
        <f>HYPERLINK("https://jira.itg.ti.com/browse/JACINTOREQ-401","JACINTOREQ-401")</f>
        <v>JACINTOREQ-401</v>
      </c>
      <c r="B951" s="19" t="str">
        <f>HYPERLINK("https://jira.itg.ti.com/browse/PDK-2750","PDK-2750")</f>
        <v>PDK-2750</v>
      </c>
      <c r="C951" s="18" t="s">
        <v>931</v>
      </c>
      <c r="D951" s="18" t="s">
        <v>1268</v>
      </c>
      <c r="E951" s="18" t="s">
        <v>1645</v>
      </c>
      <c r="F951" s="20" t="s">
        <v>1229</v>
      </c>
      <c r="G951" s="9" t="s">
        <v>218</v>
      </c>
      <c r="H951" s="8" t="s">
        <v>394</v>
      </c>
      <c r="I951" s="7" t="s">
        <v>1031</v>
      </c>
    </row>
    <row r="952" spans="1:9" x14ac:dyDescent="0.35">
      <c r="A952" s="14"/>
      <c r="B952" s="14"/>
      <c r="C952" s="14"/>
      <c r="D952" s="14"/>
      <c r="E952" s="14"/>
      <c r="F952" s="14"/>
      <c r="G952" s="10" t="s">
        <v>1156</v>
      </c>
      <c r="H952" s="8" t="s">
        <v>394</v>
      </c>
    </row>
    <row r="953" spans="1:9" x14ac:dyDescent="0.35">
      <c r="A953" s="19"/>
      <c r="B953" s="19"/>
      <c r="C953" s="18"/>
      <c r="D953" s="18"/>
      <c r="E953" s="18"/>
      <c r="F953" s="20"/>
      <c r="G953" s="10" t="s">
        <v>1442</v>
      </c>
      <c r="H953" s="8" t="s">
        <v>394</v>
      </c>
    </row>
    <row r="954" spans="1:9" x14ac:dyDescent="0.35">
      <c r="A954" s="19" t="str">
        <f>HYPERLINK("https://jira.itg.ti.com/browse/JACINTOREQ-401","JACINTOREQ-401")</f>
        <v>JACINTOREQ-401</v>
      </c>
      <c r="B954" s="19" t="str">
        <f>HYPERLINK("https://jira.itg.ti.com/browse/PDK-2752","PDK-2752")</f>
        <v>PDK-2752</v>
      </c>
      <c r="C954" s="18" t="s">
        <v>666</v>
      </c>
      <c r="D954" s="18" t="s">
        <v>1268</v>
      </c>
      <c r="E954" s="18" t="s">
        <v>1645</v>
      </c>
      <c r="F954" s="20" t="s">
        <v>1229</v>
      </c>
      <c r="G954" s="9" t="s">
        <v>334</v>
      </c>
      <c r="H954" s="8" t="s">
        <v>394</v>
      </c>
      <c r="I954" s="7" t="s">
        <v>1031</v>
      </c>
    </row>
    <row r="955" spans="1:9" x14ac:dyDescent="0.35">
      <c r="A955" s="19" t="str">
        <f>HYPERLINK("https://jira.itg.ti.com/browse/JACINTOREQ-401","JACINTOREQ-401")</f>
        <v>JACINTOREQ-401</v>
      </c>
      <c r="B955" s="19" t="str">
        <f>HYPERLINK("https://jira.itg.ti.com/browse/PDK-2754","PDK-2754")</f>
        <v>PDK-2754</v>
      </c>
      <c r="C955" s="18" t="s">
        <v>161</v>
      </c>
      <c r="D955" s="18" t="s">
        <v>1268</v>
      </c>
      <c r="E955" s="18" t="s">
        <v>1645</v>
      </c>
      <c r="F955" s="20" t="s">
        <v>1229</v>
      </c>
      <c r="G955" s="9" t="s">
        <v>218</v>
      </c>
      <c r="H955" s="8" t="s">
        <v>394</v>
      </c>
      <c r="I955" s="7" t="s">
        <v>1031</v>
      </c>
    </row>
    <row r="956" spans="1:9" x14ac:dyDescent="0.35">
      <c r="A956" s="19"/>
      <c r="B956" s="19"/>
      <c r="C956" s="18"/>
      <c r="D956" s="18"/>
      <c r="E956" s="18"/>
      <c r="F956" s="20"/>
      <c r="G956" s="10" t="s">
        <v>831</v>
      </c>
      <c r="H956" s="8" t="s">
        <v>394</v>
      </c>
    </row>
    <row r="957" spans="1:9" ht="25.5" x14ac:dyDescent="0.35">
      <c r="A957" s="19" t="str">
        <f t="shared" ref="A957:A962" si="16">HYPERLINK("https://jira.itg.ti.com/browse/JACINTOREQ-402","JACINTOREQ-402")</f>
        <v>JACINTOREQ-402</v>
      </c>
      <c r="B957" s="19" t="str">
        <f>HYPERLINK("https://jira.itg.ti.com/browse/PDK-2500","PDK-2500")</f>
        <v>PDK-2500</v>
      </c>
      <c r="C957" s="18" t="s">
        <v>1344</v>
      </c>
      <c r="D957" s="18" t="s">
        <v>1268</v>
      </c>
      <c r="E957" s="18" t="s">
        <v>1645</v>
      </c>
      <c r="F957" s="20" t="s">
        <v>1229</v>
      </c>
      <c r="G957" s="9" t="s">
        <v>751</v>
      </c>
      <c r="H957" s="8" t="s">
        <v>394</v>
      </c>
      <c r="I957" s="7" t="s">
        <v>1031</v>
      </c>
    </row>
    <row r="958" spans="1:9" x14ac:dyDescent="0.35">
      <c r="A958" s="19" t="str">
        <f t="shared" si="16"/>
        <v>JACINTOREQ-402</v>
      </c>
      <c r="B958" s="19" t="str">
        <f>HYPERLINK("https://jira.itg.ti.com/browse/PDK-2686","PDK-2686")</f>
        <v>PDK-2686</v>
      </c>
      <c r="C958" s="18" t="s">
        <v>1133</v>
      </c>
      <c r="D958" s="18" t="s">
        <v>1268</v>
      </c>
      <c r="E958" s="18" t="s">
        <v>1645</v>
      </c>
      <c r="F958" s="20" t="s">
        <v>1229</v>
      </c>
      <c r="G958" s="9" t="s">
        <v>1040</v>
      </c>
      <c r="H958" s="8" t="s">
        <v>394</v>
      </c>
      <c r="I958" s="7" t="s">
        <v>1031</v>
      </c>
    </row>
    <row r="959" spans="1:9" x14ac:dyDescent="0.35">
      <c r="A959" s="19" t="str">
        <f t="shared" si="16"/>
        <v>JACINTOREQ-402</v>
      </c>
      <c r="B959" s="19" t="str">
        <f>HYPERLINK("https://jira.itg.ti.com/browse/PDK-2687","PDK-2687")</f>
        <v>PDK-2687</v>
      </c>
      <c r="C959" s="18" t="s">
        <v>106</v>
      </c>
      <c r="D959" s="18" t="s">
        <v>1268</v>
      </c>
      <c r="E959" s="18" t="s">
        <v>1645</v>
      </c>
      <c r="F959" s="20" t="s">
        <v>1229</v>
      </c>
      <c r="G959" s="9" t="s">
        <v>911</v>
      </c>
      <c r="H959" s="8" t="s">
        <v>394</v>
      </c>
      <c r="I959" s="7" t="s">
        <v>1031</v>
      </c>
    </row>
    <row r="960" spans="1:9" ht="25.5" x14ac:dyDescent="0.35">
      <c r="A960" s="19" t="str">
        <f t="shared" si="16"/>
        <v>JACINTOREQ-402</v>
      </c>
      <c r="B960" s="19" t="str">
        <f>HYPERLINK("https://jira.itg.ti.com/browse/PDK-2688","PDK-2688")</f>
        <v>PDK-2688</v>
      </c>
      <c r="C960" s="18" t="s">
        <v>1451</v>
      </c>
      <c r="D960" s="18" t="s">
        <v>1268</v>
      </c>
      <c r="E960" s="18" t="s">
        <v>1645</v>
      </c>
      <c r="F960" s="20" t="s">
        <v>1229</v>
      </c>
      <c r="G960" s="9" t="s">
        <v>751</v>
      </c>
      <c r="H960" s="8" t="s">
        <v>394</v>
      </c>
      <c r="I960" s="7" t="s">
        <v>1031</v>
      </c>
    </row>
    <row r="961" spans="1:9" ht="25.5" x14ac:dyDescent="0.35">
      <c r="A961" s="19" t="str">
        <f t="shared" si="16"/>
        <v>JACINTOREQ-402</v>
      </c>
      <c r="B961" s="19" t="str">
        <f>HYPERLINK("https://jira.itg.ti.com/browse/PDK-2689","PDK-2689")</f>
        <v>PDK-2689</v>
      </c>
      <c r="C961" s="18" t="s">
        <v>515</v>
      </c>
      <c r="D961" s="18" t="s">
        <v>1268</v>
      </c>
      <c r="E961" s="18" t="s">
        <v>1645</v>
      </c>
      <c r="F961" s="20" t="s">
        <v>1229</v>
      </c>
      <c r="G961" s="9" t="s">
        <v>787</v>
      </c>
      <c r="H961" s="8" t="s">
        <v>394</v>
      </c>
      <c r="I961" s="7" t="s">
        <v>1031</v>
      </c>
    </row>
    <row r="962" spans="1:9" ht="25.5" x14ac:dyDescent="0.35">
      <c r="A962" s="19" t="str">
        <f t="shared" si="16"/>
        <v>JACINTOREQ-402</v>
      </c>
      <c r="B962" s="19" t="str">
        <f>HYPERLINK("https://jira.itg.ti.com/browse/PDK-2690","PDK-2690")</f>
        <v>PDK-2690</v>
      </c>
      <c r="C962" s="18" t="s">
        <v>985</v>
      </c>
      <c r="D962" s="18" t="s">
        <v>1268</v>
      </c>
      <c r="E962" s="18" t="s">
        <v>1645</v>
      </c>
      <c r="F962" s="20" t="s">
        <v>1229</v>
      </c>
      <c r="G962" s="9" t="s">
        <v>8</v>
      </c>
      <c r="H962" s="8" t="s">
        <v>394</v>
      </c>
      <c r="I962" s="7" t="s">
        <v>1031</v>
      </c>
    </row>
    <row r="963" spans="1:9" ht="25.5" x14ac:dyDescent="0.35">
      <c r="A963" s="19"/>
      <c r="B963" s="19"/>
      <c r="C963" s="18"/>
      <c r="D963" s="18"/>
      <c r="E963" s="18"/>
      <c r="F963" s="20"/>
      <c r="G963" s="10" t="s">
        <v>453</v>
      </c>
      <c r="H963" s="8" t="s">
        <v>394</v>
      </c>
    </row>
    <row r="964" spans="1:9" ht="25.5" x14ac:dyDescent="0.35">
      <c r="A964" s="19" t="str">
        <f>HYPERLINK("https://jira.itg.ti.com/browse/JACINTOREQ-402","JACINTOREQ-402")</f>
        <v>JACINTOREQ-402</v>
      </c>
      <c r="B964" s="19" t="str">
        <f>HYPERLINK("https://jira.itg.ti.com/browse/PDK-2691","PDK-2691")</f>
        <v>PDK-2691</v>
      </c>
      <c r="C964" s="18" t="s">
        <v>792</v>
      </c>
      <c r="D964" s="18" t="s">
        <v>1268</v>
      </c>
      <c r="E964" s="18" t="s">
        <v>1645</v>
      </c>
      <c r="F964" s="20" t="s">
        <v>1229</v>
      </c>
      <c r="G964" s="9" t="s">
        <v>751</v>
      </c>
      <c r="H964" s="8" t="s">
        <v>394</v>
      </c>
      <c r="I964" s="7" t="s">
        <v>1031</v>
      </c>
    </row>
    <row r="965" spans="1:9" x14ac:dyDescent="0.35">
      <c r="A965" s="14"/>
      <c r="B965" s="14"/>
      <c r="C965" s="14"/>
      <c r="D965" s="14"/>
      <c r="E965" s="14"/>
      <c r="F965" s="14"/>
      <c r="G965" s="10" t="s">
        <v>623</v>
      </c>
      <c r="H965" s="8" t="s">
        <v>394</v>
      </c>
    </row>
    <row r="966" spans="1:9" ht="25.5" x14ac:dyDescent="0.35">
      <c r="A966" s="19"/>
      <c r="B966" s="19"/>
      <c r="C966" s="18"/>
      <c r="D966" s="18"/>
      <c r="E966" s="18"/>
      <c r="F966" s="20"/>
      <c r="G966" s="10" t="s">
        <v>1145</v>
      </c>
      <c r="H966" s="8" t="s">
        <v>394</v>
      </c>
    </row>
    <row r="967" spans="1:9" ht="25.5" x14ac:dyDescent="0.35">
      <c r="A967" s="19" t="str">
        <f>HYPERLINK("https://jira.itg.ti.com/browse/JACINTOREQ-402","JACINTOREQ-402")</f>
        <v>JACINTOREQ-402</v>
      </c>
      <c r="B967" s="19" t="str">
        <f>HYPERLINK("https://jira.itg.ti.com/browse/PDK-2692","PDK-2692")</f>
        <v>PDK-2692</v>
      </c>
      <c r="C967" s="18" t="s">
        <v>1652</v>
      </c>
      <c r="D967" s="18" t="s">
        <v>1268</v>
      </c>
      <c r="E967" s="18" t="s">
        <v>1645</v>
      </c>
      <c r="F967" s="20" t="s">
        <v>1229</v>
      </c>
      <c r="G967" s="9" t="s">
        <v>751</v>
      </c>
      <c r="H967" s="8" t="s">
        <v>394</v>
      </c>
      <c r="I967" s="7" t="s">
        <v>1031</v>
      </c>
    </row>
    <row r="968" spans="1:9" x14ac:dyDescent="0.35">
      <c r="A968" s="19" t="str">
        <f>HYPERLINK("https://jira.itg.ti.com/browse/JACINTOREQ-402","JACINTOREQ-402")</f>
        <v>JACINTOREQ-402</v>
      </c>
      <c r="B968" s="19" t="str">
        <f>HYPERLINK("https://jira.itg.ti.com/browse/PDK-2694","PDK-2694")</f>
        <v>PDK-2694</v>
      </c>
      <c r="C968" s="18" t="s">
        <v>1663</v>
      </c>
      <c r="D968" s="18" t="s">
        <v>1268</v>
      </c>
      <c r="E968" s="18" t="s">
        <v>1645</v>
      </c>
      <c r="F968" s="20" t="s">
        <v>1229</v>
      </c>
      <c r="G968" s="9" t="s">
        <v>623</v>
      </c>
      <c r="H968" s="8" t="s">
        <v>394</v>
      </c>
      <c r="I968" s="7" t="s">
        <v>1031</v>
      </c>
    </row>
    <row r="969" spans="1:9" x14ac:dyDescent="0.35">
      <c r="A969" s="19" t="str">
        <f t="shared" ref="A969:A988" si="17">HYPERLINK("https://jira.itg.ti.com/browse/JACINTOREQ-411","JACINTOREQ-411")</f>
        <v>JACINTOREQ-411</v>
      </c>
      <c r="B969" s="19" t="str">
        <f>HYPERLINK("https://jira.itg.ti.com/browse/PDK-5161","PDK-5161")</f>
        <v>PDK-5161</v>
      </c>
      <c r="C969" s="18" t="s">
        <v>77</v>
      </c>
      <c r="D969" s="18" t="s">
        <v>642</v>
      </c>
      <c r="E969" s="18" t="s">
        <v>1645</v>
      </c>
      <c r="F969" s="20" t="s">
        <v>1229</v>
      </c>
      <c r="G969" s="9" t="s">
        <v>480</v>
      </c>
      <c r="H969" s="8" t="s">
        <v>394</v>
      </c>
      <c r="I969" s="7" t="s">
        <v>1031</v>
      </c>
    </row>
    <row r="970" spans="1:9" x14ac:dyDescent="0.35">
      <c r="A970" s="19" t="str">
        <f t="shared" si="17"/>
        <v>JACINTOREQ-411</v>
      </c>
      <c r="B970" s="19" t="str">
        <f>HYPERLINK("https://jira.itg.ti.com/browse/PDK-5163","PDK-5163")</f>
        <v>PDK-5163</v>
      </c>
      <c r="C970" s="18" t="s">
        <v>932</v>
      </c>
      <c r="D970" s="18" t="s">
        <v>642</v>
      </c>
      <c r="E970" s="18" t="s">
        <v>1645</v>
      </c>
      <c r="F970" s="20" t="s">
        <v>1229</v>
      </c>
      <c r="G970" s="9" t="s">
        <v>480</v>
      </c>
      <c r="H970" s="8" t="s">
        <v>394</v>
      </c>
      <c r="I970" s="7" t="s">
        <v>1031</v>
      </c>
    </row>
    <row r="971" spans="1:9" x14ac:dyDescent="0.35">
      <c r="A971" s="19" t="str">
        <f t="shared" si="17"/>
        <v>JACINTOREQ-411</v>
      </c>
      <c r="B971" s="19" t="str">
        <f>HYPERLINK("https://jira.itg.ti.com/browse/PDK-5165","PDK-5165")</f>
        <v>PDK-5165</v>
      </c>
      <c r="C971" s="18" t="s">
        <v>885</v>
      </c>
      <c r="D971" s="18" t="s">
        <v>642</v>
      </c>
      <c r="E971" s="18" t="s">
        <v>1645</v>
      </c>
      <c r="F971" s="20" t="s">
        <v>1229</v>
      </c>
      <c r="G971" s="9" t="s">
        <v>480</v>
      </c>
      <c r="H971" s="8" t="s">
        <v>394</v>
      </c>
      <c r="I971" s="7" t="s">
        <v>1031</v>
      </c>
    </row>
    <row r="972" spans="1:9" x14ac:dyDescent="0.35">
      <c r="A972" s="19" t="str">
        <f t="shared" si="17"/>
        <v>JACINTOREQ-411</v>
      </c>
      <c r="B972" s="19" t="str">
        <f>HYPERLINK("https://jira.itg.ti.com/browse/PDK-5166","PDK-5166")</f>
        <v>PDK-5166</v>
      </c>
      <c r="C972" s="18" t="s">
        <v>889</v>
      </c>
      <c r="D972" s="18" t="s">
        <v>642</v>
      </c>
      <c r="E972" s="18" t="s">
        <v>1645</v>
      </c>
      <c r="F972" s="20" t="s">
        <v>1229</v>
      </c>
      <c r="G972" s="9" t="s">
        <v>480</v>
      </c>
      <c r="H972" s="8" t="s">
        <v>394</v>
      </c>
      <c r="I972" s="7" t="s">
        <v>1031</v>
      </c>
    </row>
    <row r="973" spans="1:9" x14ac:dyDescent="0.35">
      <c r="A973" s="19" t="str">
        <f t="shared" si="17"/>
        <v>JACINTOREQ-411</v>
      </c>
      <c r="B973" s="19" t="str">
        <f>HYPERLINK("https://jira.itg.ti.com/browse/PDK-5167","PDK-5167")</f>
        <v>PDK-5167</v>
      </c>
      <c r="C973" s="18" t="s">
        <v>1120</v>
      </c>
      <c r="D973" s="18" t="s">
        <v>642</v>
      </c>
      <c r="E973" s="18" t="s">
        <v>1645</v>
      </c>
      <c r="F973" s="20" t="s">
        <v>1229</v>
      </c>
      <c r="G973" s="9" t="s">
        <v>480</v>
      </c>
      <c r="H973" s="8" t="s">
        <v>394</v>
      </c>
      <c r="I973" s="7" t="s">
        <v>1031</v>
      </c>
    </row>
    <row r="974" spans="1:9" x14ac:dyDescent="0.35">
      <c r="A974" s="19" t="str">
        <f t="shared" si="17"/>
        <v>JACINTOREQ-411</v>
      </c>
      <c r="B974" s="19" t="str">
        <f>HYPERLINK("https://jira.itg.ti.com/browse/PDK-5169","PDK-5169")</f>
        <v>PDK-5169</v>
      </c>
      <c r="C974" s="18" t="s">
        <v>1466</v>
      </c>
      <c r="D974" s="18" t="s">
        <v>642</v>
      </c>
      <c r="E974" s="18" t="s">
        <v>1645</v>
      </c>
      <c r="F974" s="20" t="s">
        <v>1229</v>
      </c>
      <c r="G974" s="9" t="s">
        <v>480</v>
      </c>
      <c r="H974" s="8" t="s">
        <v>394</v>
      </c>
      <c r="I974" s="7" t="s">
        <v>1031</v>
      </c>
    </row>
    <row r="975" spans="1:9" x14ac:dyDescent="0.35">
      <c r="A975" s="19" t="str">
        <f t="shared" si="17"/>
        <v>JACINTOREQ-411</v>
      </c>
      <c r="B975" s="19" t="str">
        <f>HYPERLINK("https://jira.itg.ti.com/browse/PDK-5171","PDK-5171")</f>
        <v>PDK-5171</v>
      </c>
      <c r="C975" s="18" t="s">
        <v>336</v>
      </c>
      <c r="D975" s="18" t="s">
        <v>642</v>
      </c>
      <c r="E975" s="18" t="s">
        <v>1645</v>
      </c>
      <c r="F975" s="20" t="s">
        <v>1229</v>
      </c>
      <c r="G975" s="9" t="s">
        <v>480</v>
      </c>
      <c r="H975" s="8" t="s">
        <v>394</v>
      </c>
      <c r="I975" s="7" t="s">
        <v>1031</v>
      </c>
    </row>
    <row r="976" spans="1:9" x14ac:dyDescent="0.35">
      <c r="A976" s="19" t="str">
        <f t="shared" si="17"/>
        <v>JACINTOREQ-411</v>
      </c>
      <c r="B976" s="19" t="str">
        <f>HYPERLINK("https://jira.itg.ti.com/browse/PDK-5172","PDK-5172")</f>
        <v>PDK-5172</v>
      </c>
      <c r="C976" s="18" t="s">
        <v>121</v>
      </c>
      <c r="D976" s="18" t="s">
        <v>642</v>
      </c>
      <c r="E976" s="18" t="s">
        <v>1645</v>
      </c>
      <c r="F976" s="20" t="s">
        <v>1229</v>
      </c>
      <c r="G976" s="9" t="s">
        <v>480</v>
      </c>
      <c r="H976" s="8" t="s">
        <v>394</v>
      </c>
      <c r="I976" s="7" t="s">
        <v>1031</v>
      </c>
    </row>
    <row r="977" spans="1:9" x14ac:dyDescent="0.35">
      <c r="A977" s="19" t="str">
        <f t="shared" si="17"/>
        <v>JACINTOREQ-411</v>
      </c>
      <c r="B977" s="19" t="str">
        <f>HYPERLINK("https://jira.itg.ti.com/browse/PDK-5174","PDK-5174")</f>
        <v>PDK-5174</v>
      </c>
      <c r="C977" s="18" t="s">
        <v>1438</v>
      </c>
      <c r="D977" s="18" t="s">
        <v>642</v>
      </c>
      <c r="E977" s="18" t="s">
        <v>1645</v>
      </c>
      <c r="F977" s="20" t="s">
        <v>1229</v>
      </c>
      <c r="G977" s="9" t="s">
        <v>480</v>
      </c>
      <c r="H977" s="8" t="s">
        <v>394</v>
      </c>
      <c r="I977" s="7" t="s">
        <v>1031</v>
      </c>
    </row>
    <row r="978" spans="1:9" x14ac:dyDescent="0.35">
      <c r="A978" s="19" t="str">
        <f t="shared" si="17"/>
        <v>JACINTOREQ-411</v>
      </c>
      <c r="B978" s="19" t="str">
        <f>HYPERLINK("https://jira.itg.ti.com/browse/PDK-5176","PDK-5176")</f>
        <v>PDK-5176</v>
      </c>
      <c r="C978" s="18" t="s">
        <v>205</v>
      </c>
      <c r="D978" s="18" t="s">
        <v>642</v>
      </c>
      <c r="E978" s="18" t="s">
        <v>1645</v>
      </c>
      <c r="F978" s="20" t="s">
        <v>1229</v>
      </c>
      <c r="G978" s="9" t="s">
        <v>480</v>
      </c>
      <c r="H978" s="8" t="s">
        <v>394</v>
      </c>
      <c r="I978" s="7" t="s">
        <v>1031</v>
      </c>
    </row>
    <row r="979" spans="1:9" x14ac:dyDescent="0.35">
      <c r="A979" s="19" t="str">
        <f t="shared" si="17"/>
        <v>JACINTOREQ-411</v>
      </c>
      <c r="B979" s="19" t="str">
        <f>HYPERLINK("https://jira.itg.ti.com/browse/PDK-5177","PDK-5177")</f>
        <v>PDK-5177</v>
      </c>
      <c r="C979" s="18" t="s">
        <v>662</v>
      </c>
      <c r="D979" s="18" t="s">
        <v>642</v>
      </c>
      <c r="E979" s="18" t="s">
        <v>1645</v>
      </c>
      <c r="F979" s="20" t="s">
        <v>1229</v>
      </c>
      <c r="G979" s="9" t="s">
        <v>480</v>
      </c>
      <c r="H979" s="8" t="s">
        <v>394</v>
      </c>
      <c r="I979" s="7" t="s">
        <v>1031</v>
      </c>
    </row>
    <row r="980" spans="1:9" x14ac:dyDescent="0.35">
      <c r="A980" s="19" t="str">
        <f t="shared" si="17"/>
        <v>JACINTOREQ-411</v>
      </c>
      <c r="B980" s="19" t="str">
        <f>HYPERLINK("https://jira.itg.ti.com/browse/PDK-5181","PDK-5181")</f>
        <v>PDK-5181</v>
      </c>
      <c r="C980" s="18" t="s">
        <v>1474</v>
      </c>
      <c r="D980" s="18" t="s">
        <v>642</v>
      </c>
      <c r="E980" s="18" t="s">
        <v>1645</v>
      </c>
      <c r="F980" s="20" t="s">
        <v>1229</v>
      </c>
      <c r="G980" s="9" t="s">
        <v>480</v>
      </c>
      <c r="H980" s="8" t="s">
        <v>394</v>
      </c>
      <c r="I980" s="7" t="s">
        <v>1031</v>
      </c>
    </row>
    <row r="981" spans="1:9" x14ac:dyDescent="0.35">
      <c r="A981" s="19" t="str">
        <f t="shared" si="17"/>
        <v>JACINTOREQ-411</v>
      </c>
      <c r="B981" s="19" t="str">
        <f>HYPERLINK("https://jira.itg.ti.com/browse/PDK-5183","PDK-5183")</f>
        <v>PDK-5183</v>
      </c>
      <c r="C981" s="18" t="s">
        <v>554</v>
      </c>
      <c r="D981" s="18" t="s">
        <v>642</v>
      </c>
      <c r="E981" s="18" t="s">
        <v>1645</v>
      </c>
      <c r="F981" s="20" t="s">
        <v>1229</v>
      </c>
      <c r="G981" s="9" t="s">
        <v>480</v>
      </c>
      <c r="H981" s="8" t="s">
        <v>394</v>
      </c>
      <c r="I981" s="7" t="s">
        <v>1031</v>
      </c>
    </row>
    <row r="982" spans="1:9" x14ac:dyDescent="0.35">
      <c r="A982" s="19" t="str">
        <f t="shared" si="17"/>
        <v>JACINTOREQ-411</v>
      </c>
      <c r="B982" s="19" t="str">
        <f>HYPERLINK("https://jira.itg.ti.com/browse/PDK-5187","PDK-5187")</f>
        <v>PDK-5187</v>
      </c>
      <c r="C982" s="18" t="s">
        <v>1548</v>
      </c>
      <c r="D982" s="18" t="s">
        <v>642</v>
      </c>
      <c r="E982" s="18" t="s">
        <v>1645</v>
      </c>
      <c r="F982" s="20" t="s">
        <v>1229</v>
      </c>
      <c r="G982" s="9" t="s">
        <v>480</v>
      </c>
      <c r="H982" s="8" t="s">
        <v>394</v>
      </c>
      <c r="I982" s="7" t="s">
        <v>1031</v>
      </c>
    </row>
    <row r="983" spans="1:9" x14ac:dyDescent="0.35">
      <c r="A983" s="19" t="str">
        <f t="shared" si="17"/>
        <v>JACINTOREQ-411</v>
      </c>
      <c r="B983" s="19" t="str">
        <f>HYPERLINK("https://jira.itg.ti.com/browse/PDK-5188","PDK-5188")</f>
        <v>PDK-5188</v>
      </c>
      <c r="C983" s="18" t="s">
        <v>903</v>
      </c>
      <c r="D983" s="18" t="s">
        <v>642</v>
      </c>
      <c r="E983" s="18" t="s">
        <v>1645</v>
      </c>
      <c r="F983" s="20" t="s">
        <v>1229</v>
      </c>
      <c r="G983" s="9" t="s">
        <v>480</v>
      </c>
      <c r="H983" s="8" t="s">
        <v>394</v>
      </c>
      <c r="I983" s="7" t="s">
        <v>1031</v>
      </c>
    </row>
    <row r="984" spans="1:9" x14ac:dyDescent="0.35">
      <c r="A984" s="19" t="str">
        <f t="shared" si="17"/>
        <v>JACINTOREQ-411</v>
      </c>
      <c r="B984" s="19" t="str">
        <f>HYPERLINK("https://jira.itg.ti.com/browse/PDK-5189","PDK-5189")</f>
        <v>PDK-5189</v>
      </c>
      <c r="C984" s="18" t="s">
        <v>424</v>
      </c>
      <c r="D984" s="18" t="s">
        <v>642</v>
      </c>
      <c r="E984" s="18" t="s">
        <v>1645</v>
      </c>
      <c r="F984" s="20" t="s">
        <v>1229</v>
      </c>
      <c r="G984" s="9" t="s">
        <v>480</v>
      </c>
      <c r="H984" s="8" t="s">
        <v>394</v>
      </c>
      <c r="I984" s="7" t="s">
        <v>1031</v>
      </c>
    </row>
    <row r="985" spans="1:9" x14ac:dyDescent="0.35">
      <c r="A985" s="19" t="str">
        <f t="shared" si="17"/>
        <v>JACINTOREQ-411</v>
      </c>
      <c r="B985" s="19" t="str">
        <f>HYPERLINK("https://jira.itg.ti.com/browse/PDK-5190","PDK-5190")</f>
        <v>PDK-5190</v>
      </c>
      <c r="C985" s="18" t="s">
        <v>1303</v>
      </c>
      <c r="D985" s="18" t="s">
        <v>642</v>
      </c>
      <c r="E985" s="18" t="s">
        <v>1645</v>
      </c>
      <c r="F985" s="20" t="s">
        <v>1229</v>
      </c>
      <c r="G985" s="9" t="s">
        <v>480</v>
      </c>
      <c r="H985" s="8" t="s">
        <v>394</v>
      </c>
      <c r="I985" s="7" t="s">
        <v>1031</v>
      </c>
    </row>
    <row r="986" spans="1:9" x14ac:dyDescent="0.35">
      <c r="A986" s="19" t="str">
        <f t="shared" si="17"/>
        <v>JACINTOREQ-411</v>
      </c>
      <c r="B986" s="19" t="str">
        <f>HYPERLINK("https://jira.itg.ti.com/browse/PDK-5191","PDK-5191")</f>
        <v>PDK-5191</v>
      </c>
      <c r="C986" s="18" t="s">
        <v>752</v>
      </c>
      <c r="D986" s="18" t="s">
        <v>642</v>
      </c>
      <c r="E986" s="18" t="s">
        <v>1645</v>
      </c>
      <c r="F986" s="20" t="s">
        <v>1229</v>
      </c>
      <c r="G986" s="9" t="s">
        <v>480</v>
      </c>
      <c r="H986" s="8" t="s">
        <v>394</v>
      </c>
      <c r="I986" s="7" t="s">
        <v>1031</v>
      </c>
    </row>
    <row r="987" spans="1:9" x14ac:dyDescent="0.35">
      <c r="A987" s="19" t="str">
        <f t="shared" si="17"/>
        <v>JACINTOREQ-411</v>
      </c>
      <c r="B987" s="19" t="str">
        <f>HYPERLINK("https://jira.itg.ti.com/browse/PDK-5197","PDK-5197")</f>
        <v>PDK-5197</v>
      </c>
      <c r="C987" s="18" t="s">
        <v>1639</v>
      </c>
      <c r="D987" s="18" t="s">
        <v>642</v>
      </c>
      <c r="E987" s="18" t="s">
        <v>1645</v>
      </c>
      <c r="F987" s="20" t="s">
        <v>1229</v>
      </c>
      <c r="G987" s="9" t="s">
        <v>480</v>
      </c>
      <c r="H987" s="8" t="s">
        <v>394</v>
      </c>
      <c r="I987" s="7" t="s">
        <v>1031</v>
      </c>
    </row>
    <row r="988" spans="1:9" x14ac:dyDescent="0.35">
      <c r="A988" s="19" t="str">
        <f t="shared" si="17"/>
        <v>JACINTOREQ-411</v>
      </c>
      <c r="B988" s="19" t="str">
        <f>HYPERLINK("https://jira.itg.ti.com/browse/PDK-5208","PDK-5208")</f>
        <v>PDK-5208</v>
      </c>
      <c r="C988" s="18" t="s">
        <v>71</v>
      </c>
      <c r="D988" s="18" t="s">
        <v>642</v>
      </c>
      <c r="E988" s="18" t="s">
        <v>1645</v>
      </c>
      <c r="F988" s="20" t="s">
        <v>1229</v>
      </c>
      <c r="G988" s="9" t="s">
        <v>480</v>
      </c>
      <c r="H988" s="8" t="s">
        <v>394</v>
      </c>
      <c r="I988" s="7" t="s">
        <v>1031</v>
      </c>
    </row>
    <row r="989" spans="1:9" ht="25.5" x14ac:dyDescent="0.35">
      <c r="A989" s="18" t="s">
        <v>501</v>
      </c>
      <c r="B989" s="19" t="str">
        <f>HYPERLINK("https://jira.itg.ti.com/browse/PDK-5332","PDK-5332")</f>
        <v>PDK-5332</v>
      </c>
      <c r="C989" s="18" t="s">
        <v>1669</v>
      </c>
      <c r="D989" s="18" t="s">
        <v>210</v>
      </c>
      <c r="E989" s="18" t="s">
        <v>1645</v>
      </c>
      <c r="F989" s="20" t="s">
        <v>1229</v>
      </c>
      <c r="G989" s="9" t="s">
        <v>1660</v>
      </c>
      <c r="H989" s="8" t="s">
        <v>394</v>
      </c>
      <c r="I989" s="7" t="s">
        <v>1031</v>
      </c>
    </row>
    <row r="990" spans="1:9" ht="25.5" x14ac:dyDescent="0.35">
      <c r="A990" s="18" t="s">
        <v>501</v>
      </c>
      <c r="B990" s="19" t="str">
        <f>HYPERLINK("https://jira.itg.ti.com/browse/PDK-5333","PDK-5333")</f>
        <v>PDK-5333</v>
      </c>
      <c r="C990" s="18" t="s">
        <v>1090</v>
      </c>
      <c r="D990" s="18" t="s">
        <v>210</v>
      </c>
      <c r="E990" s="18" t="s">
        <v>1645</v>
      </c>
      <c r="F990" s="20" t="s">
        <v>1229</v>
      </c>
      <c r="G990" s="9" t="s">
        <v>483</v>
      </c>
      <c r="H990" s="8" t="s">
        <v>394</v>
      </c>
      <c r="I990" s="7" t="s">
        <v>1031</v>
      </c>
    </row>
    <row r="991" spans="1:9" x14ac:dyDescent="0.35">
      <c r="A991" s="18" t="s">
        <v>501</v>
      </c>
      <c r="B991" s="19" t="str">
        <f>HYPERLINK("https://jira.itg.ti.com/browse/PDK-5334","PDK-5334")</f>
        <v>PDK-5334</v>
      </c>
      <c r="C991" s="18" t="s">
        <v>310</v>
      </c>
      <c r="D991" s="18" t="s">
        <v>210</v>
      </c>
      <c r="E991" s="18" t="s">
        <v>1645</v>
      </c>
      <c r="F991" s="22" t="s">
        <v>552</v>
      </c>
      <c r="G991" s="9" t="s">
        <v>1430</v>
      </c>
      <c r="H991" s="12" t="s">
        <v>1241</v>
      </c>
      <c r="I991" s="7" t="s">
        <v>1031</v>
      </c>
    </row>
    <row r="992" spans="1:9" x14ac:dyDescent="0.35">
      <c r="A992" s="14"/>
      <c r="B992" s="14"/>
      <c r="C992" s="14"/>
      <c r="D992" s="14"/>
      <c r="E992" s="14"/>
      <c r="F992" s="14"/>
      <c r="G992" s="10" t="s">
        <v>686</v>
      </c>
      <c r="H992" s="8" t="s">
        <v>394</v>
      </c>
    </row>
    <row r="993" spans="1:9" x14ac:dyDescent="0.35">
      <c r="A993" s="18"/>
      <c r="B993" s="19"/>
      <c r="C993" s="18"/>
      <c r="D993" s="18"/>
      <c r="E993" s="18"/>
      <c r="F993" s="22"/>
      <c r="G993" s="10" t="s">
        <v>954</v>
      </c>
      <c r="H993" s="11" t="s">
        <v>711</v>
      </c>
    </row>
    <row r="994" spans="1:9" ht="25.5" x14ac:dyDescent="0.35">
      <c r="A994" s="18" t="s">
        <v>501</v>
      </c>
      <c r="B994" s="19" t="str">
        <f>HYPERLINK("https://jira.itg.ti.com/browse/PDK-5335","PDK-5335")</f>
        <v>PDK-5335</v>
      </c>
      <c r="C994" s="18" t="s">
        <v>1142</v>
      </c>
      <c r="D994" s="18" t="s">
        <v>210</v>
      </c>
      <c r="E994" s="18" t="s">
        <v>1645</v>
      </c>
      <c r="F994" s="20" t="s">
        <v>1229</v>
      </c>
      <c r="G994" s="9" t="s">
        <v>1660</v>
      </c>
      <c r="H994" s="8" t="s">
        <v>394</v>
      </c>
      <c r="I994" s="7" t="s">
        <v>1031</v>
      </c>
    </row>
    <row r="995" spans="1:9" ht="25.5" x14ac:dyDescent="0.35">
      <c r="A995" s="18" t="s">
        <v>501</v>
      </c>
      <c r="B995" s="19" t="str">
        <f>HYPERLINK("https://jira.itg.ti.com/browse/PDK-5336","PDK-5336")</f>
        <v>PDK-5336</v>
      </c>
      <c r="C995" s="18" t="s">
        <v>783</v>
      </c>
      <c r="D995" s="18" t="s">
        <v>210</v>
      </c>
      <c r="E995" s="18" t="s">
        <v>1645</v>
      </c>
      <c r="F995" s="20" t="s">
        <v>1229</v>
      </c>
      <c r="G995" s="9" t="s">
        <v>1660</v>
      </c>
      <c r="H995" s="8" t="s">
        <v>394</v>
      </c>
      <c r="I995" s="7" t="s">
        <v>1031</v>
      </c>
    </row>
    <row r="996" spans="1:9" ht="25.5" x14ac:dyDescent="0.35">
      <c r="A996" s="18" t="s">
        <v>501</v>
      </c>
      <c r="B996" s="19" t="str">
        <f>HYPERLINK("https://jira.itg.ti.com/browse/PDK-5337","PDK-5337")</f>
        <v>PDK-5337</v>
      </c>
      <c r="C996" s="18" t="s">
        <v>18</v>
      </c>
      <c r="D996" s="18" t="s">
        <v>210</v>
      </c>
      <c r="E996" s="18" t="s">
        <v>1645</v>
      </c>
      <c r="F996" s="20" t="s">
        <v>1229</v>
      </c>
      <c r="G996" s="9" t="s">
        <v>1660</v>
      </c>
      <c r="H996" s="8" t="s">
        <v>394</v>
      </c>
      <c r="I996" s="7" t="s">
        <v>1031</v>
      </c>
    </row>
    <row r="997" spans="1:9" ht="25.5" x14ac:dyDescent="0.35">
      <c r="A997" s="18" t="s">
        <v>501</v>
      </c>
      <c r="B997" s="19" t="str">
        <f>HYPERLINK("https://jira.itg.ti.com/browse/PDK-5338","PDK-5338")</f>
        <v>PDK-5338</v>
      </c>
      <c r="C997" s="18" t="s">
        <v>643</v>
      </c>
      <c r="D997" s="18" t="s">
        <v>210</v>
      </c>
      <c r="E997" s="18" t="s">
        <v>1645</v>
      </c>
      <c r="F997" s="20" t="s">
        <v>1229</v>
      </c>
      <c r="G997" s="9" t="s">
        <v>1660</v>
      </c>
      <c r="H997" s="8" t="s">
        <v>394</v>
      </c>
      <c r="I997" s="7" t="s">
        <v>1031</v>
      </c>
    </row>
    <row r="998" spans="1:9" x14ac:dyDescent="0.35">
      <c r="A998" s="18" t="s">
        <v>501</v>
      </c>
      <c r="B998" s="19" t="str">
        <f>HYPERLINK("https://jira.itg.ti.com/browse/PDK-5339","PDK-5339")</f>
        <v>PDK-5339</v>
      </c>
      <c r="C998" s="18" t="s">
        <v>1550</v>
      </c>
      <c r="D998" s="18" t="s">
        <v>210</v>
      </c>
      <c r="E998" s="18" t="s">
        <v>1645</v>
      </c>
      <c r="F998" s="20" t="s">
        <v>1229</v>
      </c>
      <c r="G998" s="9" t="s">
        <v>1045</v>
      </c>
      <c r="H998" s="8" t="s">
        <v>394</v>
      </c>
      <c r="I998" s="7" t="s">
        <v>1031</v>
      </c>
    </row>
    <row r="999" spans="1:9" ht="25.5" x14ac:dyDescent="0.35">
      <c r="A999" s="18" t="s">
        <v>501</v>
      </c>
      <c r="B999" s="19" t="str">
        <f>HYPERLINK("https://jira.itg.ti.com/browse/PDK-5340","PDK-5340")</f>
        <v>PDK-5340</v>
      </c>
      <c r="C999" s="18" t="s">
        <v>720</v>
      </c>
      <c r="D999" s="18" t="s">
        <v>210</v>
      </c>
      <c r="E999" s="18" t="s">
        <v>1645</v>
      </c>
      <c r="F999" s="20" t="s">
        <v>1229</v>
      </c>
      <c r="G999" s="9" t="s">
        <v>1660</v>
      </c>
      <c r="H999" s="8" t="s">
        <v>394</v>
      </c>
      <c r="I999" s="7" t="s">
        <v>1031</v>
      </c>
    </row>
    <row r="1000" spans="1:9" ht="25.5" x14ac:dyDescent="0.35">
      <c r="A1000" s="18" t="s">
        <v>501</v>
      </c>
      <c r="B1000" s="19" t="str">
        <f>HYPERLINK("https://jira.itg.ti.com/browse/PDK-5341","PDK-5341")</f>
        <v>PDK-5341</v>
      </c>
      <c r="C1000" s="18" t="s">
        <v>1458</v>
      </c>
      <c r="D1000" s="18" t="s">
        <v>210</v>
      </c>
      <c r="E1000" s="18" t="s">
        <v>1645</v>
      </c>
      <c r="F1000" s="20" t="s">
        <v>1229</v>
      </c>
      <c r="G1000" s="9" t="s">
        <v>1660</v>
      </c>
      <c r="H1000" s="8" t="s">
        <v>394</v>
      </c>
      <c r="I1000" s="7" t="s">
        <v>1031</v>
      </c>
    </row>
    <row r="1001" spans="1:9" ht="25.5" x14ac:dyDescent="0.35">
      <c r="A1001" s="18" t="s">
        <v>501</v>
      </c>
      <c r="B1001" s="19" t="str">
        <f>HYPERLINK("https://jira.itg.ti.com/browse/PDK-5342","PDK-5342")</f>
        <v>PDK-5342</v>
      </c>
      <c r="C1001" s="18" t="s">
        <v>1062</v>
      </c>
      <c r="D1001" s="18" t="s">
        <v>210</v>
      </c>
      <c r="E1001" s="18" t="s">
        <v>1645</v>
      </c>
      <c r="F1001" s="20" t="s">
        <v>1229</v>
      </c>
      <c r="G1001" s="9" t="s">
        <v>1660</v>
      </c>
      <c r="H1001" s="8" t="s">
        <v>394</v>
      </c>
      <c r="I1001" s="7" t="s">
        <v>1031</v>
      </c>
    </row>
    <row r="1002" spans="1:9" x14ac:dyDescent="0.35">
      <c r="A1002" s="18" t="s">
        <v>501</v>
      </c>
      <c r="B1002" s="19" t="str">
        <f>HYPERLINK("https://jira.itg.ti.com/browse/PDK-5343","PDK-5343")</f>
        <v>PDK-5343</v>
      </c>
      <c r="C1002" s="18" t="s">
        <v>990</v>
      </c>
      <c r="D1002" s="18" t="s">
        <v>210</v>
      </c>
      <c r="E1002" s="18" t="s">
        <v>1645</v>
      </c>
      <c r="F1002" s="22" t="s">
        <v>552</v>
      </c>
      <c r="G1002" s="9" t="s">
        <v>722</v>
      </c>
      <c r="H1002" s="12" t="s">
        <v>1241</v>
      </c>
      <c r="I1002" s="7" t="s">
        <v>1031</v>
      </c>
    </row>
    <row r="1003" spans="1:9" x14ac:dyDescent="0.35">
      <c r="A1003" s="18" t="s">
        <v>501</v>
      </c>
      <c r="B1003" s="19" t="str">
        <f>HYPERLINK("https://jira.itg.ti.com/browse/PDK-5344","PDK-5344")</f>
        <v>PDK-5344</v>
      </c>
      <c r="C1003" s="18" t="s">
        <v>1382</v>
      </c>
      <c r="D1003" s="18" t="s">
        <v>210</v>
      </c>
      <c r="E1003" s="18" t="s">
        <v>1645</v>
      </c>
      <c r="F1003" s="22" t="s">
        <v>552</v>
      </c>
      <c r="G1003" s="9" t="s">
        <v>722</v>
      </c>
      <c r="H1003" s="12" t="s">
        <v>1241</v>
      </c>
      <c r="I1003" s="7" t="s">
        <v>1031</v>
      </c>
    </row>
    <row r="1004" spans="1:9" ht="25.5" x14ac:dyDescent="0.35">
      <c r="A1004" s="18" t="s">
        <v>501</v>
      </c>
      <c r="B1004" s="19" t="str">
        <f>HYPERLINK("https://jira.itg.ti.com/browse/PDK-5345","PDK-5345")</f>
        <v>PDK-5345</v>
      </c>
      <c r="C1004" s="18" t="s">
        <v>224</v>
      </c>
      <c r="D1004" s="18" t="s">
        <v>210</v>
      </c>
      <c r="E1004" s="18" t="s">
        <v>1645</v>
      </c>
      <c r="F1004" s="20" t="s">
        <v>1229</v>
      </c>
      <c r="G1004" s="9" t="s">
        <v>1660</v>
      </c>
      <c r="H1004" s="8" t="s">
        <v>394</v>
      </c>
      <c r="I1004" s="7" t="s">
        <v>1031</v>
      </c>
    </row>
    <row r="1005" spans="1:9" x14ac:dyDescent="0.35">
      <c r="A1005" s="18" t="s">
        <v>501</v>
      </c>
      <c r="B1005" s="19" t="str">
        <f>HYPERLINK("https://jira.itg.ti.com/browse/PDK-5346","PDK-5346")</f>
        <v>PDK-5346</v>
      </c>
      <c r="C1005" s="18" t="s">
        <v>169</v>
      </c>
      <c r="D1005" s="18" t="s">
        <v>210</v>
      </c>
      <c r="E1005" s="18" t="s">
        <v>1645</v>
      </c>
      <c r="F1005" s="22" t="s">
        <v>552</v>
      </c>
      <c r="G1005" s="9" t="s">
        <v>722</v>
      </c>
      <c r="H1005" s="12" t="s">
        <v>1241</v>
      </c>
      <c r="I1005" s="7" t="s">
        <v>1031</v>
      </c>
    </row>
    <row r="1006" spans="1:9" x14ac:dyDescent="0.35">
      <c r="A1006" s="18" t="s">
        <v>501</v>
      </c>
      <c r="B1006" s="19" t="str">
        <f>HYPERLINK("https://jira.itg.ti.com/browse/PDK-5347","PDK-5347")</f>
        <v>PDK-5347</v>
      </c>
      <c r="C1006" s="18" t="s">
        <v>901</v>
      </c>
      <c r="D1006" s="18" t="s">
        <v>210</v>
      </c>
      <c r="E1006" s="18" t="s">
        <v>1645</v>
      </c>
      <c r="F1006" s="22" t="s">
        <v>552</v>
      </c>
      <c r="G1006" s="9" t="s">
        <v>722</v>
      </c>
      <c r="H1006" s="12" t="s">
        <v>1241</v>
      </c>
      <c r="I1006" s="7" t="s">
        <v>1031</v>
      </c>
    </row>
    <row r="1007" spans="1:9" ht="25.5" x14ac:dyDescent="0.35">
      <c r="A1007" s="18" t="s">
        <v>501</v>
      </c>
      <c r="B1007" s="19" t="str">
        <f>HYPERLINK("https://jira.itg.ti.com/browse/PDK-5348","PDK-5348")</f>
        <v>PDK-5348</v>
      </c>
      <c r="C1007" s="18" t="s">
        <v>1670</v>
      </c>
      <c r="D1007" s="18" t="s">
        <v>210</v>
      </c>
      <c r="E1007" s="18" t="s">
        <v>1645</v>
      </c>
      <c r="F1007" s="20" t="s">
        <v>1229</v>
      </c>
      <c r="G1007" s="9" t="s">
        <v>1660</v>
      </c>
      <c r="H1007" s="8" t="s">
        <v>394</v>
      </c>
      <c r="I1007" s="7" t="s">
        <v>1031</v>
      </c>
    </row>
    <row r="1008" spans="1:9" x14ac:dyDescent="0.35">
      <c r="A1008" s="18" t="s">
        <v>501</v>
      </c>
      <c r="B1008" s="19" t="str">
        <f>HYPERLINK("https://jira.itg.ti.com/browse/PDK-5349","PDK-5349")</f>
        <v>PDK-5349</v>
      </c>
      <c r="C1008" s="18" t="s">
        <v>1462</v>
      </c>
      <c r="D1008" s="18" t="s">
        <v>210</v>
      </c>
      <c r="E1008" s="18" t="s">
        <v>1645</v>
      </c>
      <c r="F1008" s="22" t="s">
        <v>552</v>
      </c>
      <c r="G1008" s="9" t="s">
        <v>722</v>
      </c>
      <c r="H1008" s="12" t="s">
        <v>1241</v>
      </c>
      <c r="I1008" s="7" t="s">
        <v>1031</v>
      </c>
    </row>
    <row r="1009" spans="1:9" ht="25.5" x14ac:dyDescent="0.35">
      <c r="A1009" s="18" t="s">
        <v>501</v>
      </c>
      <c r="B1009" s="19" t="str">
        <f>HYPERLINK("https://jira.itg.ti.com/browse/PDK-5350","PDK-5350")</f>
        <v>PDK-5350</v>
      </c>
      <c r="C1009" s="18" t="s">
        <v>357</v>
      </c>
      <c r="D1009" s="18" t="s">
        <v>210</v>
      </c>
      <c r="E1009" s="18" t="s">
        <v>1645</v>
      </c>
      <c r="F1009" s="20" t="s">
        <v>1229</v>
      </c>
      <c r="G1009" s="9" t="s">
        <v>1660</v>
      </c>
      <c r="H1009" s="8" t="s">
        <v>394</v>
      </c>
      <c r="I1009" s="7" t="s">
        <v>1031</v>
      </c>
    </row>
    <row r="1010" spans="1:9" x14ac:dyDescent="0.35">
      <c r="A1010" s="18" t="s">
        <v>501</v>
      </c>
      <c r="B1010" s="19" t="str">
        <f>HYPERLINK("https://jira.itg.ti.com/browse/PDK-5352","PDK-5352")</f>
        <v>PDK-5352</v>
      </c>
      <c r="C1010" s="18" t="s">
        <v>393</v>
      </c>
      <c r="D1010" s="18" t="s">
        <v>210</v>
      </c>
      <c r="E1010" s="18" t="s">
        <v>1645</v>
      </c>
      <c r="F1010" s="22" t="s">
        <v>552</v>
      </c>
      <c r="G1010" s="9" t="s">
        <v>722</v>
      </c>
      <c r="H1010" s="12" t="s">
        <v>1241</v>
      </c>
      <c r="I1010" s="7" t="s">
        <v>1031</v>
      </c>
    </row>
    <row r="1011" spans="1:9" x14ac:dyDescent="0.35">
      <c r="A1011" s="19" t="str">
        <f>HYPERLINK("https://jira.itg.ti.com/browse/JACINTOREQ-427","JACINTOREQ-427")</f>
        <v>JACINTOREQ-427</v>
      </c>
      <c r="B1011" s="19" t="str">
        <f>HYPERLINK("https://jira.itg.ti.com/browse/PDK-5180","PDK-5180")</f>
        <v>PDK-5180</v>
      </c>
      <c r="C1011" s="18" t="s">
        <v>1244</v>
      </c>
      <c r="D1011" s="18" t="s">
        <v>210</v>
      </c>
      <c r="E1011" s="18" t="s">
        <v>1645</v>
      </c>
      <c r="F1011" s="22" t="s">
        <v>552</v>
      </c>
      <c r="G1011" s="9" t="s">
        <v>534</v>
      </c>
      <c r="H1011" s="11" t="s">
        <v>313</v>
      </c>
      <c r="I1011" s="7" t="s">
        <v>1031</v>
      </c>
    </row>
    <row r="1012" spans="1:9" x14ac:dyDescent="0.35">
      <c r="A1012" s="19" t="str">
        <f>HYPERLINK("https://jira.itg.ti.com/browse/JACINTOREQ-428","JACINTOREQ-428")</f>
        <v>JACINTOREQ-428</v>
      </c>
      <c r="B1012" s="19" t="str">
        <f>HYPERLINK("https://jira.itg.ti.com/browse/PDK-4383","PDK-4383")</f>
        <v>PDK-4383</v>
      </c>
      <c r="C1012" s="18" t="s">
        <v>266</v>
      </c>
      <c r="D1012" s="18" t="s">
        <v>5</v>
      </c>
      <c r="E1012" s="18" t="s">
        <v>1645</v>
      </c>
      <c r="F1012" s="20" t="s">
        <v>1229</v>
      </c>
      <c r="G1012" s="9" t="s">
        <v>602</v>
      </c>
      <c r="H1012" s="8" t="s">
        <v>394</v>
      </c>
      <c r="I1012" s="7" t="s">
        <v>1031</v>
      </c>
    </row>
    <row r="1013" spans="1:9" x14ac:dyDescent="0.35">
      <c r="A1013" s="19" t="str">
        <f>HYPERLINK("https://jira.itg.ti.com/browse/JACINTOREQ-428","JACINTOREQ-428")</f>
        <v>JACINTOREQ-428</v>
      </c>
      <c r="B1013" s="19" t="str">
        <f>HYPERLINK("https://jira.itg.ti.com/browse/PDK-4458","PDK-4458")</f>
        <v>PDK-4458</v>
      </c>
      <c r="C1013" s="18" t="s">
        <v>1495</v>
      </c>
      <c r="D1013" s="18" t="s">
        <v>5</v>
      </c>
      <c r="E1013" s="18" t="s">
        <v>1645</v>
      </c>
      <c r="F1013" s="22" t="s">
        <v>552</v>
      </c>
      <c r="G1013" s="9" t="s">
        <v>857</v>
      </c>
      <c r="H1013" s="11" t="s">
        <v>313</v>
      </c>
      <c r="I1013" s="7" t="s">
        <v>1031</v>
      </c>
    </row>
    <row r="1014" spans="1:9" ht="25.5" x14ac:dyDescent="0.35">
      <c r="A1014" s="19" t="str">
        <f>HYPERLINK("https://jira.itg.ti.com/browse/JACINTOREQ-433","JACINTOREQ-433")</f>
        <v>JACINTOREQ-433</v>
      </c>
      <c r="B1014" s="19" t="str">
        <f>HYPERLINK("https://jira.itg.ti.com/browse/PDK-5255","PDK-5255")</f>
        <v>PDK-5255</v>
      </c>
      <c r="C1014" s="18" t="s">
        <v>826</v>
      </c>
      <c r="D1014" s="18" t="s">
        <v>210</v>
      </c>
      <c r="E1014" s="18" t="s">
        <v>1645</v>
      </c>
      <c r="F1014" s="20" t="s">
        <v>1229</v>
      </c>
      <c r="G1014" s="9" t="s">
        <v>338</v>
      </c>
      <c r="H1014" s="8" t="s">
        <v>394</v>
      </c>
      <c r="I1014" s="7" t="s">
        <v>1031</v>
      </c>
    </row>
    <row r="1015" spans="1:9" x14ac:dyDescent="0.35">
      <c r="A1015" s="18" t="s">
        <v>137</v>
      </c>
      <c r="B1015" s="19" t="str">
        <f>HYPERLINK("https://jira.itg.ti.com/browse/PDK-6024","PDK-6024")</f>
        <v>PDK-6024</v>
      </c>
      <c r="C1015" s="18" t="s">
        <v>1240</v>
      </c>
      <c r="D1015" s="18" t="s">
        <v>1569</v>
      </c>
      <c r="E1015" s="18" t="s">
        <v>1645</v>
      </c>
      <c r="F1015" s="20" t="s">
        <v>1229</v>
      </c>
      <c r="G1015" s="9" t="s">
        <v>549</v>
      </c>
      <c r="H1015" s="8" t="s">
        <v>394</v>
      </c>
      <c r="I1015" s="7" t="s">
        <v>1031</v>
      </c>
    </row>
    <row r="1016" spans="1:9" x14ac:dyDescent="0.35">
      <c r="A1016" s="18" t="s">
        <v>137</v>
      </c>
      <c r="B1016" s="19" t="str">
        <f>HYPERLINK("https://jira.itg.ti.com/browse/PDK-6041","PDK-6041")</f>
        <v>PDK-6041</v>
      </c>
      <c r="C1016" s="18" t="s">
        <v>348</v>
      </c>
      <c r="D1016" s="18" t="s">
        <v>1569</v>
      </c>
      <c r="E1016" s="18" t="s">
        <v>1645</v>
      </c>
      <c r="F1016" s="20" t="s">
        <v>1229</v>
      </c>
      <c r="G1016" s="9" t="s">
        <v>549</v>
      </c>
      <c r="H1016" s="8" t="s">
        <v>394</v>
      </c>
      <c r="I1016" s="7" t="s">
        <v>1031</v>
      </c>
    </row>
    <row r="1017" spans="1:9" x14ac:dyDescent="0.35">
      <c r="A1017" s="18" t="s">
        <v>137</v>
      </c>
      <c r="B1017" s="19" t="str">
        <f>HYPERLINK("https://jira.itg.ti.com/browse/PDK-6052","PDK-6052")</f>
        <v>PDK-6052</v>
      </c>
      <c r="C1017" s="18" t="s">
        <v>135</v>
      </c>
      <c r="D1017" s="18" t="s">
        <v>1569</v>
      </c>
      <c r="E1017" s="18" t="s">
        <v>1645</v>
      </c>
      <c r="F1017" s="20" t="s">
        <v>1229</v>
      </c>
      <c r="G1017" s="9" t="s">
        <v>549</v>
      </c>
      <c r="H1017" s="8" t="s">
        <v>394</v>
      </c>
      <c r="I1017" s="7" t="s">
        <v>1031</v>
      </c>
    </row>
    <row r="1018" spans="1:9" x14ac:dyDescent="0.35">
      <c r="A1018" s="18" t="s">
        <v>1228</v>
      </c>
      <c r="B1018" s="19" t="str">
        <f>HYPERLINK("https://jira.itg.ti.com/browse/PDK-6027","PDK-6027")</f>
        <v>PDK-6027</v>
      </c>
      <c r="C1018" s="18" t="s">
        <v>20</v>
      </c>
      <c r="D1018" s="18" t="s">
        <v>1569</v>
      </c>
      <c r="E1018" s="18" t="s">
        <v>1645</v>
      </c>
      <c r="F1018" s="20" t="s">
        <v>1229</v>
      </c>
      <c r="G1018" s="9" t="s">
        <v>349</v>
      </c>
      <c r="H1018" s="8" t="s">
        <v>394</v>
      </c>
      <c r="I1018" s="7" t="s">
        <v>1031</v>
      </c>
    </row>
    <row r="1019" spans="1:9" ht="25.5" x14ac:dyDescent="0.35">
      <c r="A1019" s="18"/>
      <c r="B1019" s="19"/>
      <c r="C1019" s="18"/>
      <c r="D1019" s="18"/>
      <c r="E1019" s="18"/>
      <c r="F1019" s="20"/>
      <c r="G1019" s="10" t="s">
        <v>223</v>
      </c>
      <c r="H1019" s="8" t="s">
        <v>394</v>
      </c>
    </row>
    <row r="1020" spans="1:9" ht="25.5" x14ac:dyDescent="0.35">
      <c r="A1020" s="18" t="s">
        <v>1228</v>
      </c>
      <c r="B1020" s="19" t="str">
        <f>HYPERLINK("https://jira.itg.ti.com/browse/PDK-6028","PDK-6028")</f>
        <v>PDK-6028</v>
      </c>
      <c r="C1020" s="18" t="s">
        <v>502</v>
      </c>
      <c r="D1020" s="18" t="s">
        <v>1569</v>
      </c>
      <c r="E1020" s="18" t="s">
        <v>1645</v>
      </c>
      <c r="F1020" s="20" t="s">
        <v>1229</v>
      </c>
      <c r="G1020" s="9" t="s">
        <v>223</v>
      </c>
      <c r="H1020" s="8" t="s">
        <v>394</v>
      </c>
      <c r="I1020" s="7" t="s">
        <v>1031</v>
      </c>
    </row>
    <row r="1021" spans="1:9" ht="25.5" x14ac:dyDescent="0.35">
      <c r="A1021" s="18" t="s">
        <v>1228</v>
      </c>
      <c r="B1021" s="19" t="str">
        <f>HYPERLINK("https://jira.itg.ti.com/browse/PDK-6031","PDK-6031")</f>
        <v>PDK-6031</v>
      </c>
      <c r="C1021" s="18" t="s">
        <v>1213</v>
      </c>
      <c r="D1021" s="18" t="s">
        <v>1569</v>
      </c>
      <c r="E1021" s="18" t="s">
        <v>1645</v>
      </c>
      <c r="F1021" s="20" t="s">
        <v>1229</v>
      </c>
      <c r="G1021" s="9" t="s">
        <v>223</v>
      </c>
      <c r="H1021" s="8" t="s">
        <v>394</v>
      </c>
      <c r="I1021" s="7" t="s">
        <v>1031</v>
      </c>
    </row>
    <row r="1022" spans="1:9" x14ac:dyDescent="0.35">
      <c r="A1022" s="18" t="s">
        <v>1228</v>
      </c>
      <c r="B1022" s="19" t="str">
        <f>HYPERLINK("https://jira.itg.ti.com/browse/PDK-6036","PDK-6036")</f>
        <v>PDK-6036</v>
      </c>
      <c r="C1022" s="18" t="s">
        <v>1401</v>
      </c>
      <c r="D1022" s="18" t="s">
        <v>1569</v>
      </c>
      <c r="E1022" s="18" t="s">
        <v>1645</v>
      </c>
      <c r="F1022" s="20" t="s">
        <v>1229</v>
      </c>
      <c r="G1022" s="9" t="s">
        <v>349</v>
      </c>
      <c r="H1022" s="8" t="s">
        <v>394</v>
      </c>
      <c r="I1022" s="7" t="s">
        <v>1031</v>
      </c>
    </row>
    <row r="1023" spans="1:9" x14ac:dyDescent="0.35">
      <c r="A1023" s="18" t="s">
        <v>1228</v>
      </c>
      <c r="B1023" s="19" t="str">
        <f>HYPERLINK("https://jira.itg.ti.com/browse/PDK-6054","PDK-6054")</f>
        <v>PDK-6054</v>
      </c>
      <c r="C1023" s="18" t="s">
        <v>1600</v>
      </c>
      <c r="D1023" s="18" t="s">
        <v>1569</v>
      </c>
      <c r="E1023" s="18" t="s">
        <v>1645</v>
      </c>
      <c r="F1023" s="20" t="s">
        <v>1229</v>
      </c>
      <c r="G1023" s="9" t="s">
        <v>349</v>
      </c>
      <c r="H1023" s="8" t="s">
        <v>394</v>
      </c>
      <c r="I1023" s="7" t="s">
        <v>1031</v>
      </c>
    </row>
    <row r="1024" spans="1:9" x14ac:dyDescent="0.35">
      <c r="A1024" s="18" t="s">
        <v>1061</v>
      </c>
      <c r="B1024" s="19" t="str">
        <f>HYPERLINK("https://jira.itg.ti.com/browse/PDK-6051","PDK-6051")</f>
        <v>PDK-6051</v>
      </c>
      <c r="C1024" s="18" t="s">
        <v>1311</v>
      </c>
      <c r="D1024" s="18" t="s">
        <v>1569</v>
      </c>
      <c r="E1024" s="18" t="s">
        <v>1645</v>
      </c>
      <c r="F1024" s="20" t="s">
        <v>1229</v>
      </c>
      <c r="G1024" s="9" t="s">
        <v>1188</v>
      </c>
      <c r="H1024" s="8" t="s">
        <v>394</v>
      </c>
      <c r="I1024" s="7" t="s">
        <v>1031</v>
      </c>
    </row>
    <row r="1025" spans="1:9" x14ac:dyDescent="0.35">
      <c r="A1025" s="18" t="s">
        <v>705</v>
      </c>
      <c r="B1025" s="19" t="str">
        <f>HYPERLINK("https://jira.itg.ti.com/browse/PDK-6029","PDK-6029")</f>
        <v>PDK-6029</v>
      </c>
      <c r="C1025" s="18" t="s">
        <v>1573</v>
      </c>
      <c r="D1025" s="18" t="s">
        <v>1569</v>
      </c>
      <c r="E1025" s="18" t="s">
        <v>1645</v>
      </c>
      <c r="F1025" s="20" t="s">
        <v>1229</v>
      </c>
      <c r="G1025" s="9" t="s">
        <v>1188</v>
      </c>
      <c r="H1025" s="8" t="s">
        <v>394</v>
      </c>
      <c r="I1025" s="7" t="s">
        <v>1031</v>
      </c>
    </row>
    <row r="1026" spans="1:9" x14ac:dyDescent="0.35">
      <c r="A1026" s="18" t="s">
        <v>705</v>
      </c>
      <c r="B1026" s="19" t="str">
        <f>HYPERLINK("https://jira.itg.ti.com/browse/PDK-6034","PDK-6034")</f>
        <v>PDK-6034</v>
      </c>
      <c r="C1026" s="18" t="s">
        <v>1518</v>
      </c>
      <c r="D1026" s="18" t="s">
        <v>1569</v>
      </c>
      <c r="E1026" s="18" t="s">
        <v>1645</v>
      </c>
      <c r="F1026" s="20" t="s">
        <v>1229</v>
      </c>
      <c r="G1026" s="9" t="s">
        <v>1188</v>
      </c>
      <c r="H1026" s="8" t="s">
        <v>394</v>
      </c>
      <c r="I1026" s="7" t="s">
        <v>1031</v>
      </c>
    </row>
    <row r="1027" spans="1:9" x14ac:dyDescent="0.35">
      <c r="A1027" s="18" t="s">
        <v>705</v>
      </c>
      <c r="B1027" s="19" t="str">
        <f>HYPERLINK("https://jira.itg.ti.com/browse/PDK-6035","PDK-6035")</f>
        <v>PDK-6035</v>
      </c>
      <c r="C1027" s="18" t="s">
        <v>648</v>
      </c>
      <c r="D1027" s="18" t="s">
        <v>1569</v>
      </c>
      <c r="E1027" s="18" t="s">
        <v>1645</v>
      </c>
      <c r="F1027" s="20" t="s">
        <v>1229</v>
      </c>
      <c r="G1027" s="9" t="s">
        <v>1188</v>
      </c>
      <c r="H1027" s="8" t="s">
        <v>394</v>
      </c>
      <c r="I1027" s="7" t="s">
        <v>1031</v>
      </c>
    </row>
    <row r="1028" spans="1:9" x14ac:dyDescent="0.35">
      <c r="A1028" s="18" t="s">
        <v>705</v>
      </c>
      <c r="B1028" s="19" t="str">
        <f>HYPERLINK("https://jira.itg.ti.com/browse/PDK-6043","PDK-6043")</f>
        <v>PDK-6043</v>
      </c>
      <c r="C1028" s="18" t="s">
        <v>353</v>
      </c>
      <c r="D1028" s="18" t="s">
        <v>1569</v>
      </c>
      <c r="E1028" s="18" t="s">
        <v>1645</v>
      </c>
      <c r="F1028" s="20" t="s">
        <v>1229</v>
      </c>
      <c r="G1028" s="9" t="s">
        <v>1188</v>
      </c>
      <c r="H1028" s="8" t="s">
        <v>394</v>
      </c>
      <c r="I1028" s="7" t="s">
        <v>1031</v>
      </c>
    </row>
    <row r="1029" spans="1:9" x14ac:dyDescent="0.35">
      <c r="A1029" s="18" t="s">
        <v>705</v>
      </c>
      <c r="B1029" s="19" t="str">
        <f>HYPERLINK("https://jira.itg.ti.com/browse/PDK-6049","PDK-6049")</f>
        <v>PDK-6049</v>
      </c>
      <c r="C1029" s="18" t="s">
        <v>10</v>
      </c>
      <c r="D1029" s="18" t="s">
        <v>1569</v>
      </c>
      <c r="E1029" s="18" t="s">
        <v>1645</v>
      </c>
      <c r="F1029" s="20" t="s">
        <v>1229</v>
      </c>
      <c r="G1029" s="9" t="s">
        <v>1188</v>
      </c>
      <c r="H1029" s="8" t="s">
        <v>394</v>
      </c>
      <c r="I1029" s="7" t="s">
        <v>1031</v>
      </c>
    </row>
    <row r="1030" spans="1:9" x14ac:dyDescent="0.35">
      <c r="A1030" s="18" t="s">
        <v>705</v>
      </c>
      <c r="B1030" s="19" t="str">
        <f>HYPERLINK("https://jira.itg.ti.com/browse/PDK-6063","PDK-6063")</f>
        <v>PDK-6063</v>
      </c>
      <c r="C1030" s="18" t="s">
        <v>548</v>
      </c>
      <c r="D1030" s="18" t="s">
        <v>1423</v>
      </c>
      <c r="E1030" s="18" t="s">
        <v>1645</v>
      </c>
      <c r="F1030" s="20" t="s">
        <v>1229</v>
      </c>
      <c r="G1030" s="9" t="s">
        <v>880</v>
      </c>
      <c r="H1030" s="8" t="s">
        <v>394</v>
      </c>
      <c r="I1030" s="7" t="s">
        <v>1031</v>
      </c>
    </row>
    <row r="1031" spans="1:9" x14ac:dyDescent="0.35">
      <c r="A1031" s="14"/>
      <c r="B1031" s="14"/>
      <c r="C1031" s="14"/>
      <c r="D1031" s="14"/>
      <c r="E1031" s="14"/>
      <c r="F1031" s="14"/>
      <c r="G1031" s="10" t="s">
        <v>1299</v>
      </c>
      <c r="H1031" s="8" t="s">
        <v>394</v>
      </c>
    </row>
    <row r="1032" spans="1:9" x14ac:dyDescent="0.35">
      <c r="A1032" s="14"/>
      <c r="B1032" s="14"/>
      <c r="C1032" s="14"/>
      <c r="D1032" s="14"/>
      <c r="E1032" s="14"/>
      <c r="F1032" s="14"/>
      <c r="G1032" s="10" t="s">
        <v>259</v>
      </c>
      <c r="H1032" s="8" t="s">
        <v>394</v>
      </c>
    </row>
    <row r="1033" spans="1:9" x14ac:dyDescent="0.35">
      <c r="A1033" s="14"/>
      <c r="B1033" s="14"/>
      <c r="C1033" s="14"/>
      <c r="D1033" s="14"/>
      <c r="E1033" s="14"/>
      <c r="F1033" s="14"/>
      <c r="G1033" s="10" t="s">
        <v>1633</v>
      </c>
      <c r="H1033" s="8" t="s">
        <v>394</v>
      </c>
    </row>
    <row r="1034" spans="1:9" x14ac:dyDescent="0.35">
      <c r="A1034" s="14"/>
      <c r="B1034" s="14"/>
      <c r="C1034" s="14"/>
      <c r="D1034" s="14"/>
      <c r="E1034" s="14"/>
      <c r="F1034" s="14"/>
      <c r="G1034" s="10" t="s">
        <v>323</v>
      </c>
      <c r="H1034" s="8" t="s">
        <v>394</v>
      </c>
    </row>
    <row r="1035" spans="1:9" x14ac:dyDescent="0.35">
      <c r="A1035" s="14"/>
      <c r="B1035" s="14"/>
      <c r="C1035" s="14"/>
      <c r="D1035" s="14"/>
      <c r="E1035" s="14"/>
      <c r="F1035" s="14"/>
      <c r="G1035" s="10" t="s">
        <v>1627</v>
      </c>
      <c r="H1035" s="8" t="s">
        <v>394</v>
      </c>
    </row>
    <row r="1036" spans="1:9" x14ac:dyDescent="0.35">
      <c r="A1036" s="14"/>
      <c r="B1036" s="14"/>
      <c r="C1036" s="14"/>
      <c r="D1036" s="14"/>
      <c r="E1036" s="14"/>
      <c r="F1036" s="14"/>
      <c r="G1036" s="10" t="s">
        <v>1199</v>
      </c>
      <c r="H1036" s="8" t="s">
        <v>394</v>
      </c>
    </row>
    <row r="1037" spans="1:9" x14ac:dyDescent="0.35">
      <c r="A1037" s="14"/>
      <c r="B1037" s="14"/>
      <c r="C1037" s="14"/>
      <c r="D1037" s="14"/>
      <c r="E1037" s="14"/>
      <c r="F1037" s="14"/>
      <c r="G1037" s="10" t="s">
        <v>330</v>
      </c>
      <c r="H1037" s="8" t="s">
        <v>394</v>
      </c>
    </row>
    <row r="1038" spans="1:9" x14ac:dyDescent="0.35">
      <c r="A1038" s="14"/>
      <c r="B1038" s="14"/>
      <c r="C1038" s="14"/>
      <c r="D1038" s="14"/>
      <c r="E1038" s="14"/>
      <c r="F1038" s="14"/>
      <c r="G1038" s="10" t="s">
        <v>870</v>
      </c>
      <c r="H1038" s="8" t="s">
        <v>394</v>
      </c>
    </row>
    <row r="1039" spans="1:9" x14ac:dyDescent="0.35">
      <c r="A1039" s="14"/>
      <c r="B1039" s="14"/>
      <c r="C1039" s="14"/>
      <c r="D1039" s="14"/>
      <c r="E1039" s="14"/>
      <c r="F1039" s="14"/>
      <c r="G1039" s="10" t="s">
        <v>1512</v>
      </c>
      <c r="H1039" s="8" t="s">
        <v>394</v>
      </c>
    </row>
    <row r="1040" spans="1:9" x14ac:dyDescent="0.35">
      <c r="A1040" s="14"/>
      <c r="B1040" s="14"/>
      <c r="C1040" s="14"/>
      <c r="D1040" s="14"/>
      <c r="E1040" s="14"/>
      <c r="F1040" s="14"/>
      <c r="G1040" s="10" t="s">
        <v>632</v>
      </c>
      <c r="H1040" s="8" t="s">
        <v>394</v>
      </c>
    </row>
    <row r="1041" spans="1:9" x14ac:dyDescent="0.35">
      <c r="A1041" s="14"/>
      <c r="B1041" s="14"/>
      <c r="C1041" s="14"/>
      <c r="D1041" s="14"/>
      <c r="E1041" s="14"/>
      <c r="F1041" s="14"/>
      <c r="G1041" s="10" t="s">
        <v>455</v>
      </c>
      <c r="H1041" s="8" t="s">
        <v>394</v>
      </c>
    </row>
    <row r="1042" spans="1:9" x14ac:dyDescent="0.35">
      <c r="A1042" s="14"/>
      <c r="B1042" s="14"/>
      <c r="C1042" s="14"/>
      <c r="D1042" s="14"/>
      <c r="E1042" s="14"/>
      <c r="F1042" s="14"/>
      <c r="G1042" s="10" t="s">
        <v>1648</v>
      </c>
      <c r="H1042" s="8" t="s">
        <v>394</v>
      </c>
    </row>
    <row r="1043" spans="1:9" x14ac:dyDescent="0.35">
      <c r="A1043" s="14"/>
      <c r="B1043" s="14"/>
      <c r="C1043" s="14"/>
      <c r="D1043" s="14"/>
      <c r="E1043" s="14"/>
      <c r="F1043" s="14"/>
      <c r="G1043" s="10" t="s">
        <v>92</v>
      </c>
      <c r="H1043" s="8" t="s">
        <v>394</v>
      </c>
    </row>
    <row r="1044" spans="1:9" x14ac:dyDescent="0.35">
      <c r="A1044" s="18"/>
      <c r="B1044" s="19"/>
      <c r="C1044" s="18"/>
      <c r="D1044" s="18"/>
      <c r="E1044" s="18"/>
      <c r="F1044" s="20"/>
      <c r="G1044" s="10" t="s">
        <v>1188</v>
      </c>
      <c r="H1044" s="8" t="s">
        <v>394</v>
      </c>
    </row>
    <row r="1045" spans="1:9" x14ac:dyDescent="0.35">
      <c r="A1045" s="18" t="s">
        <v>97</v>
      </c>
      <c r="B1045" s="19" t="str">
        <f>HYPERLINK("https://jira.itg.ti.com/browse/PDK-6039","PDK-6039")</f>
        <v>PDK-6039</v>
      </c>
      <c r="C1045" s="18" t="s">
        <v>1116</v>
      </c>
      <c r="D1045" s="18" t="s">
        <v>1569</v>
      </c>
      <c r="E1045" s="18" t="s">
        <v>1645</v>
      </c>
      <c r="F1045" s="20" t="s">
        <v>1229</v>
      </c>
      <c r="G1045" s="9" t="s">
        <v>1096</v>
      </c>
      <c r="H1045" s="8" t="s">
        <v>394</v>
      </c>
      <c r="I1045" s="7" t="s">
        <v>1031</v>
      </c>
    </row>
    <row r="1046" spans="1:9" x14ac:dyDescent="0.35">
      <c r="A1046" s="18"/>
      <c r="B1046" s="19"/>
      <c r="C1046" s="18"/>
      <c r="D1046" s="18"/>
      <c r="E1046" s="18"/>
      <c r="F1046" s="20"/>
      <c r="G1046" s="10" t="s">
        <v>709</v>
      </c>
      <c r="H1046" s="8" t="s">
        <v>394</v>
      </c>
    </row>
    <row r="1047" spans="1:9" x14ac:dyDescent="0.35">
      <c r="A1047" s="18" t="s">
        <v>97</v>
      </c>
      <c r="B1047" s="19" t="str">
        <f>HYPERLINK("https://jira.itg.ti.com/browse/PDK-6042","PDK-6042")</f>
        <v>PDK-6042</v>
      </c>
      <c r="C1047" s="18" t="s">
        <v>1131</v>
      </c>
      <c r="D1047" s="18" t="s">
        <v>1569</v>
      </c>
      <c r="E1047" s="18" t="s">
        <v>1645</v>
      </c>
      <c r="F1047" s="20" t="s">
        <v>1229</v>
      </c>
      <c r="G1047" s="9" t="s">
        <v>1096</v>
      </c>
      <c r="H1047" s="8" t="s">
        <v>394</v>
      </c>
      <c r="I1047" s="7" t="s">
        <v>1031</v>
      </c>
    </row>
    <row r="1048" spans="1:9" x14ac:dyDescent="0.35">
      <c r="A1048" s="18" t="s">
        <v>97</v>
      </c>
      <c r="B1048" s="19" t="str">
        <f>HYPERLINK("https://jira.itg.ti.com/browse/PDK-6053","PDK-6053")</f>
        <v>PDK-6053</v>
      </c>
      <c r="C1048" s="18" t="s">
        <v>1424</v>
      </c>
      <c r="D1048" s="18" t="s">
        <v>1569</v>
      </c>
      <c r="E1048" s="18" t="s">
        <v>1645</v>
      </c>
      <c r="F1048" s="20" t="s">
        <v>1229</v>
      </c>
      <c r="G1048" s="9" t="s">
        <v>1096</v>
      </c>
      <c r="H1048" s="8" t="s">
        <v>394</v>
      </c>
      <c r="I1048" s="7" t="s">
        <v>1031</v>
      </c>
    </row>
    <row r="1049" spans="1:9" x14ac:dyDescent="0.35">
      <c r="A1049" s="18"/>
      <c r="B1049" s="19"/>
      <c r="C1049" s="18"/>
      <c r="D1049" s="18"/>
      <c r="E1049" s="18"/>
      <c r="F1049" s="20"/>
      <c r="G1049" s="10" t="s">
        <v>709</v>
      </c>
      <c r="H1049" s="8" t="s">
        <v>394</v>
      </c>
    </row>
    <row r="1050" spans="1:9" x14ac:dyDescent="0.35">
      <c r="A1050" s="18" t="s">
        <v>97</v>
      </c>
      <c r="B1050" s="19" t="str">
        <f>HYPERLINK("https://jira.itg.ti.com/browse/PDK-6064","PDK-6064")</f>
        <v>PDK-6064</v>
      </c>
      <c r="C1050" s="18" t="s">
        <v>293</v>
      </c>
      <c r="D1050" s="18" t="s">
        <v>1423</v>
      </c>
      <c r="E1050" s="18" t="s">
        <v>1645</v>
      </c>
      <c r="F1050" s="20" t="s">
        <v>1229</v>
      </c>
      <c r="G1050" s="9" t="s">
        <v>1096</v>
      </c>
      <c r="H1050" s="8" t="s">
        <v>394</v>
      </c>
      <c r="I1050" s="7" t="s">
        <v>1031</v>
      </c>
    </row>
    <row r="1051" spans="1:9" x14ac:dyDescent="0.35">
      <c r="A1051" s="18" t="s">
        <v>384</v>
      </c>
      <c r="B1051" s="19" t="str">
        <f>HYPERLINK("https://jira.itg.ti.com/browse/PDK-6030","PDK-6030")</f>
        <v>PDK-6030</v>
      </c>
      <c r="C1051" s="18" t="s">
        <v>1130</v>
      </c>
      <c r="D1051" s="18" t="s">
        <v>1569</v>
      </c>
      <c r="E1051" s="18" t="s">
        <v>1645</v>
      </c>
      <c r="F1051" s="20" t="s">
        <v>1229</v>
      </c>
      <c r="G1051" s="9" t="s">
        <v>101</v>
      </c>
      <c r="H1051" s="8" t="s">
        <v>394</v>
      </c>
      <c r="I1051" s="7" t="s">
        <v>1031</v>
      </c>
    </row>
    <row r="1052" spans="1:9" ht="25.5" x14ac:dyDescent="0.35">
      <c r="A1052" s="18"/>
      <c r="B1052" s="19"/>
      <c r="C1052" s="18"/>
      <c r="D1052" s="18"/>
      <c r="E1052" s="18"/>
      <c r="F1052" s="20"/>
      <c r="G1052" s="10" t="s">
        <v>223</v>
      </c>
      <c r="H1052" s="8" t="s">
        <v>394</v>
      </c>
    </row>
    <row r="1053" spans="1:9" x14ac:dyDescent="0.35">
      <c r="A1053" s="18" t="s">
        <v>384</v>
      </c>
      <c r="B1053" s="19" t="str">
        <f>HYPERLINK("https://jira.itg.ti.com/browse/PDK-6038","PDK-6038")</f>
        <v>PDK-6038</v>
      </c>
      <c r="C1053" s="18" t="s">
        <v>1136</v>
      </c>
      <c r="D1053" s="18" t="s">
        <v>1569</v>
      </c>
      <c r="E1053" s="18" t="s">
        <v>1645</v>
      </c>
      <c r="F1053" s="20" t="s">
        <v>1229</v>
      </c>
      <c r="G1053" s="9" t="s">
        <v>101</v>
      </c>
      <c r="H1053" s="8" t="s">
        <v>394</v>
      </c>
      <c r="I1053" s="7" t="s">
        <v>1031</v>
      </c>
    </row>
    <row r="1054" spans="1:9" ht="25.5" x14ac:dyDescent="0.35">
      <c r="A1054" s="18"/>
      <c r="B1054" s="19"/>
      <c r="C1054" s="18"/>
      <c r="D1054" s="18"/>
      <c r="E1054" s="18"/>
      <c r="F1054" s="20"/>
      <c r="G1054" s="10" t="s">
        <v>223</v>
      </c>
      <c r="H1054" s="8" t="s">
        <v>394</v>
      </c>
    </row>
    <row r="1055" spans="1:9" x14ac:dyDescent="0.35">
      <c r="A1055" s="18" t="s">
        <v>384</v>
      </c>
      <c r="B1055" s="19" t="str">
        <f>HYPERLINK("https://jira.itg.ti.com/browse/PDK-6040","PDK-6040")</f>
        <v>PDK-6040</v>
      </c>
      <c r="C1055" s="18" t="s">
        <v>1598</v>
      </c>
      <c r="D1055" s="18" t="s">
        <v>1569</v>
      </c>
      <c r="E1055" s="18" t="s">
        <v>1645</v>
      </c>
      <c r="F1055" s="20" t="s">
        <v>1229</v>
      </c>
      <c r="G1055" s="9" t="s">
        <v>101</v>
      </c>
      <c r="H1055" s="8" t="s">
        <v>394</v>
      </c>
      <c r="I1055" s="7" t="s">
        <v>1031</v>
      </c>
    </row>
    <row r="1056" spans="1:9" ht="25.5" x14ac:dyDescent="0.35">
      <c r="A1056" s="18"/>
      <c r="B1056" s="19"/>
      <c r="C1056" s="18"/>
      <c r="D1056" s="18"/>
      <c r="E1056" s="18"/>
      <c r="F1056" s="20"/>
      <c r="G1056" s="10" t="s">
        <v>223</v>
      </c>
      <c r="H1056" s="8" t="s">
        <v>394</v>
      </c>
    </row>
    <row r="1057" spans="1:9" x14ac:dyDescent="0.35">
      <c r="A1057" s="18" t="s">
        <v>683</v>
      </c>
      <c r="B1057" s="19" t="str">
        <f>HYPERLINK("https://jira.itg.ti.com/browse/PDK-203","PDK-203")</f>
        <v>PDK-203</v>
      </c>
      <c r="C1057" s="18" t="s">
        <v>1334</v>
      </c>
      <c r="D1057" s="18" t="s">
        <v>1647</v>
      </c>
      <c r="E1057" s="18" t="s">
        <v>1645</v>
      </c>
      <c r="F1057" s="22" t="s">
        <v>863</v>
      </c>
      <c r="G1057" s="7" t="s">
        <v>1031</v>
      </c>
      <c r="H1057" s="7" t="s">
        <v>1031</v>
      </c>
      <c r="I1057" s="7" t="s">
        <v>1031</v>
      </c>
    </row>
    <row r="1058" spans="1:9" x14ac:dyDescent="0.35">
      <c r="A1058" s="18" t="s">
        <v>1553</v>
      </c>
      <c r="B1058" s="19" t="str">
        <f>HYPERLINK("https://jira.itg.ti.com/browse/PDK-5861","PDK-5861")</f>
        <v>PDK-5861</v>
      </c>
      <c r="C1058" s="18" t="s">
        <v>526</v>
      </c>
      <c r="D1058" s="18" t="s">
        <v>1601</v>
      </c>
      <c r="E1058" s="18" t="s">
        <v>1645</v>
      </c>
      <c r="F1058" s="20" t="s">
        <v>1229</v>
      </c>
      <c r="G1058" s="9" t="s">
        <v>101</v>
      </c>
      <c r="H1058" s="8" t="s">
        <v>394</v>
      </c>
      <c r="I1058" s="7" t="s">
        <v>1031</v>
      </c>
    </row>
    <row r="1059" spans="1:9" x14ac:dyDescent="0.35">
      <c r="A1059" s="18" t="s">
        <v>1553</v>
      </c>
      <c r="B1059" s="19" t="str">
        <f>HYPERLINK("https://jira.itg.ti.com/browse/PDK-5879","PDK-5879")</f>
        <v>PDK-5879</v>
      </c>
      <c r="C1059" s="18" t="s">
        <v>781</v>
      </c>
      <c r="D1059" s="18" t="s">
        <v>104</v>
      </c>
      <c r="E1059" s="18" t="s">
        <v>1645</v>
      </c>
      <c r="F1059" s="20" t="s">
        <v>1229</v>
      </c>
      <c r="G1059" s="9" t="s">
        <v>37</v>
      </c>
      <c r="H1059" s="8" t="s">
        <v>394</v>
      </c>
      <c r="I1059" s="7" t="s">
        <v>1031</v>
      </c>
    </row>
    <row r="1060" spans="1:9" x14ac:dyDescent="0.35">
      <c r="A1060" s="18" t="s">
        <v>1553</v>
      </c>
      <c r="B1060" s="19" t="str">
        <f>HYPERLINK("https://jira.itg.ti.com/browse/PDK-5880","PDK-5880")</f>
        <v>PDK-5880</v>
      </c>
      <c r="C1060" s="18" t="s">
        <v>122</v>
      </c>
      <c r="D1060" s="18" t="s">
        <v>1193</v>
      </c>
      <c r="E1060" s="18" t="s">
        <v>1645</v>
      </c>
      <c r="F1060" s="20" t="s">
        <v>1229</v>
      </c>
      <c r="G1060" s="9" t="s">
        <v>1616</v>
      </c>
      <c r="H1060" s="8" t="s">
        <v>394</v>
      </c>
      <c r="I1060" s="7" t="s">
        <v>1031</v>
      </c>
    </row>
    <row r="1061" spans="1:9" x14ac:dyDescent="0.35">
      <c r="A1061" s="18" t="s">
        <v>1553</v>
      </c>
      <c r="B1061" s="19" t="str">
        <f>HYPERLINK("https://jira.itg.ti.com/browse/PDK-5931","PDK-5931")</f>
        <v>PDK-5931</v>
      </c>
      <c r="C1061" s="18" t="s">
        <v>314</v>
      </c>
      <c r="D1061" s="18" t="s">
        <v>104</v>
      </c>
      <c r="E1061" s="18" t="s">
        <v>1645</v>
      </c>
      <c r="F1061" s="20" t="s">
        <v>1229</v>
      </c>
      <c r="G1061" s="9" t="s">
        <v>495</v>
      </c>
      <c r="H1061" s="8" t="s">
        <v>394</v>
      </c>
      <c r="I1061" s="7" t="s">
        <v>1031</v>
      </c>
    </row>
    <row r="1062" spans="1:9" x14ac:dyDescent="0.35">
      <c r="A1062" s="18" t="s">
        <v>702</v>
      </c>
      <c r="B1062" s="19" t="str">
        <f>HYPERLINK("https://jira.itg.ti.com/browse/PDK-5862","PDK-5862")</f>
        <v>PDK-5862</v>
      </c>
      <c r="C1062" s="18" t="s">
        <v>1196</v>
      </c>
      <c r="D1062" s="18" t="s">
        <v>1601</v>
      </c>
      <c r="E1062" s="18" t="s">
        <v>1645</v>
      </c>
      <c r="F1062" s="20" t="s">
        <v>1229</v>
      </c>
      <c r="G1062" s="9" t="s">
        <v>574</v>
      </c>
      <c r="H1062" s="8" t="s">
        <v>394</v>
      </c>
      <c r="I1062" s="7" t="s">
        <v>1031</v>
      </c>
    </row>
    <row r="1063" spans="1:9" x14ac:dyDescent="0.35">
      <c r="A1063" s="18" t="s">
        <v>702</v>
      </c>
      <c r="B1063" s="19" t="str">
        <f>HYPERLINK("https://jira.itg.ti.com/browse/PDK-5863","PDK-5863")</f>
        <v>PDK-5863</v>
      </c>
      <c r="C1063" s="18" t="s">
        <v>342</v>
      </c>
      <c r="D1063" s="18" t="s">
        <v>1601</v>
      </c>
      <c r="E1063" s="18" t="s">
        <v>1645</v>
      </c>
      <c r="F1063" s="20" t="s">
        <v>1229</v>
      </c>
      <c r="G1063" s="9" t="s">
        <v>1543</v>
      </c>
      <c r="H1063" s="8" t="s">
        <v>394</v>
      </c>
      <c r="I1063" s="7" t="s">
        <v>1031</v>
      </c>
    </row>
    <row r="1064" spans="1:9" x14ac:dyDescent="0.35">
      <c r="A1064" s="18" t="s">
        <v>702</v>
      </c>
      <c r="B1064" s="19" t="str">
        <f>HYPERLINK("https://jira.itg.ti.com/browse/PDK-5864","PDK-5864")</f>
        <v>PDK-5864</v>
      </c>
      <c r="C1064" s="18" t="s">
        <v>678</v>
      </c>
      <c r="D1064" s="18" t="s">
        <v>1601</v>
      </c>
      <c r="E1064" s="18" t="s">
        <v>1645</v>
      </c>
      <c r="F1064" s="20" t="s">
        <v>1229</v>
      </c>
      <c r="G1064" s="9" t="s">
        <v>574</v>
      </c>
      <c r="H1064" s="8" t="s">
        <v>394</v>
      </c>
      <c r="I1064" s="7" t="s">
        <v>1031</v>
      </c>
    </row>
    <row r="1065" spans="1:9" x14ac:dyDescent="0.35">
      <c r="A1065" s="18" t="s">
        <v>702</v>
      </c>
      <c r="B1065" s="19" t="str">
        <f>HYPERLINK("https://jira.itg.ti.com/browse/PDK-5865","PDK-5865")</f>
        <v>PDK-5865</v>
      </c>
      <c r="C1065" s="18" t="s">
        <v>650</v>
      </c>
      <c r="D1065" s="18" t="s">
        <v>1601</v>
      </c>
      <c r="E1065" s="18" t="s">
        <v>1645</v>
      </c>
      <c r="F1065" s="20" t="s">
        <v>1229</v>
      </c>
      <c r="G1065" s="9" t="s">
        <v>1543</v>
      </c>
      <c r="H1065" s="8" t="s">
        <v>394</v>
      </c>
      <c r="I1065" s="7" t="s">
        <v>1031</v>
      </c>
    </row>
    <row r="1066" spans="1:9" x14ac:dyDescent="0.35">
      <c r="A1066" s="18" t="s">
        <v>702</v>
      </c>
      <c r="B1066" s="19" t="str">
        <f>HYPERLINK("https://jira.itg.ti.com/browse/PDK-5866","PDK-5866")</f>
        <v>PDK-5866</v>
      </c>
      <c r="C1066" s="18" t="s">
        <v>609</v>
      </c>
      <c r="D1066" s="18" t="s">
        <v>1601</v>
      </c>
      <c r="E1066" s="18" t="s">
        <v>1645</v>
      </c>
      <c r="F1066" s="20" t="s">
        <v>1229</v>
      </c>
      <c r="G1066" s="9" t="s">
        <v>1086</v>
      </c>
      <c r="H1066" s="8" t="s">
        <v>394</v>
      </c>
      <c r="I1066" s="7" t="s">
        <v>1031</v>
      </c>
    </row>
    <row r="1067" spans="1:9" ht="25.5" x14ac:dyDescent="0.35">
      <c r="A1067" s="18"/>
      <c r="B1067" s="19"/>
      <c r="C1067" s="18"/>
      <c r="D1067" s="18"/>
      <c r="E1067" s="18"/>
      <c r="F1067" s="20"/>
      <c r="G1067" s="10" t="s">
        <v>718</v>
      </c>
      <c r="H1067" s="8" t="s">
        <v>394</v>
      </c>
    </row>
    <row r="1068" spans="1:9" x14ac:dyDescent="0.35">
      <c r="A1068" s="19" t="str">
        <f>HYPERLINK("https://jira.itg.ti.com/browse/JACINTOREQ-444","JACINTOREQ-444")</f>
        <v>JACINTOREQ-444</v>
      </c>
      <c r="B1068" s="19" t="str">
        <f>HYPERLINK("https://jira.itg.ti.com/browse/PDK-5244","PDK-5244")</f>
        <v>PDK-5244</v>
      </c>
      <c r="C1068" s="18" t="s">
        <v>799</v>
      </c>
      <c r="D1068" s="18" t="s">
        <v>210</v>
      </c>
      <c r="E1068" s="18" t="s">
        <v>1645</v>
      </c>
      <c r="F1068" s="20" t="s">
        <v>1229</v>
      </c>
      <c r="G1068" s="9" t="s">
        <v>495</v>
      </c>
      <c r="H1068" s="8" t="s">
        <v>394</v>
      </c>
      <c r="I1068" s="7" t="s">
        <v>1031</v>
      </c>
    </row>
    <row r="1069" spans="1:9" ht="25.5" x14ac:dyDescent="0.35">
      <c r="A1069" s="18" t="s">
        <v>672</v>
      </c>
      <c r="B1069" s="19" t="str">
        <f>HYPERLINK("https://jira.itg.ti.com/browse/PDK-6072","PDK-6072")</f>
        <v>PDK-6072</v>
      </c>
      <c r="C1069" s="18" t="s">
        <v>243</v>
      </c>
      <c r="D1069" s="18" t="s">
        <v>1423</v>
      </c>
      <c r="E1069" s="18" t="s">
        <v>1645</v>
      </c>
      <c r="F1069" s="20" t="s">
        <v>1229</v>
      </c>
      <c r="G1069" s="9" t="s">
        <v>223</v>
      </c>
      <c r="H1069" s="8" t="s">
        <v>394</v>
      </c>
      <c r="I1069" s="7" t="s">
        <v>1031</v>
      </c>
    </row>
    <row r="1070" spans="1:9" ht="25.5" x14ac:dyDescent="0.35">
      <c r="A1070" s="18" t="s">
        <v>187</v>
      </c>
      <c r="B1070" s="19" t="str">
        <f>HYPERLINK("https://jira.itg.ti.com/browse/PDK-6081","PDK-6081")</f>
        <v>PDK-6081</v>
      </c>
      <c r="C1070" s="18" t="s">
        <v>790</v>
      </c>
      <c r="D1070" s="18" t="s">
        <v>1423</v>
      </c>
      <c r="E1070" s="18" t="s">
        <v>1645</v>
      </c>
      <c r="F1070" s="20" t="s">
        <v>1229</v>
      </c>
      <c r="G1070" s="9" t="s">
        <v>223</v>
      </c>
      <c r="H1070" s="8" t="s">
        <v>394</v>
      </c>
      <c r="I1070" s="7" t="s">
        <v>1031</v>
      </c>
    </row>
    <row r="1071" spans="1:9" ht="25.5" x14ac:dyDescent="0.35">
      <c r="A1071" s="18" t="s">
        <v>316</v>
      </c>
      <c r="B1071" s="19" t="str">
        <f>HYPERLINK("https://jira.itg.ti.com/browse/PDK-6069","PDK-6069")</f>
        <v>PDK-6069</v>
      </c>
      <c r="C1071" s="18" t="s">
        <v>359</v>
      </c>
      <c r="D1071" s="18" t="s">
        <v>1423</v>
      </c>
      <c r="E1071" s="18" t="s">
        <v>1645</v>
      </c>
      <c r="F1071" s="20" t="s">
        <v>1229</v>
      </c>
      <c r="G1071" s="9" t="s">
        <v>223</v>
      </c>
      <c r="H1071" s="8" t="s">
        <v>394</v>
      </c>
      <c r="I1071" s="7" t="s">
        <v>1031</v>
      </c>
    </row>
    <row r="1072" spans="1:9" ht="25.5" x14ac:dyDescent="0.35">
      <c r="A1072" s="18" t="s">
        <v>316</v>
      </c>
      <c r="B1072" s="19" t="str">
        <f>HYPERLINK("https://jira.itg.ti.com/browse/PDK-6073","PDK-6073")</f>
        <v>PDK-6073</v>
      </c>
      <c r="C1072" s="18" t="s">
        <v>743</v>
      </c>
      <c r="D1072" s="18" t="s">
        <v>1423</v>
      </c>
      <c r="E1072" s="18" t="s">
        <v>1645</v>
      </c>
      <c r="F1072" s="20" t="s">
        <v>1229</v>
      </c>
      <c r="G1072" s="9" t="s">
        <v>223</v>
      </c>
      <c r="H1072" s="8" t="s">
        <v>394</v>
      </c>
      <c r="I1072" s="7" t="s">
        <v>1031</v>
      </c>
    </row>
    <row r="1073" spans="1:9" ht="25.5" x14ac:dyDescent="0.35">
      <c r="A1073" s="18" t="s">
        <v>316</v>
      </c>
      <c r="B1073" s="19" t="str">
        <f>HYPERLINK("https://jira.itg.ti.com/browse/PDK-6074","PDK-6074")</f>
        <v>PDK-6074</v>
      </c>
      <c r="C1073" s="18" t="s">
        <v>1352</v>
      </c>
      <c r="D1073" s="18" t="s">
        <v>1423</v>
      </c>
      <c r="E1073" s="18" t="s">
        <v>1645</v>
      </c>
      <c r="F1073" s="20" t="s">
        <v>1229</v>
      </c>
      <c r="G1073" s="9" t="s">
        <v>223</v>
      </c>
      <c r="H1073" s="8" t="s">
        <v>394</v>
      </c>
      <c r="I1073" s="7" t="s">
        <v>1031</v>
      </c>
    </row>
    <row r="1074" spans="1:9" ht="25.5" x14ac:dyDescent="0.35">
      <c r="A1074" s="18" t="s">
        <v>316</v>
      </c>
      <c r="B1074" s="19" t="str">
        <f>HYPERLINK("https://jira.itg.ti.com/browse/PDK-6084","PDK-6084")</f>
        <v>PDK-6084</v>
      </c>
      <c r="C1074" s="18" t="s">
        <v>250</v>
      </c>
      <c r="D1074" s="18" t="s">
        <v>1423</v>
      </c>
      <c r="E1074" s="18" t="s">
        <v>1645</v>
      </c>
      <c r="F1074" s="20" t="s">
        <v>1229</v>
      </c>
      <c r="G1074" s="9" t="s">
        <v>223</v>
      </c>
      <c r="H1074" s="8" t="s">
        <v>394</v>
      </c>
      <c r="I1074" s="7" t="s">
        <v>1031</v>
      </c>
    </row>
    <row r="1075" spans="1:9" x14ac:dyDescent="0.35">
      <c r="A1075" s="18" t="s">
        <v>1289</v>
      </c>
      <c r="B1075" s="19" t="str">
        <f>HYPERLINK("https://jira.itg.ti.com/browse/PDK-6025","PDK-6025")</f>
        <v>PDK-6025</v>
      </c>
      <c r="C1075" s="18" t="s">
        <v>531</v>
      </c>
      <c r="D1075" s="18" t="s">
        <v>1569</v>
      </c>
      <c r="E1075" s="18" t="s">
        <v>1645</v>
      </c>
      <c r="F1075" s="20" t="s">
        <v>1229</v>
      </c>
      <c r="G1075" s="9" t="s">
        <v>1616</v>
      </c>
      <c r="H1075" s="8" t="s">
        <v>394</v>
      </c>
      <c r="I1075" s="7" t="s">
        <v>1031</v>
      </c>
    </row>
    <row r="1076" spans="1:9" ht="25.5" x14ac:dyDescent="0.35">
      <c r="A1076" s="18"/>
      <c r="B1076" s="19"/>
      <c r="C1076" s="18"/>
      <c r="D1076" s="18"/>
      <c r="E1076" s="18"/>
      <c r="F1076" s="20"/>
      <c r="G1076" s="10" t="s">
        <v>223</v>
      </c>
      <c r="H1076" s="8" t="s">
        <v>394</v>
      </c>
    </row>
    <row r="1077" spans="1:9" ht="25.5" x14ac:dyDescent="0.35">
      <c r="A1077" s="18" t="s">
        <v>567</v>
      </c>
      <c r="B1077" s="19" t="str">
        <f>HYPERLINK("https://jira.itg.ti.com/browse/PDK-6082","PDK-6082")</f>
        <v>PDK-6082</v>
      </c>
      <c r="C1077" s="18" t="s">
        <v>73</v>
      </c>
      <c r="D1077" s="18" t="s">
        <v>1423</v>
      </c>
      <c r="E1077" s="18" t="s">
        <v>1645</v>
      </c>
      <c r="F1077" s="20" t="s">
        <v>1229</v>
      </c>
      <c r="G1077" s="9" t="s">
        <v>223</v>
      </c>
      <c r="H1077" s="8" t="s">
        <v>394</v>
      </c>
      <c r="I1077" s="7" t="s">
        <v>1031</v>
      </c>
    </row>
    <row r="1078" spans="1:9" x14ac:dyDescent="0.35">
      <c r="A1078" s="18" t="s">
        <v>1541</v>
      </c>
      <c r="B1078" s="19" t="str">
        <f>HYPERLINK("https://jira.itg.ti.com/browse/PDK-6037","PDK-6037")</f>
        <v>PDK-6037</v>
      </c>
      <c r="C1078" s="18" t="s">
        <v>1345</v>
      </c>
      <c r="D1078" s="18" t="s">
        <v>1569</v>
      </c>
      <c r="E1078" s="18" t="s">
        <v>1645</v>
      </c>
      <c r="F1078" s="20" t="s">
        <v>1229</v>
      </c>
      <c r="G1078" s="9" t="s">
        <v>1616</v>
      </c>
      <c r="H1078" s="8" t="s">
        <v>394</v>
      </c>
      <c r="I1078" s="7" t="s">
        <v>1031</v>
      </c>
    </row>
    <row r="1079" spans="1:9" ht="25.5" x14ac:dyDescent="0.35">
      <c r="A1079" s="18" t="s">
        <v>1541</v>
      </c>
      <c r="B1079" s="19" t="str">
        <f>HYPERLINK("https://jira.itg.ti.com/browse/PDK-6065","PDK-6065")</f>
        <v>PDK-6065</v>
      </c>
      <c r="C1079" s="18" t="s">
        <v>1565</v>
      </c>
      <c r="D1079" s="18" t="s">
        <v>1423</v>
      </c>
      <c r="E1079" s="18" t="s">
        <v>1645</v>
      </c>
      <c r="F1079" s="20" t="s">
        <v>1229</v>
      </c>
      <c r="G1079" s="9" t="s">
        <v>223</v>
      </c>
      <c r="H1079" s="8" t="s">
        <v>394</v>
      </c>
      <c r="I1079" s="7" t="s">
        <v>1031</v>
      </c>
    </row>
    <row r="1080" spans="1:9" ht="25.5" x14ac:dyDescent="0.35">
      <c r="A1080" s="18" t="s">
        <v>1541</v>
      </c>
      <c r="B1080" s="19" t="str">
        <f>HYPERLINK("https://jira.itg.ti.com/browse/PDK-6066","PDK-6066")</f>
        <v>PDK-6066</v>
      </c>
      <c r="C1080" s="18" t="s">
        <v>1615</v>
      </c>
      <c r="D1080" s="18" t="s">
        <v>1423</v>
      </c>
      <c r="E1080" s="18" t="s">
        <v>1645</v>
      </c>
      <c r="F1080" s="20" t="s">
        <v>1229</v>
      </c>
      <c r="G1080" s="9" t="s">
        <v>223</v>
      </c>
      <c r="H1080" s="8" t="s">
        <v>394</v>
      </c>
      <c r="I1080" s="7" t="s">
        <v>1031</v>
      </c>
    </row>
    <row r="1081" spans="1:9" ht="25.5" x14ac:dyDescent="0.35">
      <c r="A1081" s="18" t="s">
        <v>1541</v>
      </c>
      <c r="B1081" s="19" t="str">
        <f>HYPERLINK("https://jira.itg.ti.com/browse/PDK-6068","PDK-6068")</f>
        <v>PDK-6068</v>
      </c>
      <c r="C1081" s="18" t="s">
        <v>879</v>
      </c>
      <c r="D1081" s="18" t="s">
        <v>1423</v>
      </c>
      <c r="E1081" s="18" t="s">
        <v>1645</v>
      </c>
      <c r="F1081" s="20" t="s">
        <v>1229</v>
      </c>
      <c r="G1081" s="9" t="s">
        <v>223</v>
      </c>
      <c r="H1081" s="8" t="s">
        <v>394</v>
      </c>
      <c r="I1081" s="7" t="s">
        <v>1031</v>
      </c>
    </row>
    <row r="1082" spans="1:9" ht="25.5" x14ac:dyDescent="0.35">
      <c r="A1082" s="18" t="s">
        <v>1541</v>
      </c>
      <c r="B1082" s="19" t="str">
        <f>HYPERLINK("https://jira.itg.ti.com/browse/PDK-6070","PDK-6070")</f>
        <v>PDK-6070</v>
      </c>
      <c r="C1082" s="18" t="s">
        <v>1618</v>
      </c>
      <c r="D1082" s="18" t="s">
        <v>1423</v>
      </c>
      <c r="E1082" s="18" t="s">
        <v>1645</v>
      </c>
      <c r="F1082" s="20" t="s">
        <v>1229</v>
      </c>
      <c r="G1082" s="9" t="s">
        <v>223</v>
      </c>
      <c r="H1082" s="8" t="s">
        <v>394</v>
      </c>
      <c r="I1082" s="7" t="s">
        <v>1031</v>
      </c>
    </row>
    <row r="1083" spans="1:9" ht="25.5" x14ac:dyDescent="0.35">
      <c r="A1083" s="18" t="s">
        <v>1541</v>
      </c>
      <c r="B1083" s="19" t="str">
        <f>HYPERLINK("https://jira.itg.ti.com/browse/PDK-6071","PDK-6071")</f>
        <v>PDK-6071</v>
      </c>
      <c r="C1083" s="18" t="s">
        <v>1201</v>
      </c>
      <c r="D1083" s="18" t="s">
        <v>1423</v>
      </c>
      <c r="E1083" s="18" t="s">
        <v>1645</v>
      </c>
      <c r="F1083" s="20" t="s">
        <v>1229</v>
      </c>
      <c r="G1083" s="9" t="s">
        <v>223</v>
      </c>
      <c r="H1083" s="8" t="s">
        <v>394</v>
      </c>
      <c r="I1083" s="7" t="s">
        <v>1031</v>
      </c>
    </row>
    <row r="1084" spans="1:9" ht="25.5" x14ac:dyDescent="0.35">
      <c r="A1084" s="18" t="s">
        <v>1541</v>
      </c>
      <c r="B1084" s="19" t="str">
        <f>HYPERLINK("https://jira.itg.ti.com/browse/PDK-6077","PDK-6077")</f>
        <v>PDK-6077</v>
      </c>
      <c r="C1084" s="18" t="s">
        <v>367</v>
      </c>
      <c r="D1084" s="18" t="s">
        <v>1423</v>
      </c>
      <c r="E1084" s="18" t="s">
        <v>1645</v>
      </c>
      <c r="F1084" s="20" t="s">
        <v>1229</v>
      </c>
      <c r="G1084" s="9" t="s">
        <v>223</v>
      </c>
      <c r="H1084" s="8" t="s">
        <v>394</v>
      </c>
      <c r="I1084" s="7" t="s">
        <v>1031</v>
      </c>
    </row>
    <row r="1085" spans="1:9" ht="25.5" x14ac:dyDescent="0.35">
      <c r="A1085" s="18" t="s">
        <v>1541</v>
      </c>
      <c r="B1085" s="19" t="str">
        <f>HYPERLINK("https://jira.itg.ti.com/browse/PDK-6080","PDK-6080")</f>
        <v>PDK-6080</v>
      </c>
      <c r="C1085" s="18" t="s">
        <v>959</v>
      </c>
      <c r="D1085" s="18" t="s">
        <v>1423</v>
      </c>
      <c r="E1085" s="18" t="s">
        <v>1645</v>
      </c>
      <c r="F1085" s="20" t="s">
        <v>1229</v>
      </c>
      <c r="G1085" s="9" t="s">
        <v>223</v>
      </c>
      <c r="H1085" s="8" t="s">
        <v>394</v>
      </c>
      <c r="I1085" s="7" t="s">
        <v>1031</v>
      </c>
    </row>
    <row r="1086" spans="1:9" ht="25.5" x14ac:dyDescent="0.35">
      <c r="A1086" s="19" t="str">
        <f>HYPERLINK("https://jira.itg.ti.com/browse/JACINTOREQ-474","JACINTOREQ-474")</f>
        <v>JACINTOREQ-474</v>
      </c>
      <c r="B1086" s="19" t="str">
        <f>HYPERLINK("https://jira.itg.ti.com/browse/PDK-5367","PDK-5367")</f>
        <v>PDK-5367</v>
      </c>
      <c r="C1086" s="18" t="s">
        <v>1159</v>
      </c>
      <c r="D1086" s="18" t="s">
        <v>210</v>
      </c>
      <c r="E1086" s="18" t="s">
        <v>1645</v>
      </c>
      <c r="F1086" s="20" t="s">
        <v>1229</v>
      </c>
      <c r="G1086" s="9" t="s">
        <v>814</v>
      </c>
      <c r="H1086" s="8" t="s">
        <v>394</v>
      </c>
      <c r="I1086" s="7" t="s">
        <v>1031</v>
      </c>
    </row>
    <row r="1087" spans="1:9" x14ac:dyDescent="0.35">
      <c r="A1087" s="19" t="str">
        <f>HYPERLINK("https://jira.itg.ti.com/browse/JACINTOREQ-474","JACINTOREQ-474")</f>
        <v>JACINTOREQ-474</v>
      </c>
      <c r="B1087" s="19" t="str">
        <f>HYPERLINK("https://jira.itg.ti.com/browse/PDK-5372","PDK-5372")</f>
        <v>PDK-5372</v>
      </c>
      <c r="C1087" s="18" t="s">
        <v>1029</v>
      </c>
      <c r="D1087" s="18" t="s">
        <v>210</v>
      </c>
      <c r="E1087" s="18" t="s">
        <v>1645</v>
      </c>
      <c r="F1087" s="20" t="s">
        <v>1229</v>
      </c>
      <c r="G1087" s="9" t="s">
        <v>1309</v>
      </c>
      <c r="H1087" s="8" t="s">
        <v>394</v>
      </c>
      <c r="I1087" s="7" t="s">
        <v>1031</v>
      </c>
    </row>
    <row r="1088" spans="1:9" x14ac:dyDescent="0.35">
      <c r="A1088" s="19" t="str">
        <f>HYPERLINK("https://jira.itg.ti.com/browse/JACINTOREQ-476","JACINTOREQ-476")</f>
        <v>JACINTOREQ-476</v>
      </c>
      <c r="B1088" s="19" t="str">
        <f>HYPERLINK("https://jira.itg.ti.com/browse/PDK-5245","PDK-5245")</f>
        <v>PDK-5245</v>
      </c>
      <c r="C1088" s="18" t="s">
        <v>596</v>
      </c>
      <c r="D1088" s="18" t="s">
        <v>210</v>
      </c>
      <c r="E1088" s="18" t="s">
        <v>1645</v>
      </c>
      <c r="F1088" s="20" t="s">
        <v>1229</v>
      </c>
      <c r="G1088" s="9" t="s">
        <v>495</v>
      </c>
      <c r="H1088" s="8" t="s">
        <v>394</v>
      </c>
      <c r="I1088" s="7" t="s">
        <v>1031</v>
      </c>
    </row>
    <row r="1089" spans="1:9" x14ac:dyDescent="0.35">
      <c r="A1089" s="19" t="str">
        <f>HYPERLINK("https://jira.itg.ti.com/browse/JACINTOREQ-479","JACINTOREQ-479")</f>
        <v>JACINTOREQ-479</v>
      </c>
      <c r="B1089" s="19" t="str">
        <f>HYPERLINK("https://jira.itg.ti.com/browse/PDK-5243","PDK-5243")</f>
        <v>PDK-5243</v>
      </c>
      <c r="C1089" s="18" t="s">
        <v>1469</v>
      </c>
      <c r="D1089" s="18" t="s">
        <v>210</v>
      </c>
      <c r="E1089" s="18" t="s">
        <v>1645</v>
      </c>
      <c r="F1089" s="20" t="s">
        <v>1229</v>
      </c>
      <c r="G1089" s="9" t="s">
        <v>495</v>
      </c>
      <c r="H1089" s="8" t="s">
        <v>394</v>
      </c>
      <c r="I1089" s="7" t="s">
        <v>1031</v>
      </c>
    </row>
    <row r="1090" spans="1:9" x14ac:dyDescent="0.35">
      <c r="A1090" s="19" t="str">
        <f>HYPERLINK("https://jira.itg.ti.com/browse/JACINTOREQ-481","JACINTOREQ-481")</f>
        <v>JACINTOREQ-481</v>
      </c>
      <c r="B1090" s="19" t="str">
        <f>HYPERLINK("https://jira.itg.ti.com/browse/PDK-4966","PDK-4966")</f>
        <v>PDK-4966</v>
      </c>
      <c r="C1090" s="18" t="s">
        <v>91</v>
      </c>
      <c r="D1090" s="18" t="s">
        <v>210</v>
      </c>
      <c r="E1090" s="18" t="s">
        <v>1645</v>
      </c>
      <c r="F1090" s="20" t="s">
        <v>1229</v>
      </c>
      <c r="G1090" s="9" t="s">
        <v>1226</v>
      </c>
      <c r="H1090" s="8" t="s">
        <v>394</v>
      </c>
      <c r="I1090" s="7" t="s">
        <v>1031</v>
      </c>
    </row>
    <row r="1091" spans="1:9" ht="25.5" x14ac:dyDescent="0.35">
      <c r="A1091" s="19"/>
      <c r="B1091" s="19"/>
      <c r="C1091" s="18"/>
      <c r="D1091" s="18"/>
      <c r="E1091" s="18"/>
      <c r="F1091" s="20"/>
      <c r="G1091" s="10" t="s">
        <v>485</v>
      </c>
      <c r="H1091" s="8" t="s">
        <v>394</v>
      </c>
    </row>
    <row r="1092" spans="1:9" x14ac:dyDescent="0.35">
      <c r="A1092" s="19" t="str">
        <f>HYPERLINK("https://jira.itg.ti.com/browse/JACINTOREQ-510","JACINTOREQ-510")</f>
        <v>JACINTOREQ-510</v>
      </c>
      <c r="B1092" s="19" t="str">
        <f>HYPERLINK("https://jira.itg.ti.com/browse/PDK-4617","PDK-4617")</f>
        <v>PDK-4617</v>
      </c>
      <c r="C1092" s="18" t="s">
        <v>362</v>
      </c>
      <c r="D1092" s="18" t="s">
        <v>210</v>
      </c>
      <c r="E1092" s="18" t="s">
        <v>1645</v>
      </c>
      <c r="F1092" s="20" t="s">
        <v>1229</v>
      </c>
      <c r="G1092" s="9" t="s">
        <v>1655</v>
      </c>
      <c r="H1092" s="8" t="s">
        <v>394</v>
      </c>
      <c r="I1092" s="7" t="s">
        <v>1031</v>
      </c>
    </row>
    <row r="1093" spans="1:9" x14ac:dyDescent="0.35">
      <c r="A1093" s="14"/>
      <c r="B1093" s="14"/>
      <c r="C1093" s="14"/>
      <c r="D1093" s="14"/>
      <c r="E1093" s="14"/>
      <c r="F1093" s="14"/>
      <c r="G1093" s="10" t="s">
        <v>695</v>
      </c>
      <c r="H1093" s="8" t="s">
        <v>394</v>
      </c>
    </row>
    <row r="1094" spans="1:9" x14ac:dyDescent="0.35">
      <c r="A1094" s="19"/>
      <c r="B1094" s="19"/>
      <c r="C1094" s="18"/>
      <c r="D1094" s="18"/>
      <c r="E1094" s="18"/>
      <c r="F1094" s="20"/>
      <c r="G1094" s="10" t="s">
        <v>894</v>
      </c>
      <c r="H1094" s="8" t="s">
        <v>394</v>
      </c>
    </row>
    <row r="1095" spans="1:9" x14ac:dyDescent="0.35">
      <c r="A1095" s="18" t="s">
        <v>29</v>
      </c>
      <c r="B1095" s="19" t="str">
        <f>HYPERLINK("https://jira.itg.ti.com/browse/PDK-5530","PDK-5530")</f>
        <v>PDK-5530</v>
      </c>
      <c r="C1095" s="18" t="s">
        <v>845</v>
      </c>
      <c r="D1095" s="18" t="s">
        <v>849</v>
      </c>
      <c r="E1095" s="18" t="s">
        <v>1645</v>
      </c>
      <c r="F1095" s="20" t="s">
        <v>1229</v>
      </c>
      <c r="G1095" s="9" t="s">
        <v>219</v>
      </c>
      <c r="H1095" s="8" t="s">
        <v>394</v>
      </c>
      <c r="I1095" s="7" t="s">
        <v>1031</v>
      </c>
    </row>
    <row r="1096" spans="1:9" x14ac:dyDescent="0.35">
      <c r="A1096" s="18" t="s">
        <v>29</v>
      </c>
      <c r="B1096" s="19" t="str">
        <f>HYPERLINK("https://jira.itg.ti.com/browse/PDK-5531","PDK-5531")</f>
        <v>PDK-5531</v>
      </c>
      <c r="C1096" s="18" t="s">
        <v>1148</v>
      </c>
      <c r="D1096" s="18" t="s">
        <v>849</v>
      </c>
      <c r="E1096" s="18" t="s">
        <v>1645</v>
      </c>
      <c r="F1096" s="20" t="s">
        <v>1229</v>
      </c>
      <c r="G1096" s="9" t="s">
        <v>1463</v>
      </c>
      <c r="H1096" s="8" t="s">
        <v>394</v>
      </c>
      <c r="I1096" s="7" t="s">
        <v>1031</v>
      </c>
    </row>
    <row r="1097" spans="1:9" ht="25.5" x14ac:dyDescent="0.35">
      <c r="A1097" s="18" t="s">
        <v>29</v>
      </c>
      <c r="B1097" s="19" t="str">
        <f>HYPERLINK("https://jira.itg.ti.com/browse/PDK-5532","PDK-5532")</f>
        <v>PDK-5532</v>
      </c>
      <c r="C1097" s="18" t="s">
        <v>1546</v>
      </c>
      <c r="D1097" s="18" t="s">
        <v>849</v>
      </c>
      <c r="E1097" s="18" t="s">
        <v>1645</v>
      </c>
      <c r="F1097" s="20" t="s">
        <v>1229</v>
      </c>
      <c r="G1097" s="9" t="s">
        <v>483</v>
      </c>
      <c r="H1097" s="8" t="s">
        <v>394</v>
      </c>
      <c r="I1097" s="7" t="s">
        <v>1031</v>
      </c>
    </row>
    <row r="1098" spans="1:9" x14ac:dyDescent="0.35">
      <c r="A1098" s="18"/>
      <c r="B1098" s="19"/>
      <c r="C1098" s="18"/>
      <c r="D1098" s="18"/>
      <c r="E1098" s="18"/>
      <c r="F1098" s="20"/>
      <c r="G1098" s="10" t="s">
        <v>686</v>
      </c>
      <c r="H1098" s="8" t="s">
        <v>394</v>
      </c>
    </row>
    <row r="1099" spans="1:9" x14ac:dyDescent="0.35">
      <c r="A1099" s="18" t="s">
        <v>29</v>
      </c>
      <c r="B1099" s="19" t="str">
        <f>HYPERLINK("https://jira.itg.ti.com/browse/PDK-5603","PDK-5603")</f>
        <v>PDK-5603</v>
      </c>
      <c r="C1099" s="18" t="s">
        <v>1374</v>
      </c>
      <c r="D1099" s="18" t="s">
        <v>849</v>
      </c>
      <c r="E1099" s="18" t="s">
        <v>1645</v>
      </c>
      <c r="F1099" s="20" t="s">
        <v>1229</v>
      </c>
      <c r="G1099" s="9" t="s">
        <v>904</v>
      </c>
      <c r="H1099" s="8" t="s">
        <v>394</v>
      </c>
      <c r="I1099" s="7" t="s">
        <v>1031</v>
      </c>
    </row>
    <row r="1100" spans="1:9" x14ac:dyDescent="0.35">
      <c r="A1100" s="18" t="s">
        <v>29</v>
      </c>
      <c r="B1100" s="19" t="str">
        <f>HYPERLINK("https://jira.itg.ti.com/browse/PDK-5627","PDK-5627")</f>
        <v>PDK-5627</v>
      </c>
      <c r="C1100" s="18" t="s">
        <v>288</v>
      </c>
      <c r="D1100" s="18" t="s">
        <v>849</v>
      </c>
      <c r="E1100" s="18" t="s">
        <v>1645</v>
      </c>
      <c r="F1100" s="20" t="s">
        <v>1229</v>
      </c>
      <c r="G1100" s="9" t="s">
        <v>731</v>
      </c>
      <c r="H1100" s="8" t="s">
        <v>394</v>
      </c>
      <c r="I1100" s="7" t="s">
        <v>1031</v>
      </c>
    </row>
    <row r="1101" spans="1:9" x14ac:dyDescent="0.35">
      <c r="A1101" s="19" t="str">
        <f t="shared" ref="A1101:A1108" si="18">HYPERLINK("https://jira.itg.ti.com/browse/JACINTOREQ-544","JACINTOREQ-544")</f>
        <v>JACINTOREQ-544</v>
      </c>
      <c r="B1101" s="19" t="str">
        <f>HYPERLINK("https://jira.itg.ti.com/browse/PDK-5179","PDK-5179")</f>
        <v>PDK-5179</v>
      </c>
      <c r="C1101" s="18" t="s">
        <v>111</v>
      </c>
      <c r="D1101" s="18" t="s">
        <v>117</v>
      </c>
      <c r="E1101" s="18" t="s">
        <v>1645</v>
      </c>
      <c r="F1101" s="20" t="s">
        <v>1229</v>
      </c>
      <c r="G1101" s="9" t="s">
        <v>977</v>
      </c>
      <c r="H1101" s="8" t="s">
        <v>394</v>
      </c>
      <c r="I1101" s="7" t="s">
        <v>1031</v>
      </c>
    </row>
    <row r="1102" spans="1:9" x14ac:dyDescent="0.35">
      <c r="A1102" s="19" t="str">
        <f t="shared" si="18"/>
        <v>JACINTOREQ-544</v>
      </c>
      <c r="B1102" s="19" t="str">
        <f>HYPERLINK("https://jira.itg.ti.com/browse/PDK-5184","PDK-5184")</f>
        <v>PDK-5184</v>
      </c>
      <c r="C1102" s="18" t="s">
        <v>1092</v>
      </c>
      <c r="D1102" s="18" t="s">
        <v>117</v>
      </c>
      <c r="E1102" s="18" t="s">
        <v>1645</v>
      </c>
      <c r="F1102" s="20" t="s">
        <v>1229</v>
      </c>
      <c r="G1102" s="9" t="s">
        <v>977</v>
      </c>
      <c r="H1102" s="8" t="s">
        <v>394</v>
      </c>
      <c r="I1102" s="7" t="s">
        <v>1031</v>
      </c>
    </row>
    <row r="1103" spans="1:9" x14ac:dyDescent="0.35">
      <c r="A1103" s="19" t="str">
        <f t="shared" si="18"/>
        <v>JACINTOREQ-544</v>
      </c>
      <c r="B1103" s="19" t="str">
        <f>HYPERLINK("https://jira.itg.ti.com/browse/PDK-5211","PDK-5211")</f>
        <v>PDK-5211</v>
      </c>
      <c r="C1103" s="18" t="s">
        <v>464</v>
      </c>
      <c r="D1103" s="18" t="s">
        <v>117</v>
      </c>
      <c r="E1103" s="18" t="s">
        <v>1645</v>
      </c>
      <c r="F1103" s="20" t="s">
        <v>1229</v>
      </c>
      <c r="G1103" s="9" t="s">
        <v>977</v>
      </c>
      <c r="H1103" s="8" t="s">
        <v>394</v>
      </c>
      <c r="I1103" s="7" t="s">
        <v>1031</v>
      </c>
    </row>
    <row r="1104" spans="1:9" ht="25.5" x14ac:dyDescent="0.35">
      <c r="A1104" s="19" t="str">
        <f t="shared" si="18"/>
        <v>JACINTOREQ-544</v>
      </c>
      <c r="B1104" s="19" t="str">
        <f>HYPERLINK("https://jira.itg.ti.com/browse/PDK-9319","PDK-9319")</f>
        <v>PDK-9319</v>
      </c>
      <c r="C1104" s="18" t="s">
        <v>1431</v>
      </c>
      <c r="D1104" s="18" t="s">
        <v>117</v>
      </c>
      <c r="E1104" s="18" t="s">
        <v>1645</v>
      </c>
      <c r="F1104" s="20" t="s">
        <v>1229</v>
      </c>
      <c r="G1104" s="9" t="s">
        <v>478</v>
      </c>
      <c r="H1104" s="8" t="s">
        <v>394</v>
      </c>
      <c r="I1104" s="7" t="s">
        <v>1031</v>
      </c>
    </row>
    <row r="1105" spans="1:9" ht="25.5" x14ac:dyDescent="0.35">
      <c r="A1105" s="19" t="str">
        <f t="shared" si="18"/>
        <v>JACINTOREQ-544</v>
      </c>
      <c r="B1105" s="19" t="str">
        <f>HYPERLINK("https://jira.itg.ti.com/browse/PDK-9320","PDK-9320")</f>
        <v>PDK-9320</v>
      </c>
      <c r="C1105" s="18" t="s">
        <v>1500</v>
      </c>
      <c r="D1105" s="18" t="s">
        <v>117</v>
      </c>
      <c r="E1105" s="18" t="s">
        <v>1645</v>
      </c>
      <c r="F1105" s="20" t="s">
        <v>1229</v>
      </c>
      <c r="G1105" s="9" t="s">
        <v>290</v>
      </c>
      <c r="H1105" s="8" t="s">
        <v>394</v>
      </c>
      <c r="I1105" s="7" t="s">
        <v>1031</v>
      </c>
    </row>
    <row r="1106" spans="1:9" x14ac:dyDescent="0.35">
      <c r="A1106" s="19" t="str">
        <f t="shared" si="18"/>
        <v>JACINTOREQ-544</v>
      </c>
      <c r="B1106" s="19" t="str">
        <f>HYPERLINK("https://jira.itg.ti.com/browse/PDK-9321","PDK-9321")</f>
        <v>PDK-9321</v>
      </c>
      <c r="C1106" s="18" t="s">
        <v>1396</v>
      </c>
      <c r="D1106" s="18" t="s">
        <v>117</v>
      </c>
      <c r="E1106" s="18" t="s">
        <v>1645</v>
      </c>
      <c r="F1106" s="20" t="s">
        <v>1229</v>
      </c>
      <c r="G1106" s="9" t="s">
        <v>977</v>
      </c>
      <c r="H1106" s="8" t="s">
        <v>394</v>
      </c>
      <c r="I1106" s="7" t="s">
        <v>1031</v>
      </c>
    </row>
    <row r="1107" spans="1:9" x14ac:dyDescent="0.35">
      <c r="A1107" s="19" t="str">
        <f t="shared" si="18"/>
        <v>JACINTOREQ-544</v>
      </c>
      <c r="B1107" s="19" t="str">
        <f>HYPERLINK("https://jira.itg.ti.com/browse/PDK-9322","PDK-9322")</f>
        <v>PDK-9322</v>
      </c>
      <c r="C1107" s="18" t="s">
        <v>1448</v>
      </c>
      <c r="D1107" s="18" t="s">
        <v>970</v>
      </c>
      <c r="E1107" s="18" t="s">
        <v>1645</v>
      </c>
      <c r="F1107" s="20" t="s">
        <v>1229</v>
      </c>
      <c r="G1107" s="9" t="s">
        <v>505</v>
      </c>
      <c r="H1107" s="8" t="s">
        <v>394</v>
      </c>
      <c r="I1107" s="7" t="s">
        <v>1031</v>
      </c>
    </row>
    <row r="1108" spans="1:9" x14ac:dyDescent="0.35">
      <c r="A1108" s="19" t="str">
        <f t="shared" si="18"/>
        <v>JACINTOREQ-544</v>
      </c>
      <c r="B1108" s="19" t="str">
        <f>HYPERLINK("https://jira.itg.ti.com/browse/PDK-9323","PDK-9323")</f>
        <v>PDK-9323</v>
      </c>
      <c r="C1108" s="18" t="s">
        <v>1146</v>
      </c>
      <c r="D1108" s="18" t="s">
        <v>970</v>
      </c>
      <c r="E1108" s="18" t="s">
        <v>1645</v>
      </c>
      <c r="F1108" s="20" t="s">
        <v>1229</v>
      </c>
      <c r="G1108" s="9" t="s">
        <v>1614</v>
      </c>
      <c r="H1108" s="8" t="s">
        <v>394</v>
      </c>
      <c r="I1108" s="7" t="s">
        <v>1031</v>
      </c>
    </row>
    <row r="1109" spans="1:9" x14ac:dyDescent="0.35">
      <c r="A1109" s="19" t="str">
        <f>HYPERLINK("https://jira.itg.ti.com/browse/JACINTOREQ-546","JACINTOREQ-546")</f>
        <v>JACINTOREQ-546</v>
      </c>
      <c r="B1109" s="19" t="str">
        <f>HYPERLINK("https://jira.itg.ti.com/browse/PDK-5665","PDK-5665")</f>
        <v>PDK-5665</v>
      </c>
      <c r="C1109" s="18" t="s">
        <v>299</v>
      </c>
      <c r="D1109" s="18" t="s">
        <v>210</v>
      </c>
      <c r="E1109" s="18" t="s">
        <v>1645</v>
      </c>
      <c r="F1109" s="20" t="s">
        <v>1229</v>
      </c>
      <c r="G1109" s="9" t="s">
        <v>262</v>
      </c>
      <c r="H1109" s="8" t="s">
        <v>394</v>
      </c>
      <c r="I1109" s="7" t="s">
        <v>1031</v>
      </c>
    </row>
    <row r="1110" spans="1:9" x14ac:dyDescent="0.35">
      <c r="A1110" s="19" t="str">
        <f>HYPERLINK("https://jira.itg.ti.com/browse/JACINTOREQ-592","JACINTOREQ-592")</f>
        <v>JACINTOREQ-592</v>
      </c>
      <c r="B1110" s="19" t="str">
        <f>HYPERLINK("https://jira.itg.ti.com/browse/PDK-5200","PDK-5200")</f>
        <v>PDK-5200</v>
      </c>
      <c r="C1110" s="18" t="s">
        <v>23</v>
      </c>
      <c r="D1110" s="18" t="s">
        <v>970</v>
      </c>
      <c r="E1110" s="18" t="s">
        <v>1645</v>
      </c>
      <c r="F1110" s="20" t="s">
        <v>1229</v>
      </c>
      <c r="G1110" s="9" t="s">
        <v>1231</v>
      </c>
      <c r="H1110" s="8" t="s">
        <v>394</v>
      </c>
      <c r="I1110" s="7" t="s">
        <v>1031</v>
      </c>
    </row>
    <row r="1111" spans="1:9" x14ac:dyDescent="0.35">
      <c r="A1111" s="19" t="str">
        <f>HYPERLINK("https://jira.itg.ti.com/browse/JACINTOREQ-600","JACINTOREQ-600")</f>
        <v>JACINTOREQ-600</v>
      </c>
      <c r="B1111" s="19" t="str">
        <f>HYPERLINK("https://jira.itg.ti.com/browse/PDK-5257","PDK-5257")</f>
        <v>PDK-5257</v>
      </c>
      <c r="C1111" s="18" t="s">
        <v>67</v>
      </c>
      <c r="D1111" s="18" t="s">
        <v>117</v>
      </c>
      <c r="E1111" s="18" t="s">
        <v>1645</v>
      </c>
      <c r="F1111" s="20" t="s">
        <v>1229</v>
      </c>
      <c r="G1111" s="9" t="s">
        <v>495</v>
      </c>
      <c r="H1111" s="8" t="s">
        <v>394</v>
      </c>
      <c r="I1111" s="7" t="s">
        <v>1031</v>
      </c>
    </row>
    <row r="1112" spans="1:9" x14ac:dyDescent="0.35">
      <c r="A1112" s="19" t="str">
        <f>HYPERLINK("https://jira.itg.ti.com/browse/JACINTOREQ-601","JACINTOREQ-601")</f>
        <v>JACINTOREQ-601</v>
      </c>
      <c r="B1112" s="19" t="str">
        <f>HYPERLINK("https://jira.itg.ti.com/browse/PDK-5204","PDK-5204")</f>
        <v>PDK-5204</v>
      </c>
      <c r="C1112" s="18" t="s">
        <v>1256</v>
      </c>
      <c r="D1112" s="18" t="s">
        <v>210</v>
      </c>
      <c r="E1112" s="18" t="s">
        <v>1645</v>
      </c>
      <c r="F1112" s="20" t="s">
        <v>1229</v>
      </c>
      <c r="G1112" s="9" t="s">
        <v>1143</v>
      </c>
      <c r="H1112" s="8" t="s">
        <v>394</v>
      </c>
      <c r="I1112" s="7" t="s">
        <v>1031</v>
      </c>
    </row>
    <row r="1113" spans="1:9" x14ac:dyDescent="0.35">
      <c r="A1113" s="18" t="s">
        <v>1287</v>
      </c>
      <c r="B1113" s="19" t="str">
        <f>HYPERLINK("https://jira.itg.ti.com/browse/PDK-5970","PDK-5970")</f>
        <v>PDK-5970</v>
      </c>
      <c r="C1113" s="18" t="s">
        <v>886</v>
      </c>
      <c r="D1113" s="18" t="s">
        <v>104</v>
      </c>
      <c r="E1113" s="18" t="s">
        <v>1645</v>
      </c>
      <c r="F1113" s="20" t="s">
        <v>1229</v>
      </c>
      <c r="G1113" s="9" t="s">
        <v>292</v>
      </c>
      <c r="H1113" s="8" t="s">
        <v>394</v>
      </c>
      <c r="I1113" s="7" t="s">
        <v>1031</v>
      </c>
    </row>
    <row r="1114" spans="1:9" x14ac:dyDescent="0.35">
      <c r="A1114" s="18" t="s">
        <v>1287</v>
      </c>
      <c r="B1114" s="19" t="str">
        <f>HYPERLINK("https://jira.itg.ti.com/browse/PDK-5971","PDK-5971")</f>
        <v>PDK-5971</v>
      </c>
      <c r="C1114" s="18" t="s">
        <v>300</v>
      </c>
      <c r="D1114" s="18" t="s">
        <v>104</v>
      </c>
      <c r="E1114" s="18" t="s">
        <v>1645</v>
      </c>
      <c r="F1114" s="20" t="s">
        <v>1229</v>
      </c>
      <c r="G1114" s="9" t="s">
        <v>1055</v>
      </c>
      <c r="H1114" s="8" t="s">
        <v>394</v>
      </c>
      <c r="I1114" s="7" t="s">
        <v>1031</v>
      </c>
    </row>
    <row r="1115" spans="1:9" x14ac:dyDescent="0.35">
      <c r="A1115" s="19" t="str">
        <f t="shared" ref="A1115:A1124" si="19">HYPERLINK("https://jira.itg.ti.com/browse/JACINTOREQ-634","JACINTOREQ-634")</f>
        <v>JACINTOREQ-634</v>
      </c>
      <c r="B1115" s="19" t="str">
        <f>HYPERLINK("https://jira.itg.ti.com/browse/PDK-5162","PDK-5162")</f>
        <v>PDK-5162</v>
      </c>
      <c r="C1115" s="18" t="s">
        <v>370</v>
      </c>
      <c r="D1115" s="18" t="s">
        <v>642</v>
      </c>
      <c r="E1115" s="18" t="s">
        <v>1645</v>
      </c>
      <c r="F1115" s="20" t="s">
        <v>1229</v>
      </c>
      <c r="G1115" s="9" t="s">
        <v>583</v>
      </c>
      <c r="H1115" s="8" t="s">
        <v>394</v>
      </c>
      <c r="I1115" s="7" t="s">
        <v>1031</v>
      </c>
    </row>
    <row r="1116" spans="1:9" x14ac:dyDescent="0.35">
      <c r="A1116" s="19" t="str">
        <f t="shared" si="19"/>
        <v>JACINTOREQ-634</v>
      </c>
      <c r="B1116" s="19" t="str">
        <f>HYPERLINK("https://jira.itg.ti.com/browse/PDK-5164","PDK-5164")</f>
        <v>PDK-5164</v>
      </c>
      <c r="C1116" s="18" t="s">
        <v>687</v>
      </c>
      <c r="D1116" s="18" t="s">
        <v>642</v>
      </c>
      <c r="E1116" s="18" t="s">
        <v>1645</v>
      </c>
      <c r="F1116" s="20" t="s">
        <v>1229</v>
      </c>
      <c r="G1116" s="9" t="s">
        <v>583</v>
      </c>
      <c r="H1116" s="8" t="s">
        <v>394</v>
      </c>
      <c r="I1116" s="7" t="s">
        <v>1031</v>
      </c>
    </row>
    <row r="1117" spans="1:9" x14ac:dyDescent="0.35">
      <c r="A1117" s="19" t="str">
        <f t="shared" si="19"/>
        <v>JACINTOREQ-634</v>
      </c>
      <c r="B1117" s="19" t="str">
        <f>HYPERLINK("https://jira.itg.ti.com/browse/PDK-5192","PDK-5192")</f>
        <v>PDK-5192</v>
      </c>
      <c r="C1117" s="18" t="s">
        <v>414</v>
      </c>
      <c r="D1117" s="18" t="s">
        <v>642</v>
      </c>
      <c r="E1117" s="18" t="s">
        <v>1645</v>
      </c>
      <c r="F1117" s="20" t="s">
        <v>1229</v>
      </c>
      <c r="G1117" s="9" t="s">
        <v>583</v>
      </c>
      <c r="H1117" s="8" t="s">
        <v>394</v>
      </c>
      <c r="I1117" s="7" t="s">
        <v>1031</v>
      </c>
    </row>
    <row r="1118" spans="1:9" x14ac:dyDescent="0.35">
      <c r="A1118" s="19" t="str">
        <f t="shared" si="19"/>
        <v>JACINTOREQ-634</v>
      </c>
      <c r="B1118" s="19" t="str">
        <f>HYPERLINK("https://jira.itg.ti.com/browse/PDK-5194","PDK-5194")</f>
        <v>PDK-5194</v>
      </c>
      <c r="C1118" s="18" t="s">
        <v>1460</v>
      </c>
      <c r="D1118" s="18" t="s">
        <v>642</v>
      </c>
      <c r="E1118" s="18" t="s">
        <v>1645</v>
      </c>
      <c r="F1118" s="20" t="s">
        <v>1229</v>
      </c>
      <c r="G1118" s="9" t="s">
        <v>583</v>
      </c>
      <c r="H1118" s="8" t="s">
        <v>394</v>
      </c>
      <c r="I1118" s="7" t="s">
        <v>1031</v>
      </c>
    </row>
    <row r="1119" spans="1:9" x14ac:dyDescent="0.35">
      <c r="A1119" s="19" t="str">
        <f t="shared" si="19"/>
        <v>JACINTOREQ-634</v>
      </c>
      <c r="B1119" s="19" t="str">
        <f>HYPERLINK("https://jira.itg.ti.com/browse/PDK-5196","PDK-5196")</f>
        <v>PDK-5196</v>
      </c>
      <c r="C1119" s="18" t="s">
        <v>1393</v>
      </c>
      <c r="D1119" s="18" t="s">
        <v>642</v>
      </c>
      <c r="E1119" s="18" t="s">
        <v>1645</v>
      </c>
      <c r="F1119" s="20" t="s">
        <v>1229</v>
      </c>
      <c r="G1119" s="9" t="s">
        <v>583</v>
      </c>
      <c r="H1119" s="8" t="s">
        <v>394</v>
      </c>
      <c r="I1119" s="7" t="s">
        <v>1031</v>
      </c>
    </row>
    <row r="1120" spans="1:9" x14ac:dyDescent="0.35">
      <c r="A1120" s="19" t="str">
        <f t="shared" si="19"/>
        <v>JACINTOREQ-634</v>
      </c>
      <c r="B1120" s="19" t="str">
        <f>HYPERLINK("https://jira.itg.ti.com/browse/PDK-5198","PDK-5198")</f>
        <v>PDK-5198</v>
      </c>
      <c r="C1120" s="18" t="s">
        <v>146</v>
      </c>
      <c r="D1120" s="18" t="s">
        <v>642</v>
      </c>
      <c r="E1120" s="18" t="s">
        <v>1645</v>
      </c>
      <c r="F1120" s="20" t="s">
        <v>1229</v>
      </c>
      <c r="G1120" s="9" t="s">
        <v>583</v>
      </c>
      <c r="H1120" s="8" t="s">
        <v>394</v>
      </c>
      <c r="I1120" s="7" t="s">
        <v>1031</v>
      </c>
    </row>
    <row r="1121" spans="1:9" x14ac:dyDescent="0.35">
      <c r="A1121" s="19" t="str">
        <f t="shared" si="19"/>
        <v>JACINTOREQ-634</v>
      </c>
      <c r="B1121" s="19" t="str">
        <f>HYPERLINK("https://jira.itg.ti.com/browse/PDK-5203","PDK-5203")</f>
        <v>PDK-5203</v>
      </c>
      <c r="C1121" s="18" t="s">
        <v>1602</v>
      </c>
      <c r="D1121" s="18" t="s">
        <v>642</v>
      </c>
      <c r="E1121" s="18" t="s">
        <v>1645</v>
      </c>
      <c r="F1121" s="20" t="s">
        <v>1229</v>
      </c>
      <c r="G1121" s="9" t="s">
        <v>583</v>
      </c>
      <c r="H1121" s="8" t="s">
        <v>394</v>
      </c>
      <c r="I1121" s="7" t="s">
        <v>1031</v>
      </c>
    </row>
    <row r="1122" spans="1:9" x14ac:dyDescent="0.35">
      <c r="A1122" s="19" t="str">
        <f t="shared" si="19"/>
        <v>JACINTOREQ-634</v>
      </c>
      <c r="B1122" s="19" t="str">
        <f>HYPERLINK("https://jira.itg.ti.com/browse/PDK-5206","PDK-5206")</f>
        <v>PDK-5206</v>
      </c>
      <c r="C1122" s="18" t="s">
        <v>856</v>
      </c>
      <c r="D1122" s="18" t="s">
        <v>642</v>
      </c>
      <c r="E1122" s="18" t="s">
        <v>1645</v>
      </c>
      <c r="F1122" s="20" t="s">
        <v>1229</v>
      </c>
      <c r="G1122" s="9" t="s">
        <v>583</v>
      </c>
      <c r="H1122" s="8" t="s">
        <v>394</v>
      </c>
      <c r="I1122" s="7" t="s">
        <v>1031</v>
      </c>
    </row>
    <row r="1123" spans="1:9" x14ac:dyDescent="0.35">
      <c r="A1123" s="19" t="str">
        <f t="shared" si="19"/>
        <v>JACINTOREQ-634</v>
      </c>
      <c r="B1123" s="19" t="str">
        <f>HYPERLINK("https://jira.itg.ti.com/browse/PDK-5209","PDK-5209")</f>
        <v>PDK-5209</v>
      </c>
      <c r="C1123" s="18" t="s">
        <v>630</v>
      </c>
      <c r="D1123" s="18" t="s">
        <v>642</v>
      </c>
      <c r="E1123" s="18" t="s">
        <v>1645</v>
      </c>
      <c r="F1123" s="20" t="s">
        <v>1229</v>
      </c>
      <c r="G1123" s="9" t="s">
        <v>583</v>
      </c>
      <c r="H1123" s="8" t="s">
        <v>394</v>
      </c>
      <c r="I1123" s="7" t="s">
        <v>1031</v>
      </c>
    </row>
    <row r="1124" spans="1:9" x14ac:dyDescent="0.35">
      <c r="A1124" s="19" t="str">
        <f t="shared" si="19"/>
        <v>JACINTOREQ-634</v>
      </c>
      <c r="B1124" s="19" t="str">
        <f>HYPERLINK("https://jira.itg.ti.com/browse/PDK-5210","PDK-5210")</f>
        <v>PDK-5210</v>
      </c>
      <c r="C1124" s="18" t="s">
        <v>301</v>
      </c>
      <c r="D1124" s="18" t="s">
        <v>642</v>
      </c>
      <c r="E1124" s="18" t="s">
        <v>1645</v>
      </c>
      <c r="F1124" s="20" t="s">
        <v>1229</v>
      </c>
      <c r="G1124" s="9" t="s">
        <v>583</v>
      </c>
      <c r="H1124" s="8" t="s">
        <v>394</v>
      </c>
      <c r="I1124" s="7" t="s">
        <v>1031</v>
      </c>
    </row>
    <row r="1125" spans="1:9" ht="25.5" x14ac:dyDescent="0.35">
      <c r="A1125" s="19" t="str">
        <f>HYPERLINK("https://jira.itg.ti.com/browse/JACINTOREQ-644","JACINTOREQ-644")</f>
        <v>JACINTOREQ-644</v>
      </c>
      <c r="B1125" s="19" t="str">
        <f>HYPERLINK("https://jira.itg.ti.com/browse/PDK-5173","PDK-5173")</f>
        <v>PDK-5173</v>
      </c>
      <c r="C1125" s="18" t="s">
        <v>1619</v>
      </c>
      <c r="D1125" s="18" t="s">
        <v>210</v>
      </c>
      <c r="E1125" s="18" t="s">
        <v>1645</v>
      </c>
      <c r="F1125" s="20" t="s">
        <v>1229</v>
      </c>
      <c r="G1125" s="9" t="s">
        <v>142</v>
      </c>
      <c r="H1125" s="8" t="s">
        <v>394</v>
      </c>
      <c r="I1125" s="7" t="s">
        <v>1031</v>
      </c>
    </row>
    <row r="1126" spans="1:9" x14ac:dyDescent="0.35">
      <c r="A1126" s="19" t="str">
        <f>HYPERLINK("https://jira.itg.ti.com/browse/JACINTOREQ-653","JACINTOREQ-653")</f>
        <v>JACINTOREQ-653</v>
      </c>
      <c r="B1126" s="19" t="str">
        <f>HYPERLINK("https://jira.itg.ti.com/browse/PDK-5253","PDK-5253")</f>
        <v>PDK-5253</v>
      </c>
      <c r="C1126" s="18" t="s">
        <v>746</v>
      </c>
      <c r="D1126" s="18" t="s">
        <v>210</v>
      </c>
      <c r="E1126" s="18" t="s">
        <v>1645</v>
      </c>
      <c r="F1126" s="20" t="s">
        <v>1229</v>
      </c>
      <c r="G1126" s="9" t="s">
        <v>480</v>
      </c>
      <c r="H1126" s="8" t="s">
        <v>394</v>
      </c>
      <c r="I1126" s="7" t="s">
        <v>1031</v>
      </c>
    </row>
    <row r="1127" spans="1:9" ht="25.5" x14ac:dyDescent="0.35">
      <c r="A1127" s="19" t="str">
        <f>HYPERLINK("https://jira.itg.ti.com/browse/JACINTOREQ-678","JACINTOREQ-678")</f>
        <v>JACINTOREQ-678</v>
      </c>
      <c r="B1127" s="19" t="str">
        <f>HYPERLINK("https://jira.itg.ti.com/browse/PDK-5149","PDK-5149")</f>
        <v>PDK-5149</v>
      </c>
      <c r="C1127" s="18" t="s">
        <v>631</v>
      </c>
      <c r="D1127" s="18" t="s">
        <v>210</v>
      </c>
      <c r="E1127" s="18" t="s">
        <v>1645</v>
      </c>
      <c r="F1127" s="20" t="s">
        <v>1229</v>
      </c>
      <c r="G1127" s="9" t="s">
        <v>1649</v>
      </c>
      <c r="H1127" s="8" t="s">
        <v>394</v>
      </c>
      <c r="I1127" s="7" t="s">
        <v>1031</v>
      </c>
    </row>
    <row r="1128" spans="1:9" x14ac:dyDescent="0.35">
      <c r="A1128" s="14"/>
      <c r="B1128" s="14"/>
      <c r="C1128" s="14"/>
      <c r="D1128" s="14"/>
      <c r="E1128" s="14"/>
      <c r="F1128" s="14"/>
      <c r="G1128" s="10" t="s">
        <v>1143</v>
      </c>
      <c r="H1128" s="8" t="s">
        <v>394</v>
      </c>
    </row>
    <row r="1129" spans="1:9" x14ac:dyDescent="0.35">
      <c r="A1129" s="19"/>
      <c r="B1129" s="19"/>
      <c r="C1129" s="18"/>
      <c r="D1129" s="18"/>
      <c r="E1129" s="18"/>
      <c r="F1129" s="20"/>
      <c r="G1129" s="10" t="s">
        <v>480</v>
      </c>
      <c r="H1129" s="8" t="s">
        <v>394</v>
      </c>
    </row>
    <row r="1130" spans="1:9" x14ac:dyDescent="0.35">
      <c r="A1130" s="19" t="str">
        <f>HYPERLINK("https://jira.itg.ti.com/browse/JACINTOREQ-69","JACINTOREQ-69")</f>
        <v>JACINTOREQ-69</v>
      </c>
      <c r="B1130" s="19" t="str">
        <f>HYPERLINK("https://jira.itg.ti.com/browse/PDK-2477","PDK-2477")</f>
        <v>PDK-2477</v>
      </c>
      <c r="C1130" s="18" t="s">
        <v>325</v>
      </c>
      <c r="D1130" s="18" t="s">
        <v>692</v>
      </c>
      <c r="E1130" s="18" t="s">
        <v>1645</v>
      </c>
      <c r="F1130" s="20" t="s">
        <v>1229</v>
      </c>
      <c r="G1130" s="9" t="s">
        <v>686</v>
      </c>
      <c r="H1130" s="8" t="s">
        <v>394</v>
      </c>
      <c r="I1130" s="7" t="s">
        <v>1031</v>
      </c>
    </row>
    <row r="1131" spans="1:9" x14ac:dyDescent="0.35">
      <c r="A1131" s="18" t="s">
        <v>98</v>
      </c>
      <c r="B1131" s="19" t="str">
        <f>HYPERLINK("https://jira.itg.ti.com/browse/PDK-5529","PDK-5529")</f>
        <v>PDK-5529</v>
      </c>
      <c r="C1131" s="18" t="s">
        <v>1019</v>
      </c>
      <c r="D1131" s="18" t="s">
        <v>1051</v>
      </c>
      <c r="E1131" s="18" t="s">
        <v>1645</v>
      </c>
      <c r="F1131" s="20" t="s">
        <v>1229</v>
      </c>
      <c r="G1131" s="9" t="s">
        <v>1463</v>
      </c>
      <c r="H1131" s="8" t="s">
        <v>394</v>
      </c>
      <c r="I1131" s="7" t="s">
        <v>1031</v>
      </c>
    </row>
    <row r="1132" spans="1:9" x14ac:dyDescent="0.35">
      <c r="A1132" s="14"/>
      <c r="B1132" s="14"/>
      <c r="C1132" s="14"/>
      <c r="D1132" s="14"/>
      <c r="E1132" s="14"/>
      <c r="F1132" s="14"/>
      <c r="G1132" s="10" t="s">
        <v>219</v>
      </c>
      <c r="H1132" s="8" t="s">
        <v>394</v>
      </c>
    </row>
    <row r="1133" spans="1:9" x14ac:dyDescent="0.35">
      <c r="A1133" s="14"/>
      <c r="B1133" s="14"/>
      <c r="C1133" s="14"/>
      <c r="D1133" s="14"/>
      <c r="E1133" s="14"/>
      <c r="F1133" s="14"/>
      <c r="G1133" s="10" t="s">
        <v>731</v>
      </c>
      <c r="H1133" s="8" t="s">
        <v>394</v>
      </c>
    </row>
    <row r="1134" spans="1:9" x14ac:dyDescent="0.35">
      <c r="A1134" s="18"/>
      <c r="B1134" s="19"/>
      <c r="C1134" s="18"/>
      <c r="D1134" s="18"/>
      <c r="E1134" s="18"/>
      <c r="F1134" s="20"/>
      <c r="G1134" s="10" t="s">
        <v>904</v>
      </c>
      <c r="H1134" s="8" t="s">
        <v>394</v>
      </c>
    </row>
    <row r="1135" spans="1:9" x14ac:dyDescent="0.35">
      <c r="A1135" s="19" t="str">
        <f>HYPERLINK("https://jira.itg.ti.com/browse/JACINTOREQ-716","JACINTOREQ-716")</f>
        <v>JACINTOREQ-716</v>
      </c>
      <c r="B1135" s="19" t="str">
        <f>HYPERLINK("https://jira.itg.ti.com/browse/PDK-5264","PDK-5264")</f>
        <v>PDK-5264</v>
      </c>
      <c r="C1135" s="18" t="s">
        <v>423</v>
      </c>
      <c r="D1135" s="18" t="s">
        <v>210</v>
      </c>
      <c r="E1135" s="18" t="s">
        <v>1645</v>
      </c>
      <c r="F1135" s="20" t="s">
        <v>1229</v>
      </c>
      <c r="G1135" s="9" t="s">
        <v>514</v>
      </c>
      <c r="H1135" s="8" t="s">
        <v>394</v>
      </c>
      <c r="I1135" s="7" t="s">
        <v>1031</v>
      </c>
    </row>
    <row r="1136" spans="1:9" x14ac:dyDescent="0.35">
      <c r="A1136" s="19"/>
      <c r="B1136" s="19"/>
      <c r="C1136" s="18"/>
      <c r="D1136" s="18"/>
      <c r="E1136" s="18"/>
      <c r="F1136" s="20"/>
      <c r="G1136" s="10" t="s">
        <v>679</v>
      </c>
      <c r="H1136" s="8" t="s">
        <v>394</v>
      </c>
    </row>
    <row r="1137" spans="1:9" x14ac:dyDescent="0.35">
      <c r="A1137" s="19" t="str">
        <f>HYPERLINK("https://jira.itg.ti.com/browse/JACINTOREQ-716","JACINTOREQ-716")</f>
        <v>JACINTOREQ-716</v>
      </c>
      <c r="B1137" s="19" t="str">
        <f>HYPERLINK("https://jira.itg.ti.com/browse/PDK-5267","PDK-5267")</f>
        <v>PDK-5267</v>
      </c>
      <c r="C1137" s="18" t="s">
        <v>905</v>
      </c>
      <c r="D1137" s="18" t="s">
        <v>210</v>
      </c>
      <c r="E1137" s="18" t="s">
        <v>1645</v>
      </c>
      <c r="F1137" s="20" t="s">
        <v>1229</v>
      </c>
      <c r="G1137" s="9" t="s">
        <v>1616</v>
      </c>
      <c r="H1137" s="8" t="s">
        <v>394</v>
      </c>
      <c r="I1137" s="7" t="s">
        <v>1031</v>
      </c>
    </row>
    <row r="1138" spans="1:9" x14ac:dyDescent="0.35">
      <c r="A1138" s="19" t="str">
        <f>HYPERLINK("https://jira.itg.ti.com/browse/JACINTOREQ-716","JACINTOREQ-716")</f>
        <v>JACINTOREQ-716</v>
      </c>
      <c r="B1138" s="19" t="str">
        <f>HYPERLINK("https://jira.itg.ti.com/browse/PDK-5269","PDK-5269")</f>
        <v>PDK-5269</v>
      </c>
      <c r="C1138" s="18" t="s">
        <v>34</v>
      </c>
      <c r="D1138" s="18" t="s">
        <v>210</v>
      </c>
      <c r="E1138" s="18" t="s">
        <v>1645</v>
      </c>
      <c r="F1138" s="22" t="s">
        <v>552</v>
      </c>
      <c r="G1138" s="9" t="s">
        <v>1430</v>
      </c>
      <c r="H1138" s="12" t="s">
        <v>1241</v>
      </c>
      <c r="I1138" s="7" t="s">
        <v>1031</v>
      </c>
    </row>
    <row r="1139" spans="1:9" x14ac:dyDescent="0.35">
      <c r="A1139" s="19"/>
      <c r="B1139" s="19"/>
      <c r="C1139" s="18"/>
      <c r="D1139" s="18"/>
      <c r="E1139" s="18"/>
      <c r="F1139" s="22"/>
      <c r="G1139" s="10" t="s">
        <v>954</v>
      </c>
      <c r="H1139" s="11" t="s">
        <v>711</v>
      </c>
    </row>
    <row r="1140" spans="1:9" x14ac:dyDescent="0.35">
      <c r="A1140" s="19" t="str">
        <f>HYPERLINK("https://jira.itg.ti.com/browse/JACINTOREQ-716","JACINTOREQ-716")</f>
        <v>JACINTOREQ-716</v>
      </c>
      <c r="B1140" s="19" t="str">
        <f>HYPERLINK("https://jira.itg.ti.com/browse/PDK-5270","PDK-5270")</f>
        <v>PDK-5270</v>
      </c>
      <c r="C1140" s="18" t="s">
        <v>920</v>
      </c>
      <c r="D1140" s="18" t="s">
        <v>210</v>
      </c>
      <c r="E1140" s="18" t="s">
        <v>1645</v>
      </c>
      <c r="F1140" s="20" t="s">
        <v>1229</v>
      </c>
      <c r="G1140" s="9" t="s">
        <v>997</v>
      </c>
      <c r="H1140" s="8" t="s">
        <v>394</v>
      </c>
      <c r="I1140" s="7" t="s">
        <v>1031</v>
      </c>
    </row>
    <row r="1141" spans="1:9" x14ac:dyDescent="0.35">
      <c r="A1141" s="19"/>
      <c r="B1141" s="19"/>
      <c r="C1141" s="18"/>
      <c r="D1141" s="18"/>
      <c r="E1141" s="18"/>
      <c r="F1141" s="20"/>
      <c r="G1141" s="10" t="s">
        <v>371</v>
      </c>
      <c r="H1141" s="8" t="s">
        <v>394</v>
      </c>
    </row>
    <row r="1142" spans="1:9" x14ac:dyDescent="0.35">
      <c r="A1142" s="19" t="str">
        <f>HYPERLINK("https://jira.itg.ti.com/browse/JACINTOREQ-716","JACINTOREQ-716")</f>
        <v>JACINTOREQ-716</v>
      </c>
      <c r="B1142" s="19" t="str">
        <f>HYPERLINK("https://jira.itg.ti.com/browse/PDK-5271","PDK-5271")</f>
        <v>PDK-5271</v>
      </c>
      <c r="C1142" s="18" t="s">
        <v>25</v>
      </c>
      <c r="D1142" s="18" t="s">
        <v>210</v>
      </c>
      <c r="E1142" s="18" t="s">
        <v>1645</v>
      </c>
      <c r="F1142" s="20" t="s">
        <v>1229</v>
      </c>
      <c r="G1142" s="9" t="s">
        <v>997</v>
      </c>
      <c r="H1142" s="8" t="s">
        <v>394</v>
      </c>
      <c r="I1142" s="7" t="s">
        <v>1031</v>
      </c>
    </row>
    <row r="1143" spans="1:9" x14ac:dyDescent="0.35">
      <c r="A1143" s="19"/>
      <c r="B1143" s="19"/>
      <c r="C1143" s="18"/>
      <c r="D1143" s="18"/>
      <c r="E1143" s="18"/>
      <c r="F1143" s="20"/>
      <c r="G1143" s="10" t="s">
        <v>371</v>
      </c>
      <c r="H1143" s="8" t="s">
        <v>394</v>
      </c>
    </row>
    <row r="1144" spans="1:9" x14ac:dyDescent="0.35">
      <c r="A1144" s="19" t="str">
        <f>HYPERLINK("https://jira.itg.ti.com/browse/JACINTOREQ-716","JACINTOREQ-716")</f>
        <v>JACINTOREQ-716</v>
      </c>
      <c r="B1144" s="19" t="str">
        <f>HYPERLINK("https://jira.itg.ti.com/browse/PDK-5272","PDK-5272")</f>
        <v>PDK-5272</v>
      </c>
      <c r="C1144" s="18" t="s">
        <v>1498</v>
      </c>
      <c r="D1144" s="18" t="s">
        <v>210</v>
      </c>
      <c r="E1144" s="18" t="s">
        <v>1645</v>
      </c>
      <c r="F1144" s="20" t="s">
        <v>1229</v>
      </c>
      <c r="G1144" s="9" t="s">
        <v>52</v>
      </c>
      <c r="H1144" s="8" t="s">
        <v>394</v>
      </c>
      <c r="I1144" s="7" t="s">
        <v>1031</v>
      </c>
    </row>
    <row r="1145" spans="1:9" x14ac:dyDescent="0.35">
      <c r="A1145" s="14"/>
      <c r="B1145" s="14"/>
      <c r="C1145" s="14"/>
      <c r="D1145" s="14"/>
      <c r="E1145" s="14"/>
      <c r="F1145" s="14"/>
      <c r="G1145" s="10" t="s">
        <v>1562</v>
      </c>
      <c r="H1145" s="8" t="s">
        <v>394</v>
      </c>
    </row>
    <row r="1146" spans="1:9" x14ac:dyDescent="0.35">
      <c r="A1146" s="14"/>
      <c r="B1146" s="14"/>
      <c r="C1146" s="14"/>
      <c r="D1146" s="14"/>
      <c r="E1146" s="14"/>
      <c r="F1146" s="14"/>
      <c r="G1146" s="10" t="s">
        <v>1177</v>
      </c>
      <c r="H1146" s="8" t="s">
        <v>394</v>
      </c>
    </row>
    <row r="1147" spans="1:9" x14ac:dyDescent="0.35">
      <c r="A1147" s="19"/>
      <c r="B1147" s="19"/>
      <c r="C1147" s="18"/>
      <c r="D1147" s="18"/>
      <c r="E1147" s="18"/>
      <c r="F1147" s="20"/>
      <c r="G1147" s="10" t="s">
        <v>994</v>
      </c>
      <c r="H1147" s="8" t="s">
        <v>394</v>
      </c>
    </row>
    <row r="1148" spans="1:9" x14ac:dyDescent="0.35">
      <c r="A1148" s="19" t="str">
        <f>HYPERLINK("https://jira.itg.ti.com/browse/JACINTOREQ-716","JACINTOREQ-716")</f>
        <v>JACINTOREQ-716</v>
      </c>
      <c r="B1148" s="19" t="str">
        <f>HYPERLINK("https://jira.itg.ti.com/browse/PDK-5274","PDK-5274")</f>
        <v>PDK-5274</v>
      </c>
      <c r="C1148" s="18" t="s">
        <v>803</v>
      </c>
      <c r="D1148" s="18" t="s">
        <v>210</v>
      </c>
      <c r="E1148" s="18" t="s">
        <v>1645</v>
      </c>
      <c r="F1148" s="20" t="s">
        <v>1229</v>
      </c>
      <c r="G1148" s="9" t="s">
        <v>52</v>
      </c>
      <c r="H1148" s="8" t="s">
        <v>394</v>
      </c>
      <c r="I1148" s="7" t="s">
        <v>1031</v>
      </c>
    </row>
    <row r="1149" spans="1:9" x14ac:dyDescent="0.35">
      <c r="A1149" s="14"/>
      <c r="B1149" s="14"/>
      <c r="C1149" s="14"/>
      <c r="D1149" s="14"/>
      <c r="E1149" s="14"/>
      <c r="F1149" s="14"/>
      <c r="G1149" s="10" t="s">
        <v>1562</v>
      </c>
      <c r="H1149" s="8" t="s">
        <v>394</v>
      </c>
    </row>
    <row r="1150" spans="1:9" x14ac:dyDescent="0.35">
      <c r="A1150" s="14"/>
      <c r="B1150" s="14"/>
      <c r="C1150" s="14"/>
      <c r="D1150" s="14"/>
      <c r="E1150" s="14"/>
      <c r="F1150" s="14"/>
      <c r="G1150" s="10" t="s">
        <v>1177</v>
      </c>
      <c r="H1150" s="8" t="s">
        <v>394</v>
      </c>
    </row>
    <row r="1151" spans="1:9" x14ac:dyDescent="0.35">
      <c r="A1151" s="19"/>
      <c r="B1151" s="19"/>
      <c r="C1151" s="18"/>
      <c r="D1151" s="18"/>
      <c r="E1151" s="18"/>
      <c r="F1151" s="20"/>
      <c r="G1151" s="10" t="s">
        <v>994</v>
      </c>
      <c r="H1151" s="8" t="s">
        <v>394</v>
      </c>
    </row>
    <row r="1152" spans="1:9" x14ac:dyDescent="0.35">
      <c r="A1152" s="19" t="str">
        <f>HYPERLINK("https://jira.itg.ti.com/browse/JACINTOREQ-716","JACINTOREQ-716")</f>
        <v>JACINTOREQ-716</v>
      </c>
      <c r="B1152" s="19" t="str">
        <f>HYPERLINK("https://jira.itg.ti.com/browse/PDK-5280","PDK-5280")</f>
        <v>PDK-5280</v>
      </c>
      <c r="C1152" s="18" t="s">
        <v>646</v>
      </c>
      <c r="D1152" s="18" t="s">
        <v>210</v>
      </c>
      <c r="E1152" s="18" t="s">
        <v>1645</v>
      </c>
      <c r="F1152" s="20" t="s">
        <v>1229</v>
      </c>
      <c r="G1152" s="9" t="s">
        <v>52</v>
      </c>
      <c r="H1152" s="8" t="s">
        <v>394</v>
      </c>
      <c r="I1152" s="7" t="s">
        <v>1031</v>
      </c>
    </row>
    <row r="1153" spans="1:9" x14ac:dyDescent="0.35">
      <c r="A1153" s="14"/>
      <c r="B1153" s="14"/>
      <c r="C1153" s="14"/>
      <c r="D1153" s="14"/>
      <c r="E1153" s="14"/>
      <c r="F1153" s="14"/>
      <c r="G1153" s="10" t="s">
        <v>1562</v>
      </c>
      <c r="H1153" s="8" t="s">
        <v>394</v>
      </c>
    </row>
    <row r="1154" spans="1:9" x14ac:dyDescent="0.35">
      <c r="A1154" s="14"/>
      <c r="B1154" s="14"/>
      <c r="C1154" s="14"/>
      <c r="D1154" s="14"/>
      <c r="E1154" s="14"/>
      <c r="F1154" s="14"/>
      <c r="G1154" s="10" t="s">
        <v>1177</v>
      </c>
      <c r="H1154" s="8" t="s">
        <v>394</v>
      </c>
    </row>
    <row r="1155" spans="1:9" x14ac:dyDescent="0.35">
      <c r="A1155" s="19"/>
      <c r="B1155" s="19"/>
      <c r="C1155" s="18"/>
      <c r="D1155" s="18"/>
      <c r="E1155" s="18"/>
      <c r="F1155" s="20"/>
      <c r="G1155" s="10" t="s">
        <v>994</v>
      </c>
      <c r="H1155" s="8" t="s">
        <v>394</v>
      </c>
    </row>
    <row r="1156" spans="1:9" x14ac:dyDescent="0.35">
      <c r="A1156" s="19" t="str">
        <f>HYPERLINK("https://jira.itg.ti.com/browse/JACINTOREQ-716","JACINTOREQ-716")</f>
        <v>JACINTOREQ-716</v>
      </c>
      <c r="B1156" s="19" t="str">
        <f>HYPERLINK("https://jira.itg.ti.com/browse/PDK-5283","PDK-5283")</f>
        <v>PDK-5283</v>
      </c>
      <c r="C1156" s="18" t="s">
        <v>538</v>
      </c>
      <c r="D1156" s="18" t="s">
        <v>210</v>
      </c>
      <c r="E1156" s="18" t="s">
        <v>1645</v>
      </c>
      <c r="F1156" s="20" t="s">
        <v>1229</v>
      </c>
      <c r="G1156" s="9" t="s">
        <v>52</v>
      </c>
      <c r="H1156" s="8" t="s">
        <v>394</v>
      </c>
      <c r="I1156" s="7" t="s">
        <v>1031</v>
      </c>
    </row>
    <row r="1157" spans="1:9" x14ac:dyDescent="0.35">
      <c r="A1157" s="14"/>
      <c r="B1157" s="14"/>
      <c r="C1157" s="14"/>
      <c r="D1157" s="14"/>
      <c r="E1157" s="14"/>
      <c r="F1157" s="14"/>
      <c r="G1157" s="10" t="s">
        <v>1562</v>
      </c>
      <c r="H1157" s="8" t="s">
        <v>394</v>
      </c>
    </row>
    <row r="1158" spans="1:9" x14ac:dyDescent="0.35">
      <c r="A1158" s="14"/>
      <c r="B1158" s="14"/>
      <c r="C1158" s="14"/>
      <c r="D1158" s="14"/>
      <c r="E1158" s="14"/>
      <c r="F1158" s="14"/>
      <c r="G1158" s="10" t="s">
        <v>1177</v>
      </c>
      <c r="H1158" s="8" t="s">
        <v>394</v>
      </c>
    </row>
    <row r="1159" spans="1:9" x14ac:dyDescent="0.35">
      <c r="A1159" s="19"/>
      <c r="B1159" s="19"/>
      <c r="C1159" s="18"/>
      <c r="D1159" s="18"/>
      <c r="E1159" s="18"/>
      <c r="F1159" s="20"/>
      <c r="G1159" s="10" t="s">
        <v>994</v>
      </c>
      <c r="H1159" s="8" t="s">
        <v>394</v>
      </c>
    </row>
    <row r="1160" spans="1:9" x14ac:dyDescent="0.35">
      <c r="A1160" s="19" t="str">
        <f>HYPERLINK("https://jira.itg.ti.com/browse/JACINTOREQ-716","JACINTOREQ-716")</f>
        <v>JACINTOREQ-716</v>
      </c>
      <c r="B1160" s="19" t="str">
        <f>HYPERLINK("https://jira.itg.ti.com/browse/PDK-5284","PDK-5284")</f>
        <v>PDK-5284</v>
      </c>
      <c r="C1160" s="18" t="s">
        <v>1028</v>
      </c>
      <c r="D1160" s="18" t="s">
        <v>210</v>
      </c>
      <c r="E1160" s="18" t="s">
        <v>1645</v>
      </c>
      <c r="F1160" s="21" t="s">
        <v>419</v>
      </c>
      <c r="G1160" s="9" t="s">
        <v>846</v>
      </c>
      <c r="H1160" s="11" t="s">
        <v>711</v>
      </c>
      <c r="I1160" s="7" t="s">
        <v>1031</v>
      </c>
    </row>
    <row r="1161" spans="1:9" x14ac:dyDescent="0.35">
      <c r="A1161" s="14"/>
      <c r="B1161" s="14"/>
      <c r="C1161" s="14"/>
      <c r="D1161" s="14"/>
      <c r="E1161" s="14"/>
      <c r="F1161" s="14"/>
      <c r="G1161" s="10" t="s">
        <v>388</v>
      </c>
      <c r="H1161" s="8" t="s">
        <v>394</v>
      </c>
    </row>
    <row r="1162" spans="1:9" x14ac:dyDescent="0.35">
      <c r="A1162" s="19"/>
      <c r="B1162" s="19"/>
      <c r="C1162" s="18"/>
      <c r="D1162" s="18"/>
      <c r="E1162" s="18"/>
      <c r="F1162" s="21"/>
      <c r="G1162" s="10" t="s">
        <v>891</v>
      </c>
      <c r="H1162" s="8" t="s">
        <v>394</v>
      </c>
    </row>
    <row r="1163" spans="1:9" x14ac:dyDescent="0.35">
      <c r="A1163" s="19" t="str">
        <f>HYPERLINK("https://jira.itg.ti.com/browse/JACINTOREQ-716","JACINTOREQ-716")</f>
        <v>JACINTOREQ-716</v>
      </c>
      <c r="B1163" s="19" t="str">
        <f>HYPERLINK("https://jira.itg.ti.com/browse/PDK-5285","PDK-5285")</f>
        <v>PDK-5285</v>
      </c>
      <c r="C1163" s="18" t="s">
        <v>887</v>
      </c>
      <c r="D1163" s="18" t="s">
        <v>210</v>
      </c>
      <c r="E1163" s="18" t="s">
        <v>1645</v>
      </c>
      <c r="F1163" s="21" t="s">
        <v>419</v>
      </c>
      <c r="G1163" s="9" t="s">
        <v>846</v>
      </c>
      <c r="H1163" s="11" t="s">
        <v>711</v>
      </c>
      <c r="I1163" s="7" t="s">
        <v>1031</v>
      </c>
    </row>
    <row r="1164" spans="1:9" x14ac:dyDescent="0.35">
      <c r="A1164" s="14"/>
      <c r="B1164" s="14"/>
      <c r="C1164" s="14"/>
      <c r="D1164" s="14"/>
      <c r="E1164" s="14"/>
      <c r="F1164" s="14"/>
      <c r="G1164" s="10" t="s">
        <v>388</v>
      </c>
      <c r="H1164" s="8" t="s">
        <v>394</v>
      </c>
    </row>
    <row r="1165" spans="1:9" x14ac:dyDescent="0.35">
      <c r="A1165" s="19"/>
      <c r="B1165" s="19"/>
      <c r="C1165" s="18"/>
      <c r="D1165" s="18"/>
      <c r="E1165" s="18"/>
      <c r="F1165" s="21"/>
      <c r="G1165" s="10" t="s">
        <v>891</v>
      </c>
      <c r="H1165" s="8" t="s">
        <v>394</v>
      </c>
    </row>
    <row r="1166" spans="1:9" x14ac:dyDescent="0.35">
      <c r="A1166" s="19" t="str">
        <f>HYPERLINK("https://jira.itg.ti.com/browse/JACINTOREQ-716","JACINTOREQ-716")</f>
        <v>JACINTOREQ-716</v>
      </c>
      <c r="B1166" s="19" t="str">
        <f>HYPERLINK("https://jira.itg.ti.com/browse/PDK-5286","PDK-5286")</f>
        <v>PDK-5286</v>
      </c>
      <c r="C1166" s="18" t="s">
        <v>839</v>
      </c>
      <c r="D1166" s="18" t="s">
        <v>210</v>
      </c>
      <c r="E1166" s="18" t="s">
        <v>1645</v>
      </c>
      <c r="F1166" s="21" t="s">
        <v>419</v>
      </c>
      <c r="G1166" s="9" t="s">
        <v>846</v>
      </c>
      <c r="H1166" s="11" t="s">
        <v>711</v>
      </c>
      <c r="I1166" s="7" t="s">
        <v>1031</v>
      </c>
    </row>
    <row r="1167" spans="1:9" x14ac:dyDescent="0.35">
      <c r="A1167" s="14"/>
      <c r="B1167" s="14"/>
      <c r="C1167" s="14"/>
      <c r="D1167" s="14"/>
      <c r="E1167" s="14"/>
      <c r="F1167" s="14"/>
      <c r="G1167" s="10" t="s">
        <v>388</v>
      </c>
      <c r="H1167" s="8" t="s">
        <v>394</v>
      </c>
    </row>
    <row r="1168" spans="1:9" x14ac:dyDescent="0.35">
      <c r="A1168" s="19"/>
      <c r="B1168" s="19"/>
      <c r="C1168" s="18"/>
      <c r="D1168" s="18"/>
      <c r="E1168" s="18"/>
      <c r="F1168" s="21"/>
      <c r="G1168" s="10" t="s">
        <v>891</v>
      </c>
      <c r="H1168" s="8" t="s">
        <v>394</v>
      </c>
    </row>
    <row r="1169" spans="1:9" x14ac:dyDescent="0.35">
      <c r="A1169" s="19" t="str">
        <f>HYPERLINK("https://jira.itg.ti.com/browse/JACINTOREQ-716","JACINTOREQ-716")</f>
        <v>JACINTOREQ-716</v>
      </c>
      <c r="B1169" s="19" t="str">
        <f>HYPERLINK("https://jira.itg.ti.com/browse/PDK-5287","PDK-5287")</f>
        <v>PDK-5287</v>
      </c>
      <c r="C1169" s="18" t="s">
        <v>1073</v>
      </c>
      <c r="D1169" s="18" t="s">
        <v>210</v>
      </c>
      <c r="E1169" s="18" t="s">
        <v>1645</v>
      </c>
      <c r="F1169" s="20" t="s">
        <v>1229</v>
      </c>
      <c r="G1169" s="9" t="s">
        <v>366</v>
      </c>
      <c r="H1169" s="8" t="s">
        <v>394</v>
      </c>
      <c r="I1169" s="7" t="s">
        <v>1031</v>
      </c>
    </row>
    <row r="1170" spans="1:9" x14ac:dyDescent="0.35">
      <c r="A1170" s="19" t="str">
        <f>HYPERLINK("https://jira.itg.ti.com/browse/JACINTOREQ-716","JACINTOREQ-716")</f>
        <v>JACINTOREQ-716</v>
      </c>
      <c r="B1170" s="19" t="str">
        <f>HYPERLINK("https://jira.itg.ti.com/browse/PDK-5288","PDK-5288")</f>
        <v>PDK-5288</v>
      </c>
      <c r="C1170" s="18" t="s">
        <v>80</v>
      </c>
      <c r="D1170" s="18" t="s">
        <v>210</v>
      </c>
      <c r="E1170" s="18" t="s">
        <v>1645</v>
      </c>
      <c r="F1170" s="20" t="s">
        <v>1229</v>
      </c>
      <c r="G1170" s="9" t="s">
        <v>1273</v>
      </c>
      <c r="H1170" s="8" t="s">
        <v>394</v>
      </c>
      <c r="I1170" s="7" t="s">
        <v>1031</v>
      </c>
    </row>
    <row r="1171" spans="1:9" ht="25.5" x14ac:dyDescent="0.35">
      <c r="A1171" s="14"/>
      <c r="B1171" s="14"/>
      <c r="C1171" s="14"/>
      <c r="D1171" s="14"/>
      <c r="E1171" s="14"/>
      <c r="F1171" s="14"/>
      <c r="G1171" s="10" t="s">
        <v>1227</v>
      </c>
      <c r="H1171" s="8" t="s">
        <v>394</v>
      </c>
    </row>
    <row r="1172" spans="1:9" x14ac:dyDescent="0.35">
      <c r="A1172" s="14"/>
      <c r="B1172" s="14"/>
      <c r="C1172" s="14"/>
      <c r="D1172" s="14"/>
      <c r="E1172" s="14"/>
      <c r="F1172" s="14"/>
      <c r="G1172" s="10" t="s">
        <v>256</v>
      </c>
      <c r="H1172" s="8" t="s">
        <v>394</v>
      </c>
    </row>
    <row r="1173" spans="1:9" x14ac:dyDescent="0.35">
      <c r="A1173" s="19"/>
      <c r="B1173" s="19"/>
      <c r="C1173" s="18"/>
      <c r="D1173" s="18"/>
      <c r="E1173" s="18"/>
      <c r="F1173" s="20"/>
      <c r="G1173" s="10" t="s">
        <v>1307</v>
      </c>
      <c r="H1173" s="8" t="s">
        <v>394</v>
      </c>
    </row>
    <row r="1174" spans="1:9" x14ac:dyDescent="0.35">
      <c r="A1174" s="19" t="str">
        <f t="shared" ref="A1174:A1181" si="20">HYPERLINK("https://jira.itg.ti.com/browse/JACINTOREQ-716","JACINTOREQ-716")</f>
        <v>JACINTOREQ-716</v>
      </c>
      <c r="B1174" s="19" t="str">
        <f>HYPERLINK("https://jira.itg.ti.com/browse/PDK-5289","PDK-5289")</f>
        <v>PDK-5289</v>
      </c>
      <c r="C1174" s="18" t="s">
        <v>835</v>
      </c>
      <c r="D1174" s="18" t="s">
        <v>210</v>
      </c>
      <c r="E1174" s="18" t="s">
        <v>1645</v>
      </c>
      <c r="F1174" s="20" t="s">
        <v>1229</v>
      </c>
      <c r="G1174" s="9" t="s">
        <v>916</v>
      </c>
      <c r="H1174" s="8" t="s">
        <v>394</v>
      </c>
      <c r="I1174" s="7" t="s">
        <v>1031</v>
      </c>
    </row>
    <row r="1175" spans="1:9" x14ac:dyDescent="0.35">
      <c r="A1175" s="19" t="str">
        <f t="shared" si="20"/>
        <v>JACINTOREQ-716</v>
      </c>
      <c r="B1175" s="19" t="str">
        <f>HYPERLINK("https://jira.itg.ti.com/browse/PDK-5290","PDK-5290")</f>
        <v>PDK-5290</v>
      </c>
      <c r="C1175" s="18" t="s">
        <v>166</v>
      </c>
      <c r="D1175" s="18" t="s">
        <v>210</v>
      </c>
      <c r="E1175" s="18" t="s">
        <v>1645</v>
      </c>
      <c r="F1175" s="20" t="s">
        <v>1229</v>
      </c>
      <c r="G1175" s="9" t="s">
        <v>916</v>
      </c>
      <c r="H1175" s="8" t="s">
        <v>394</v>
      </c>
      <c r="I1175" s="7" t="s">
        <v>1031</v>
      </c>
    </row>
    <row r="1176" spans="1:9" x14ac:dyDescent="0.35">
      <c r="A1176" s="19" t="str">
        <f t="shared" si="20"/>
        <v>JACINTOREQ-716</v>
      </c>
      <c r="B1176" s="19" t="str">
        <f>HYPERLINK("https://jira.itg.ti.com/browse/PDK-5291","PDK-5291")</f>
        <v>PDK-5291</v>
      </c>
      <c r="C1176" s="18" t="s">
        <v>326</v>
      </c>
      <c r="D1176" s="18" t="s">
        <v>210</v>
      </c>
      <c r="E1176" s="18" t="s">
        <v>1645</v>
      </c>
      <c r="F1176" s="20" t="s">
        <v>1229</v>
      </c>
      <c r="G1176" s="9" t="s">
        <v>916</v>
      </c>
      <c r="H1176" s="8" t="s">
        <v>394</v>
      </c>
      <c r="I1176" s="7" t="s">
        <v>1031</v>
      </c>
    </row>
    <row r="1177" spans="1:9" x14ac:dyDescent="0.35">
      <c r="A1177" s="19" t="str">
        <f t="shared" si="20"/>
        <v>JACINTOREQ-716</v>
      </c>
      <c r="B1177" s="19" t="str">
        <f>HYPERLINK("https://jira.itg.ti.com/browse/PDK-5292","PDK-5292")</f>
        <v>PDK-5292</v>
      </c>
      <c r="C1177" s="18" t="s">
        <v>1260</v>
      </c>
      <c r="D1177" s="18" t="s">
        <v>210</v>
      </c>
      <c r="E1177" s="18" t="s">
        <v>1645</v>
      </c>
      <c r="F1177" s="20" t="s">
        <v>1229</v>
      </c>
      <c r="G1177" s="9" t="s">
        <v>916</v>
      </c>
      <c r="H1177" s="8" t="s">
        <v>394</v>
      </c>
      <c r="I1177" s="7" t="s">
        <v>1031</v>
      </c>
    </row>
    <row r="1178" spans="1:9" x14ac:dyDescent="0.35">
      <c r="A1178" s="19" t="str">
        <f t="shared" si="20"/>
        <v>JACINTOREQ-716</v>
      </c>
      <c r="B1178" s="19" t="str">
        <f>HYPERLINK("https://jira.itg.ti.com/browse/PDK-5293","PDK-5293")</f>
        <v>PDK-5293</v>
      </c>
      <c r="C1178" s="18" t="s">
        <v>928</v>
      </c>
      <c r="D1178" s="18" t="s">
        <v>210</v>
      </c>
      <c r="E1178" s="18" t="s">
        <v>1645</v>
      </c>
      <c r="F1178" s="20" t="s">
        <v>1229</v>
      </c>
      <c r="G1178" s="9" t="s">
        <v>916</v>
      </c>
      <c r="H1178" s="8" t="s">
        <v>394</v>
      </c>
      <c r="I1178" s="7" t="s">
        <v>1031</v>
      </c>
    </row>
    <row r="1179" spans="1:9" x14ac:dyDescent="0.35">
      <c r="A1179" s="19" t="str">
        <f t="shared" si="20"/>
        <v>JACINTOREQ-716</v>
      </c>
      <c r="B1179" s="19" t="str">
        <f>HYPERLINK("https://jira.itg.ti.com/browse/PDK-5294","PDK-5294")</f>
        <v>PDK-5294</v>
      </c>
      <c r="C1179" s="18" t="s">
        <v>79</v>
      </c>
      <c r="D1179" s="18" t="s">
        <v>210</v>
      </c>
      <c r="E1179" s="18" t="s">
        <v>1645</v>
      </c>
      <c r="F1179" s="20" t="s">
        <v>1229</v>
      </c>
      <c r="G1179" s="9" t="s">
        <v>916</v>
      </c>
      <c r="H1179" s="8" t="s">
        <v>394</v>
      </c>
      <c r="I1179" s="7" t="s">
        <v>1031</v>
      </c>
    </row>
    <row r="1180" spans="1:9" x14ac:dyDescent="0.35">
      <c r="A1180" s="19" t="str">
        <f t="shared" si="20"/>
        <v>JACINTOREQ-716</v>
      </c>
      <c r="B1180" s="19" t="str">
        <f>HYPERLINK("https://jira.itg.ti.com/browse/PDK-5295","PDK-5295")</f>
        <v>PDK-5295</v>
      </c>
      <c r="C1180" s="18" t="s">
        <v>506</v>
      </c>
      <c r="D1180" s="18" t="s">
        <v>210</v>
      </c>
      <c r="E1180" s="18" t="s">
        <v>1645</v>
      </c>
      <c r="F1180" s="20" t="s">
        <v>1229</v>
      </c>
      <c r="G1180" s="9" t="s">
        <v>916</v>
      </c>
      <c r="H1180" s="8" t="s">
        <v>394</v>
      </c>
      <c r="I1180" s="7" t="s">
        <v>1031</v>
      </c>
    </row>
    <row r="1181" spans="1:9" x14ac:dyDescent="0.35">
      <c r="A1181" s="19" t="str">
        <f t="shared" si="20"/>
        <v>JACINTOREQ-716</v>
      </c>
      <c r="B1181" s="19" t="str">
        <f>HYPERLINK("https://jira.itg.ti.com/browse/PDK-5296","PDK-5296")</f>
        <v>PDK-5296</v>
      </c>
      <c r="C1181" s="18" t="s">
        <v>1338</v>
      </c>
      <c r="D1181" s="18" t="s">
        <v>210</v>
      </c>
      <c r="E1181" s="18" t="s">
        <v>1645</v>
      </c>
      <c r="F1181" s="20" t="s">
        <v>1229</v>
      </c>
      <c r="G1181" s="9" t="s">
        <v>265</v>
      </c>
      <c r="H1181" s="8" t="s">
        <v>394</v>
      </c>
      <c r="I1181" s="7" t="s">
        <v>1031</v>
      </c>
    </row>
    <row r="1182" spans="1:9" x14ac:dyDescent="0.35">
      <c r="A1182" s="14"/>
      <c r="B1182" s="14"/>
      <c r="C1182" s="14"/>
      <c r="D1182" s="14"/>
      <c r="E1182" s="14"/>
      <c r="F1182" s="14"/>
      <c r="G1182" s="10" t="s">
        <v>916</v>
      </c>
      <c r="H1182" s="8" t="s">
        <v>394</v>
      </c>
    </row>
    <row r="1183" spans="1:9" x14ac:dyDescent="0.35">
      <c r="A1183" s="19"/>
      <c r="B1183" s="19"/>
      <c r="C1183" s="18"/>
      <c r="D1183" s="18"/>
      <c r="E1183" s="18"/>
      <c r="F1183" s="20"/>
      <c r="G1183" s="10" t="s">
        <v>46</v>
      </c>
      <c r="H1183" s="8" t="s">
        <v>394</v>
      </c>
    </row>
    <row r="1184" spans="1:9" x14ac:dyDescent="0.35">
      <c r="A1184" s="19" t="str">
        <f t="shared" ref="A1184:A1194" si="21">HYPERLINK("https://jira.itg.ti.com/browse/JACINTOREQ-716","JACINTOREQ-716")</f>
        <v>JACINTOREQ-716</v>
      </c>
      <c r="B1184" s="19" t="str">
        <f>HYPERLINK("https://jira.itg.ti.com/browse/PDK-5297","PDK-5297")</f>
        <v>PDK-5297</v>
      </c>
      <c r="C1184" s="18" t="s">
        <v>1557</v>
      </c>
      <c r="D1184" s="18" t="s">
        <v>210</v>
      </c>
      <c r="E1184" s="18" t="s">
        <v>1645</v>
      </c>
      <c r="F1184" s="20" t="s">
        <v>1229</v>
      </c>
      <c r="G1184" s="9" t="s">
        <v>366</v>
      </c>
      <c r="H1184" s="8" t="s">
        <v>394</v>
      </c>
      <c r="I1184" s="7" t="s">
        <v>1031</v>
      </c>
    </row>
    <row r="1185" spans="1:9" x14ac:dyDescent="0.35">
      <c r="A1185" s="19" t="str">
        <f t="shared" si="21"/>
        <v>JACINTOREQ-716</v>
      </c>
      <c r="B1185" s="19" t="str">
        <f>HYPERLINK("https://jira.itg.ti.com/browse/PDK-5298","PDK-5298")</f>
        <v>PDK-5298</v>
      </c>
      <c r="C1185" s="18" t="s">
        <v>1399</v>
      </c>
      <c r="D1185" s="18" t="s">
        <v>210</v>
      </c>
      <c r="E1185" s="18" t="s">
        <v>1645</v>
      </c>
      <c r="F1185" s="20" t="s">
        <v>1229</v>
      </c>
      <c r="G1185" s="9" t="s">
        <v>366</v>
      </c>
      <c r="H1185" s="8" t="s">
        <v>394</v>
      </c>
      <c r="I1185" s="7" t="s">
        <v>1031</v>
      </c>
    </row>
    <row r="1186" spans="1:9" x14ac:dyDescent="0.35">
      <c r="A1186" s="19" t="str">
        <f t="shared" si="21"/>
        <v>JACINTOREQ-716</v>
      </c>
      <c r="B1186" s="19" t="str">
        <f>HYPERLINK("https://jira.itg.ti.com/browse/PDK-5299","PDK-5299")</f>
        <v>PDK-5299</v>
      </c>
      <c r="C1186" s="18" t="s">
        <v>1041</v>
      </c>
      <c r="D1186" s="18" t="s">
        <v>210</v>
      </c>
      <c r="E1186" s="18" t="s">
        <v>1645</v>
      </c>
      <c r="F1186" s="20" t="s">
        <v>1229</v>
      </c>
      <c r="G1186" s="9" t="s">
        <v>366</v>
      </c>
      <c r="H1186" s="8" t="s">
        <v>394</v>
      </c>
      <c r="I1186" s="7" t="s">
        <v>1031</v>
      </c>
    </row>
    <row r="1187" spans="1:9" x14ac:dyDescent="0.35">
      <c r="A1187" s="19" t="str">
        <f t="shared" si="21"/>
        <v>JACINTOREQ-716</v>
      </c>
      <c r="B1187" s="19" t="str">
        <f>HYPERLINK("https://jira.itg.ti.com/browse/PDK-5300","PDK-5300")</f>
        <v>PDK-5300</v>
      </c>
      <c r="C1187" s="18" t="s">
        <v>343</v>
      </c>
      <c r="D1187" s="18" t="s">
        <v>210</v>
      </c>
      <c r="E1187" s="18" t="s">
        <v>1645</v>
      </c>
      <c r="F1187" s="20" t="s">
        <v>1229</v>
      </c>
      <c r="G1187" s="9" t="s">
        <v>366</v>
      </c>
      <c r="H1187" s="8" t="s">
        <v>394</v>
      </c>
      <c r="I1187" s="7" t="s">
        <v>1031</v>
      </c>
    </row>
    <row r="1188" spans="1:9" x14ac:dyDescent="0.35">
      <c r="A1188" s="19" t="str">
        <f t="shared" si="21"/>
        <v>JACINTOREQ-716</v>
      </c>
      <c r="B1188" s="19" t="str">
        <f>HYPERLINK("https://jira.itg.ti.com/browse/PDK-5301","PDK-5301")</f>
        <v>PDK-5301</v>
      </c>
      <c r="C1188" s="18" t="s">
        <v>1065</v>
      </c>
      <c r="D1188" s="18" t="s">
        <v>210</v>
      </c>
      <c r="E1188" s="18" t="s">
        <v>1645</v>
      </c>
      <c r="F1188" s="20" t="s">
        <v>1229</v>
      </c>
      <c r="G1188" s="9" t="s">
        <v>366</v>
      </c>
      <c r="H1188" s="8" t="s">
        <v>394</v>
      </c>
      <c r="I1188" s="7" t="s">
        <v>1031</v>
      </c>
    </row>
    <row r="1189" spans="1:9" x14ac:dyDescent="0.35">
      <c r="A1189" s="19" t="str">
        <f t="shared" si="21"/>
        <v>JACINTOREQ-716</v>
      </c>
      <c r="B1189" s="19" t="str">
        <f>HYPERLINK("https://jira.itg.ti.com/browse/PDK-5302","PDK-5302")</f>
        <v>PDK-5302</v>
      </c>
      <c r="C1189" s="18" t="s">
        <v>1329</v>
      </c>
      <c r="D1189" s="18" t="s">
        <v>210</v>
      </c>
      <c r="E1189" s="18" t="s">
        <v>1645</v>
      </c>
      <c r="F1189" s="20" t="s">
        <v>1229</v>
      </c>
      <c r="G1189" s="9" t="s">
        <v>366</v>
      </c>
      <c r="H1189" s="8" t="s">
        <v>394</v>
      </c>
      <c r="I1189" s="7" t="s">
        <v>1031</v>
      </c>
    </row>
    <row r="1190" spans="1:9" x14ac:dyDescent="0.35">
      <c r="A1190" s="19" t="str">
        <f t="shared" si="21"/>
        <v>JACINTOREQ-716</v>
      </c>
      <c r="B1190" s="19" t="str">
        <f>HYPERLINK("https://jira.itg.ti.com/browse/PDK-5303","PDK-5303")</f>
        <v>PDK-5303</v>
      </c>
      <c r="C1190" s="18" t="s">
        <v>149</v>
      </c>
      <c r="D1190" s="18" t="s">
        <v>210</v>
      </c>
      <c r="E1190" s="18" t="s">
        <v>1645</v>
      </c>
      <c r="F1190" s="20" t="s">
        <v>1229</v>
      </c>
      <c r="G1190" s="9" t="s">
        <v>366</v>
      </c>
      <c r="H1190" s="8" t="s">
        <v>394</v>
      </c>
      <c r="I1190" s="7" t="s">
        <v>1031</v>
      </c>
    </row>
    <row r="1191" spans="1:9" x14ac:dyDescent="0.35">
      <c r="A1191" s="19" t="str">
        <f t="shared" si="21"/>
        <v>JACINTOREQ-716</v>
      </c>
      <c r="B1191" s="19" t="str">
        <f>HYPERLINK("https://jira.itg.ti.com/browse/PDK-5304","PDK-5304")</f>
        <v>PDK-5304</v>
      </c>
      <c r="C1191" s="18" t="s">
        <v>1015</v>
      </c>
      <c r="D1191" s="18" t="s">
        <v>210</v>
      </c>
      <c r="E1191" s="18" t="s">
        <v>1645</v>
      </c>
      <c r="F1191" s="20" t="s">
        <v>1229</v>
      </c>
      <c r="G1191" s="9" t="s">
        <v>366</v>
      </c>
      <c r="H1191" s="8" t="s">
        <v>394</v>
      </c>
      <c r="I1191" s="7" t="s">
        <v>1031</v>
      </c>
    </row>
    <row r="1192" spans="1:9" x14ac:dyDescent="0.35">
      <c r="A1192" s="19" t="str">
        <f t="shared" si="21"/>
        <v>JACINTOREQ-716</v>
      </c>
      <c r="B1192" s="19" t="str">
        <f>HYPERLINK("https://jira.itg.ti.com/browse/PDK-5305","PDK-5305")</f>
        <v>PDK-5305</v>
      </c>
      <c r="C1192" s="18" t="s">
        <v>1269</v>
      </c>
      <c r="D1192" s="18" t="s">
        <v>210</v>
      </c>
      <c r="E1192" s="18" t="s">
        <v>1645</v>
      </c>
      <c r="F1192" s="20" t="s">
        <v>1229</v>
      </c>
      <c r="G1192" s="9" t="s">
        <v>366</v>
      </c>
      <c r="H1192" s="8" t="s">
        <v>394</v>
      </c>
      <c r="I1192" s="7" t="s">
        <v>1031</v>
      </c>
    </row>
    <row r="1193" spans="1:9" x14ac:dyDescent="0.35">
      <c r="A1193" s="19" t="str">
        <f t="shared" si="21"/>
        <v>JACINTOREQ-716</v>
      </c>
      <c r="B1193" s="19" t="str">
        <f>HYPERLINK("https://jira.itg.ti.com/browse/PDK-5306","PDK-5306")</f>
        <v>PDK-5306</v>
      </c>
      <c r="C1193" s="18" t="s">
        <v>1126</v>
      </c>
      <c r="D1193" s="18" t="s">
        <v>210</v>
      </c>
      <c r="E1193" s="18" t="s">
        <v>1645</v>
      </c>
      <c r="F1193" s="20" t="s">
        <v>1229</v>
      </c>
      <c r="G1193" s="9" t="s">
        <v>916</v>
      </c>
      <c r="H1193" s="8" t="s">
        <v>394</v>
      </c>
      <c r="I1193" s="7" t="s">
        <v>1031</v>
      </c>
    </row>
    <row r="1194" spans="1:9" x14ac:dyDescent="0.35">
      <c r="A1194" s="19" t="str">
        <f t="shared" si="21"/>
        <v>JACINTOREQ-716</v>
      </c>
      <c r="B1194" s="19" t="str">
        <f>HYPERLINK("https://jira.itg.ti.com/browse/PDK-5307","PDK-5307")</f>
        <v>PDK-5307</v>
      </c>
      <c r="C1194" s="18" t="s">
        <v>1044</v>
      </c>
      <c r="D1194" s="18" t="s">
        <v>210</v>
      </c>
      <c r="E1194" s="18" t="s">
        <v>1645</v>
      </c>
      <c r="F1194" s="20" t="s">
        <v>1229</v>
      </c>
      <c r="G1194" s="9" t="s">
        <v>127</v>
      </c>
      <c r="H1194" s="8" t="s">
        <v>394</v>
      </c>
      <c r="I1194" s="7" t="s">
        <v>1031</v>
      </c>
    </row>
    <row r="1195" spans="1:9" ht="25.5" x14ac:dyDescent="0.35">
      <c r="A1195" s="19"/>
      <c r="B1195" s="19"/>
      <c r="C1195" s="18"/>
      <c r="D1195" s="18"/>
      <c r="E1195" s="18"/>
      <c r="F1195" s="20"/>
      <c r="G1195" s="10" t="s">
        <v>1084</v>
      </c>
      <c r="H1195" s="8" t="s">
        <v>394</v>
      </c>
    </row>
    <row r="1196" spans="1:9" x14ac:dyDescent="0.35">
      <c r="A1196" s="19" t="str">
        <f>HYPERLINK("https://jira.itg.ti.com/browse/JACINTOREQ-716","JACINTOREQ-716")</f>
        <v>JACINTOREQ-716</v>
      </c>
      <c r="B1196" s="19" t="str">
        <f>HYPERLINK("https://jira.itg.ti.com/browse/PDK-5308","PDK-5308")</f>
        <v>PDK-5308</v>
      </c>
      <c r="C1196" s="18" t="s">
        <v>1262</v>
      </c>
      <c r="D1196" s="18" t="s">
        <v>210</v>
      </c>
      <c r="E1196" s="18" t="s">
        <v>1645</v>
      </c>
      <c r="F1196" s="20" t="s">
        <v>1229</v>
      </c>
      <c r="G1196" s="9" t="s">
        <v>127</v>
      </c>
      <c r="H1196" s="8" t="s">
        <v>394</v>
      </c>
      <c r="I1196" s="7" t="s">
        <v>1031</v>
      </c>
    </row>
    <row r="1197" spans="1:9" ht="25.5" x14ac:dyDescent="0.35">
      <c r="A1197" s="14"/>
      <c r="B1197" s="14"/>
      <c r="C1197" s="14"/>
      <c r="D1197" s="14"/>
      <c r="E1197" s="14"/>
      <c r="F1197" s="14"/>
      <c r="G1197" s="10" t="s">
        <v>1084</v>
      </c>
      <c r="H1197" s="8" t="s">
        <v>394</v>
      </c>
    </row>
    <row r="1198" spans="1:9" x14ac:dyDescent="0.35">
      <c r="A1198" s="19"/>
      <c r="B1198" s="19"/>
      <c r="C1198" s="18"/>
      <c r="D1198" s="18"/>
      <c r="E1198" s="18"/>
      <c r="F1198" s="20"/>
      <c r="G1198" s="10" t="s">
        <v>366</v>
      </c>
      <c r="H1198" s="8" t="s">
        <v>394</v>
      </c>
    </row>
    <row r="1199" spans="1:9" x14ac:dyDescent="0.35">
      <c r="A1199" s="19" t="str">
        <f>HYPERLINK("https://jira.itg.ti.com/browse/JACINTOREQ-716","JACINTOREQ-716")</f>
        <v>JACINTOREQ-716</v>
      </c>
      <c r="B1199" s="19" t="str">
        <f>HYPERLINK("https://jira.itg.ti.com/browse/PDK-5309","PDK-5309")</f>
        <v>PDK-5309</v>
      </c>
      <c r="C1199" s="18" t="s">
        <v>374</v>
      </c>
      <c r="D1199" s="18" t="s">
        <v>210</v>
      </c>
      <c r="E1199" s="18" t="s">
        <v>1645</v>
      </c>
      <c r="F1199" s="20" t="s">
        <v>1229</v>
      </c>
      <c r="G1199" s="9" t="s">
        <v>249</v>
      </c>
      <c r="H1199" s="8" t="s">
        <v>394</v>
      </c>
      <c r="I1199" s="7" t="s">
        <v>1031</v>
      </c>
    </row>
    <row r="1200" spans="1:9" x14ac:dyDescent="0.35">
      <c r="A1200" s="14"/>
      <c r="B1200" s="14"/>
      <c r="C1200" s="14"/>
      <c r="D1200" s="14"/>
      <c r="E1200" s="14"/>
      <c r="F1200" s="14"/>
      <c r="G1200" s="10" t="s">
        <v>265</v>
      </c>
      <c r="H1200" s="8" t="s">
        <v>394</v>
      </c>
    </row>
    <row r="1201" spans="1:9" x14ac:dyDescent="0.35">
      <c r="A1201" s="19"/>
      <c r="B1201" s="19"/>
      <c r="C1201" s="18"/>
      <c r="D1201" s="18"/>
      <c r="E1201" s="18"/>
      <c r="F1201" s="20"/>
      <c r="G1201" s="10" t="s">
        <v>46</v>
      </c>
      <c r="H1201" s="8" t="s">
        <v>394</v>
      </c>
    </row>
    <row r="1202" spans="1:9" x14ac:dyDescent="0.35">
      <c r="A1202" s="19" t="str">
        <f>HYPERLINK("https://jira.itg.ti.com/browse/JACINTOREQ-716","JACINTOREQ-716")</f>
        <v>JACINTOREQ-716</v>
      </c>
      <c r="B1202" s="19" t="str">
        <f>HYPERLINK("https://jira.itg.ti.com/browse/PDK-5310","PDK-5310")</f>
        <v>PDK-5310</v>
      </c>
      <c r="C1202" s="18" t="s">
        <v>628</v>
      </c>
      <c r="D1202" s="18" t="s">
        <v>210</v>
      </c>
      <c r="E1202" s="18" t="s">
        <v>1645</v>
      </c>
      <c r="F1202" s="20" t="s">
        <v>1229</v>
      </c>
      <c r="G1202" s="9" t="s">
        <v>102</v>
      </c>
      <c r="H1202" s="8" t="s">
        <v>394</v>
      </c>
      <c r="I1202" s="7" t="s">
        <v>1031</v>
      </c>
    </row>
    <row r="1203" spans="1:9" x14ac:dyDescent="0.35">
      <c r="A1203" s="14"/>
      <c r="B1203" s="14"/>
      <c r="C1203" s="14"/>
      <c r="D1203" s="14"/>
      <c r="E1203" s="14"/>
      <c r="F1203" s="14"/>
      <c r="G1203" s="10" t="s">
        <v>417</v>
      </c>
      <c r="H1203" s="8" t="s">
        <v>394</v>
      </c>
    </row>
    <row r="1204" spans="1:9" x14ac:dyDescent="0.35">
      <c r="A1204" s="14"/>
      <c r="B1204" s="14"/>
      <c r="C1204" s="14"/>
      <c r="D1204" s="14"/>
      <c r="E1204" s="14"/>
      <c r="F1204" s="14"/>
      <c r="G1204" s="10" t="s">
        <v>1499</v>
      </c>
      <c r="H1204" s="8" t="s">
        <v>394</v>
      </c>
    </row>
    <row r="1205" spans="1:9" x14ac:dyDescent="0.35">
      <c r="A1205" s="19"/>
      <c r="B1205" s="19"/>
      <c r="C1205" s="18"/>
      <c r="D1205" s="18"/>
      <c r="E1205" s="18"/>
      <c r="F1205" s="20"/>
      <c r="G1205" s="10" t="s">
        <v>784</v>
      </c>
      <c r="H1205" s="8" t="s">
        <v>394</v>
      </c>
    </row>
    <row r="1206" spans="1:9" x14ac:dyDescent="0.35">
      <c r="A1206" s="19" t="str">
        <f>HYPERLINK("https://jira.itg.ti.com/browse/JACINTOREQ-716","JACINTOREQ-716")</f>
        <v>JACINTOREQ-716</v>
      </c>
      <c r="B1206" s="19" t="str">
        <f>HYPERLINK("https://jira.itg.ti.com/browse/PDK-5311","PDK-5311")</f>
        <v>PDK-5311</v>
      </c>
      <c r="C1206" s="18" t="s">
        <v>347</v>
      </c>
      <c r="D1206" s="18" t="s">
        <v>210</v>
      </c>
      <c r="E1206" s="18" t="s">
        <v>1645</v>
      </c>
      <c r="F1206" s="20" t="s">
        <v>1229</v>
      </c>
      <c r="G1206" s="9" t="s">
        <v>102</v>
      </c>
      <c r="H1206" s="8" t="s">
        <v>394</v>
      </c>
      <c r="I1206" s="7" t="s">
        <v>1031</v>
      </c>
    </row>
    <row r="1207" spans="1:9" x14ac:dyDescent="0.35">
      <c r="A1207" s="14"/>
      <c r="B1207" s="14"/>
      <c r="C1207" s="14"/>
      <c r="D1207" s="14"/>
      <c r="E1207" s="14"/>
      <c r="F1207" s="14"/>
      <c r="G1207" s="10" t="s">
        <v>417</v>
      </c>
      <c r="H1207" s="8" t="s">
        <v>394</v>
      </c>
    </row>
    <row r="1208" spans="1:9" x14ac:dyDescent="0.35">
      <c r="A1208" s="14"/>
      <c r="B1208" s="14"/>
      <c r="C1208" s="14"/>
      <c r="D1208" s="14"/>
      <c r="E1208" s="14"/>
      <c r="F1208" s="14"/>
      <c r="G1208" s="10" t="s">
        <v>1499</v>
      </c>
      <c r="H1208" s="8" t="s">
        <v>394</v>
      </c>
    </row>
    <row r="1209" spans="1:9" x14ac:dyDescent="0.35">
      <c r="A1209" s="19"/>
      <c r="B1209" s="19"/>
      <c r="C1209" s="18"/>
      <c r="D1209" s="18"/>
      <c r="E1209" s="18"/>
      <c r="F1209" s="20"/>
      <c r="G1209" s="10" t="s">
        <v>784</v>
      </c>
      <c r="H1209" s="8" t="s">
        <v>394</v>
      </c>
    </row>
    <row r="1210" spans="1:9" x14ac:dyDescent="0.35">
      <c r="A1210" s="19" t="str">
        <f>HYPERLINK("https://jira.itg.ti.com/browse/JACINTOREQ-716","JACINTOREQ-716")</f>
        <v>JACINTOREQ-716</v>
      </c>
      <c r="B1210" s="19" t="str">
        <f>HYPERLINK("https://jira.itg.ti.com/browse/PDK-5312","PDK-5312")</f>
        <v>PDK-5312</v>
      </c>
      <c r="C1210" s="18" t="s">
        <v>15</v>
      </c>
      <c r="D1210" s="18" t="s">
        <v>210</v>
      </c>
      <c r="E1210" s="18" t="s">
        <v>1645</v>
      </c>
      <c r="F1210" s="20" t="s">
        <v>1229</v>
      </c>
      <c r="G1210" s="9" t="s">
        <v>102</v>
      </c>
      <c r="H1210" s="8" t="s">
        <v>394</v>
      </c>
      <c r="I1210" s="7" t="s">
        <v>1031</v>
      </c>
    </row>
    <row r="1211" spans="1:9" x14ac:dyDescent="0.35">
      <c r="A1211" s="14"/>
      <c r="B1211" s="14"/>
      <c r="C1211" s="14"/>
      <c r="D1211" s="14"/>
      <c r="E1211" s="14"/>
      <c r="F1211" s="14"/>
      <c r="G1211" s="10" t="s">
        <v>417</v>
      </c>
      <c r="H1211" s="8" t="s">
        <v>394</v>
      </c>
    </row>
    <row r="1212" spans="1:9" x14ac:dyDescent="0.35">
      <c r="A1212" s="14"/>
      <c r="B1212" s="14"/>
      <c r="C1212" s="14"/>
      <c r="D1212" s="14"/>
      <c r="E1212" s="14"/>
      <c r="F1212" s="14"/>
      <c r="G1212" s="10" t="s">
        <v>1499</v>
      </c>
      <c r="H1212" s="8" t="s">
        <v>394</v>
      </c>
    </row>
    <row r="1213" spans="1:9" x14ac:dyDescent="0.35">
      <c r="A1213" s="19"/>
      <c r="B1213" s="19"/>
      <c r="C1213" s="18"/>
      <c r="D1213" s="18"/>
      <c r="E1213" s="18"/>
      <c r="F1213" s="20"/>
      <c r="G1213" s="10" t="s">
        <v>784</v>
      </c>
      <c r="H1213" s="8" t="s">
        <v>394</v>
      </c>
    </row>
    <row r="1214" spans="1:9" x14ac:dyDescent="0.35">
      <c r="A1214" s="19" t="str">
        <f>HYPERLINK("https://jira.itg.ti.com/browse/JACINTOREQ-716","JACINTOREQ-716")</f>
        <v>JACINTOREQ-716</v>
      </c>
      <c r="B1214" s="19" t="str">
        <f>HYPERLINK("https://jira.itg.ti.com/browse/PDK-5313","PDK-5313")</f>
        <v>PDK-5313</v>
      </c>
      <c r="C1214" s="18" t="s">
        <v>1419</v>
      </c>
      <c r="D1214" s="18" t="s">
        <v>210</v>
      </c>
      <c r="E1214" s="18" t="s">
        <v>1645</v>
      </c>
      <c r="F1214" s="20" t="s">
        <v>1229</v>
      </c>
      <c r="G1214" s="9" t="s">
        <v>102</v>
      </c>
      <c r="H1214" s="8" t="s">
        <v>394</v>
      </c>
      <c r="I1214" s="7" t="s">
        <v>1031</v>
      </c>
    </row>
    <row r="1215" spans="1:9" x14ac:dyDescent="0.35">
      <c r="A1215" s="14"/>
      <c r="B1215" s="14"/>
      <c r="C1215" s="14"/>
      <c r="D1215" s="14"/>
      <c r="E1215" s="14"/>
      <c r="F1215" s="14"/>
      <c r="G1215" s="10" t="s">
        <v>417</v>
      </c>
      <c r="H1215" s="8" t="s">
        <v>394</v>
      </c>
    </row>
    <row r="1216" spans="1:9" x14ac:dyDescent="0.35">
      <c r="A1216" s="14"/>
      <c r="B1216" s="14"/>
      <c r="C1216" s="14"/>
      <c r="D1216" s="14"/>
      <c r="E1216" s="14"/>
      <c r="F1216" s="14"/>
      <c r="G1216" s="10" t="s">
        <v>1499</v>
      </c>
      <c r="H1216" s="8" t="s">
        <v>394</v>
      </c>
    </row>
    <row r="1217" spans="1:9" x14ac:dyDescent="0.35">
      <c r="A1217" s="19"/>
      <c r="B1217" s="19"/>
      <c r="C1217" s="18"/>
      <c r="D1217" s="18"/>
      <c r="E1217" s="18"/>
      <c r="F1217" s="20"/>
      <c r="G1217" s="10" t="s">
        <v>784</v>
      </c>
      <c r="H1217" s="8" t="s">
        <v>394</v>
      </c>
    </row>
    <row r="1218" spans="1:9" x14ac:dyDescent="0.35">
      <c r="A1218" s="19" t="str">
        <f>HYPERLINK("https://jira.itg.ti.com/browse/JACINTOREQ-716","JACINTOREQ-716")</f>
        <v>JACINTOREQ-716</v>
      </c>
      <c r="B1218" s="19" t="str">
        <f>HYPERLINK("https://jira.itg.ti.com/browse/PDK-5314","PDK-5314")</f>
        <v>PDK-5314</v>
      </c>
      <c r="C1218" s="18" t="s">
        <v>456</v>
      </c>
      <c r="D1218" s="18" t="s">
        <v>210</v>
      </c>
      <c r="E1218" s="18" t="s">
        <v>1645</v>
      </c>
      <c r="F1218" s="21" t="s">
        <v>419</v>
      </c>
      <c r="G1218" s="9" t="s">
        <v>846</v>
      </c>
      <c r="H1218" s="11" t="s">
        <v>711</v>
      </c>
      <c r="I1218" s="7" t="s">
        <v>1031</v>
      </c>
    </row>
    <row r="1219" spans="1:9" x14ac:dyDescent="0.35">
      <c r="A1219" s="14"/>
      <c r="B1219" s="14"/>
      <c r="C1219" s="14"/>
      <c r="D1219" s="14"/>
      <c r="E1219" s="14"/>
      <c r="F1219" s="14"/>
      <c r="G1219" s="10" t="s">
        <v>388</v>
      </c>
      <c r="H1219" s="8" t="s">
        <v>394</v>
      </c>
    </row>
    <row r="1220" spans="1:9" x14ac:dyDescent="0.35">
      <c r="A1220" s="19"/>
      <c r="B1220" s="19"/>
      <c r="C1220" s="18"/>
      <c r="D1220" s="18"/>
      <c r="E1220" s="18"/>
      <c r="F1220" s="21"/>
      <c r="G1220" s="10" t="s">
        <v>891</v>
      </c>
      <c r="H1220" s="8" t="s">
        <v>394</v>
      </c>
    </row>
    <row r="1221" spans="1:9" x14ac:dyDescent="0.35">
      <c r="A1221" s="19" t="str">
        <f>HYPERLINK("https://jira.itg.ti.com/browse/JACINTOREQ-716","JACINTOREQ-716")</f>
        <v>JACINTOREQ-716</v>
      </c>
      <c r="B1221" s="19" t="str">
        <f>HYPERLINK("https://jira.itg.ti.com/browse/PDK-5315","PDK-5315")</f>
        <v>PDK-5315</v>
      </c>
      <c r="C1221" s="18" t="s">
        <v>244</v>
      </c>
      <c r="D1221" s="18" t="s">
        <v>210</v>
      </c>
      <c r="E1221" s="18" t="s">
        <v>1645</v>
      </c>
      <c r="F1221" s="21" t="s">
        <v>419</v>
      </c>
      <c r="G1221" s="9" t="s">
        <v>846</v>
      </c>
      <c r="H1221" s="11" t="s">
        <v>711</v>
      </c>
      <c r="I1221" s="7" t="s">
        <v>1031</v>
      </c>
    </row>
    <row r="1222" spans="1:9" x14ac:dyDescent="0.35">
      <c r="A1222" s="14"/>
      <c r="B1222" s="14"/>
      <c r="C1222" s="14"/>
      <c r="D1222" s="14"/>
      <c r="E1222" s="14"/>
      <c r="F1222" s="14"/>
      <c r="G1222" s="10" t="s">
        <v>388</v>
      </c>
      <c r="H1222" s="8" t="s">
        <v>394</v>
      </c>
    </row>
    <row r="1223" spans="1:9" x14ac:dyDescent="0.35">
      <c r="A1223" s="19"/>
      <c r="B1223" s="19"/>
      <c r="C1223" s="18"/>
      <c r="D1223" s="18"/>
      <c r="E1223" s="18"/>
      <c r="F1223" s="21"/>
      <c r="G1223" s="10" t="s">
        <v>891</v>
      </c>
      <c r="H1223" s="8" t="s">
        <v>394</v>
      </c>
    </row>
    <row r="1224" spans="1:9" x14ac:dyDescent="0.35">
      <c r="A1224" s="19" t="str">
        <f>HYPERLINK("https://jira.itg.ti.com/browse/JACINTOREQ-716","JACINTOREQ-716")</f>
        <v>JACINTOREQ-716</v>
      </c>
      <c r="B1224" s="19" t="str">
        <f>HYPERLINK("https://jira.itg.ti.com/browse/PDK-5316","PDK-5316")</f>
        <v>PDK-5316</v>
      </c>
      <c r="C1224" s="18" t="s">
        <v>385</v>
      </c>
      <c r="D1224" s="18" t="s">
        <v>210</v>
      </c>
      <c r="E1224" s="18" t="s">
        <v>1645</v>
      </c>
      <c r="F1224" s="20" t="s">
        <v>1229</v>
      </c>
      <c r="G1224" s="9" t="s">
        <v>784</v>
      </c>
      <c r="H1224" s="8" t="s">
        <v>394</v>
      </c>
      <c r="I1224" s="7" t="s">
        <v>1031</v>
      </c>
    </row>
    <row r="1225" spans="1:9" x14ac:dyDescent="0.35">
      <c r="A1225" s="19" t="str">
        <f>HYPERLINK("https://jira.itg.ti.com/browse/JACINTOREQ-716","JACINTOREQ-716")</f>
        <v>JACINTOREQ-716</v>
      </c>
      <c r="B1225" s="19" t="str">
        <f>HYPERLINK("https://jira.itg.ti.com/browse/PDK-5317","PDK-5317")</f>
        <v>PDK-5317</v>
      </c>
      <c r="C1225" s="18" t="s">
        <v>1169</v>
      </c>
      <c r="D1225" s="18" t="s">
        <v>210</v>
      </c>
      <c r="E1225" s="18" t="s">
        <v>1645</v>
      </c>
      <c r="F1225" s="20" t="s">
        <v>1229</v>
      </c>
      <c r="G1225" s="9" t="s">
        <v>102</v>
      </c>
      <c r="H1225" s="8" t="s">
        <v>394</v>
      </c>
      <c r="I1225" s="7" t="s">
        <v>1031</v>
      </c>
    </row>
    <row r="1226" spans="1:9" x14ac:dyDescent="0.35">
      <c r="A1226" s="14"/>
      <c r="B1226" s="14"/>
      <c r="C1226" s="14"/>
      <c r="D1226" s="14"/>
      <c r="E1226" s="14"/>
      <c r="F1226" s="14"/>
      <c r="G1226" s="10" t="s">
        <v>417</v>
      </c>
      <c r="H1226" s="8" t="s">
        <v>394</v>
      </c>
    </row>
    <row r="1227" spans="1:9" x14ac:dyDescent="0.35">
      <c r="A1227" s="14"/>
      <c r="B1227" s="14"/>
      <c r="C1227" s="14"/>
      <c r="D1227" s="14"/>
      <c r="E1227" s="14"/>
      <c r="F1227" s="14"/>
      <c r="G1227" s="10" t="s">
        <v>1499</v>
      </c>
      <c r="H1227" s="8" t="s">
        <v>394</v>
      </c>
    </row>
    <row r="1228" spans="1:9" x14ac:dyDescent="0.35">
      <c r="A1228" s="19"/>
      <c r="B1228" s="19"/>
      <c r="C1228" s="18"/>
      <c r="D1228" s="18"/>
      <c r="E1228" s="18"/>
      <c r="F1228" s="20"/>
      <c r="G1228" s="10" t="s">
        <v>784</v>
      </c>
      <c r="H1228" s="8" t="s">
        <v>394</v>
      </c>
    </row>
    <row r="1229" spans="1:9" x14ac:dyDescent="0.35">
      <c r="A1229" s="19" t="str">
        <f t="shared" ref="A1229:A1242" si="22">HYPERLINK("https://jira.itg.ti.com/browse/JACINTOREQ-716","JACINTOREQ-716")</f>
        <v>JACINTOREQ-716</v>
      </c>
      <c r="B1229" s="19" t="str">
        <f>HYPERLINK("https://jira.itg.ti.com/browse/PDK-5318","PDK-5318")</f>
        <v>PDK-5318</v>
      </c>
      <c r="C1229" s="18" t="s">
        <v>1673</v>
      </c>
      <c r="D1229" s="18" t="s">
        <v>210</v>
      </c>
      <c r="E1229" s="18" t="s">
        <v>1645</v>
      </c>
      <c r="F1229" s="20" t="s">
        <v>1229</v>
      </c>
      <c r="G1229" s="9" t="s">
        <v>859</v>
      </c>
      <c r="H1229" s="8" t="s">
        <v>394</v>
      </c>
      <c r="I1229" s="7" t="s">
        <v>1031</v>
      </c>
    </row>
    <row r="1230" spans="1:9" x14ac:dyDescent="0.35">
      <c r="A1230" s="19" t="str">
        <f t="shared" si="22"/>
        <v>JACINTOREQ-716</v>
      </c>
      <c r="B1230" s="19" t="str">
        <f>HYPERLINK("https://jira.itg.ti.com/browse/PDK-5319","PDK-5319")</f>
        <v>PDK-5319</v>
      </c>
      <c r="C1230" s="18" t="s">
        <v>1383</v>
      </c>
      <c r="D1230" s="18" t="s">
        <v>210</v>
      </c>
      <c r="E1230" s="18" t="s">
        <v>1645</v>
      </c>
      <c r="F1230" s="20" t="s">
        <v>1229</v>
      </c>
      <c r="G1230" s="9" t="s">
        <v>1225</v>
      </c>
      <c r="H1230" s="8" t="s">
        <v>394</v>
      </c>
      <c r="I1230" s="7" t="s">
        <v>1031</v>
      </c>
    </row>
    <row r="1231" spans="1:9" x14ac:dyDescent="0.35">
      <c r="A1231" s="19" t="str">
        <f t="shared" si="22"/>
        <v>JACINTOREQ-716</v>
      </c>
      <c r="B1231" s="19" t="str">
        <f>HYPERLINK("https://jira.itg.ti.com/browse/PDK-5320","PDK-5320")</f>
        <v>PDK-5320</v>
      </c>
      <c r="C1231" s="18" t="s">
        <v>732</v>
      </c>
      <c r="D1231" s="18" t="s">
        <v>210</v>
      </c>
      <c r="E1231" s="18" t="s">
        <v>1645</v>
      </c>
      <c r="F1231" s="20" t="s">
        <v>1229</v>
      </c>
      <c r="G1231" s="9" t="s">
        <v>1071</v>
      </c>
      <c r="H1231" s="8" t="s">
        <v>394</v>
      </c>
      <c r="I1231" s="7" t="s">
        <v>1031</v>
      </c>
    </row>
    <row r="1232" spans="1:9" x14ac:dyDescent="0.35">
      <c r="A1232" s="19" t="str">
        <f t="shared" si="22"/>
        <v>JACINTOREQ-716</v>
      </c>
      <c r="B1232" s="19" t="str">
        <f>HYPERLINK("https://jira.itg.ti.com/browse/PDK-5321","PDK-5321")</f>
        <v>PDK-5321</v>
      </c>
      <c r="C1232" s="18" t="s">
        <v>1560</v>
      </c>
      <c r="D1232" s="18" t="s">
        <v>210</v>
      </c>
      <c r="E1232" s="18" t="s">
        <v>1645</v>
      </c>
      <c r="F1232" s="20" t="s">
        <v>1229</v>
      </c>
      <c r="G1232" s="9" t="s">
        <v>1049</v>
      </c>
      <c r="H1232" s="8" t="s">
        <v>394</v>
      </c>
      <c r="I1232" s="7" t="s">
        <v>1031</v>
      </c>
    </row>
    <row r="1233" spans="1:9" x14ac:dyDescent="0.35">
      <c r="A1233" s="19" t="str">
        <f t="shared" si="22"/>
        <v>JACINTOREQ-716</v>
      </c>
      <c r="B1233" s="19" t="str">
        <f>HYPERLINK("https://jira.itg.ti.com/browse/PDK-5322","PDK-5322")</f>
        <v>PDK-5322</v>
      </c>
      <c r="C1233" s="18" t="s">
        <v>64</v>
      </c>
      <c r="D1233" s="18" t="s">
        <v>210</v>
      </c>
      <c r="E1233" s="18" t="s">
        <v>1645</v>
      </c>
      <c r="F1233" s="20" t="s">
        <v>1229</v>
      </c>
      <c r="G1233" s="9" t="s">
        <v>620</v>
      </c>
      <c r="H1233" s="8" t="s">
        <v>394</v>
      </c>
      <c r="I1233" s="7" t="s">
        <v>1031</v>
      </c>
    </row>
    <row r="1234" spans="1:9" x14ac:dyDescent="0.35">
      <c r="A1234" s="19" t="str">
        <f t="shared" si="22"/>
        <v>JACINTOREQ-716</v>
      </c>
      <c r="B1234" s="19" t="str">
        <f>HYPERLINK("https://jira.itg.ti.com/browse/PDK-5323","PDK-5323")</f>
        <v>PDK-5323</v>
      </c>
      <c r="C1234" s="18" t="s">
        <v>402</v>
      </c>
      <c r="D1234" s="18" t="s">
        <v>210</v>
      </c>
      <c r="E1234" s="18" t="s">
        <v>1645</v>
      </c>
      <c r="F1234" s="20" t="s">
        <v>1229</v>
      </c>
      <c r="G1234" s="9" t="s">
        <v>1293</v>
      </c>
      <c r="H1234" s="8" t="s">
        <v>394</v>
      </c>
      <c r="I1234" s="7" t="s">
        <v>1031</v>
      </c>
    </row>
    <row r="1235" spans="1:9" x14ac:dyDescent="0.35">
      <c r="A1235" s="19" t="str">
        <f t="shared" si="22"/>
        <v>JACINTOREQ-716</v>
      </c>
      <c r="B1235" s="19" t="str">
        <f>HYPERLINK("https://jira.itg.ti.com/browse/PDK-5324","PDK-5324")</f>
        <v>PDK-5324</v>
      </c>
      <c r="C1235" s="18" t="s">
        <v>380</v>
      </c>
      <c r="D1235" s="18" t="s">
        <v>210</v>
      </c>
      <c r="E1235" s="18" t="s">
        <v>1645</v>
      </c>
      <c r="F1235" s="20" t="s">
        <v>1229</v>
      </c>
      <c r="G1235" s="9" t="s">
        <v>590</v>
      </c>
      <c r="H1235" s="8" t="s">
        <v>394</v>
      </c>
      <c r="I1235" s="7" t="s">
        <v>1031</v>
      </c>
    </row>
    <row r="1236" spans="1:9" x14ac:dyDescent="0.35">
      <c r="A1236" s="19" t="str">
        <f t="shared" si="22"/>
        <v>JACINTOREQ-716</v>
      </c>
      <c r="B1236" s="19" t="str">
        <f>HYPERLINK("https://jira.itg.ti.com/browse/PDK-5325","PDK-5325")</f>
        <v>PDK-5325</v>
      </c>
      <c r="C1236" s="18" t="s">
        <v>1400</v>
      </c>
      <c r="D1236" s="18" t="s">
        <v>210</v>
      </c>
      <c r="E1236" s="18" t="s">
        <v>1645</v>
      </c>
      <c r="F1236" s="20" t="s">
        <v>1229</v>
      </c>
      <c r="G1236" s="9" t="s">
        <v>1039</v>
      </c>
      <c r="H1236" s="8" t="s">
        <v>394</v>
      </c>
      <c r="I1236" s="7" t="s">
        <v>1031</v>
      </c>
    </row>
    <row r="1237" spans="1:9" x14ac:dyDescent="0.35">
      <c r="A1237" s="19" t="str">
        <f t="shared" si="22"/>
        <v>JACINTOREQ-716</v>
      </c>
      <c r="B1237" s="19" t="str">
        <f>HYPERLINK("https://jira.itg.ti.com/browse/PDK-5326","PDK-5326")</f>
        <v>PDK-5326</v>
      </c>
      <c r="C1237" s="18" t="s">
        <v>157</v>
      </c>
      <c r="D1237" s="18" t="s">
        <v>210</v>
      </c>
      <c r="E1237" s="18" t="s">
        <v>1645</v>
      </c>
      <c r="F1237" s="20" t="s">
        <v>1229</v>
      </c>
      <c r="G1237" s="9" t="s">
        <v>271</v>
      </c>
      <c r="H1237" s="8" t="s">
        <v>394</v>
      </c>
      <c r="I1237" s="7" t="s">
        <v>1031</v>
      </c>
    </row>
    <row r="1238" spans="1:9" x14ac:dyDescent="0.35">
      <c r="A1238" s="19" t="str">
        <f t="shared" si="22"/>
        <v>JACINTOREQ-716</v>
      </c>
      <c r="B1238" s="19" t="str">
        <f>HYPERLINK("https://jira.itg.ti.com/browse/PDK-5327","PDK-5327")</f>
        <v>PDK-5327</v>
      </c>
      <c r="C1238" s="18" t="s">
        <v>1127</v>
      </c>
      <c r="D1238" s="18" t="s">
        <v>210</v>
      </c>
      <c r="E1238" s="18" t="s">
        <v>1645</v>
      </c>
      <c r="F1238" s="20" t="s">
        <v>1229</v>
      </c>
      <c r="G1238" s="9" t="s">
        <v>644</v>
      </c>
      <c r="H1238" s="8" t="s">
        <v>394</v>
      </c>
      <c r="I1238" s="7" t="s">
        <v>1031</v>
      </c>
    </row>
    <row r="1239" spans="1:9" ht="25.5" x14ac:dyDescent="0.35">
      <c r="A1239" s="19" t="str">
        <f t="shared" si="22"/>
        <v>JACINTOREQ-716</v>
      </c>
      <c r="B1239" s="19" t="str">
        <f>HYPERLINK("https://jira.itg.ti.com/browse/PDK-5328","PDK-5328")</f>
        <v>PDK-5328</v>
      </c>
      <c r="C1239" s="18" t="s">
        <v>1009</v>
      </c>
      <c r="D1239" s="18" t="s">
        <v>210</v>
      </c>
      <c r="E1239" s="18" t="s">
        <v>1645</v>
      </c>
      <c r="F1239" s="20" t="s">
        <v>1229</v>
      </c>
      <c r="G1239" s="9" t="s">
        <v>1002</v>
      </c>
      <c r="H1239" s="8" t="s">
        <v>394</v>
      </c>
      <c r="I1239" s="7" t="s">
        <v>1031</v>
      </c>
    </row>
    <row r="1240" spans="1:9" ht="25.5" x14ac:dyDescent="0.35">
      <c r="A1240" s="19" t="str">
        <f t="shared" si="22"/>
        <v>JACINTOREQ-716</v>
      </c>
      <c r="B1240" s="19" t="str">
        <f>HYPERLINK("https://jira.itg.ti.com/browse/PDK-5329","PDK-5329")</f>
        <v>PDK-5329</v>
      </c>
      <c r="C1240" s="18" t="s">
        <v>1479</v>
      </c>
      <c r="D1240" s="18" t="s">
        <v>210</v>
      </c>
      <c r="E1240" s="18" t="s">
        <v>1645</v>
      </c>
      <c r="F1240" s="20" t="s">
        <v>1229</v>
      </c>
      <c r="G1240" s="9" t="s">
        <v>815</v>
      </c>
      <c r="H1240" s="8" t="s">
        <v>394</v>
      </c>
      <c r="I1240" s="7" t="s">
        <v>1031</v>
      </c>
    </row>
    <row r="1241" spans="1:9" ht="25.5" x14ac:dyDescent="0.35">
      <c r="A1241" s="19" t="str">
        <f t="shared" si="22"/>
        <v>JACINTOREQ-716</v>
      </c>
      <c r="B1241" s="19" t="str">
        <f>HYPERLINK("https://jira.itg.ti.com/browse/PDK-5330","PDK-5330")</f>
        <v>PDK-5330</v>
      </c>
      <c r="C1241" s="18" t="s">
        <v>725</v>
      </c>
      <c r="D1241" s="18" t="s">
        <v>210</v>
      </c>
      <c r="E1241" s="18" t="s">
        <v>1645</v>
      </c>
      <c r="F1241" s="20" t="s">
        <v>1229</v>
      </c>
      <c r="G1241" s="9" t="s">
        <v>1300</v>
      </c>
      <c r="H1241" s="8" t="s">
        <v>394</v>
      </c>
      <c r="I1241" s="7" t="s">
        <v>1031</v>
      </c>
    </row>
    <row r="1242" spans="1:9" x14ac:dyDescent="0.35">
      <c r="A1242" s="19" t="str">
        <f t="shared" si="22"/>
        <v>JACINTOREQ-716</v>
      </c>
      <c r="B1242" s="19" t="str">
        <f>HYPERLINK("https://jira.itg.ti.com/browse/PDK-5354","PDK-5354")</f>
        <v>PDK-5354</v>
      </c>
      <c r="C1242" s="18" t="s">
        <v>929</v>
      </c>
      <c r="D1242" s="18" t="s">
        <v>210</v>
      </c>
      <c r="E1242" s="18" t="s">
        <v>1645</v>
      </c>
      <c r="F1242" s="21" t="s">
        <v>419</v>
      </c>
      <c r="G1242" s="9" t="s">
        <v>846</v>
      </c>
      <c r="H1242" s="11" t="s">
        <v>711</v>
      </c>
      <c r="I1242" s="7" t="s">
        <v>1031</v>
      </c>
    </row>
    <row r="1243" spans="1:9" x14ac:dyDescent="0.35">
      <c r="A1243" s="14"/>
      <c r="B1243" s="14"/>
      <c r="C1243" s="14"/>
      <c r="D1243" s="14"/>
      <c r="E1243" s="14"/>
      <c r="F1243" s="14"/>
      <c r="G1243" s="10" t="s">
        <v>388</v>
      </c>
      <c r="H1243" s="8" t="s">
        <v>394</v>
      </c>
    </row>
    <row r="1244" spans="1:9" x14ac:dyDescent="0.35">
      <c r="A1244" s="19"/>
      <c r="B1244" s="19"/>
      <c r="C1244" s="18"/>
      <c r="D1244" s="18"/>
      <c r="E1244" s="18"/>
      <c r="F1244" s="21"/>
      <c r="G1244" s="10" t="s">
        <v>891</v>
      </c>
      <c r="H1244" s="8" t="s">
        <v>394</v>
      </c>
    </row>
    <row r="1245" spans="1:9" x14ac:dyDescent="0.35">
      <c r="A1245" s="19" t="str">
        <f>HYPERLINK("https://jira.itg.ti.com/browse/JACINTOREQ-716","JACINTOREQ-716")</f>
        <v>JACINTOREQ-716</v>
      </c>
      <c r="B1245" s="19" t="str">
        <f>HYPERLINK("https://jira.itg.ti.com/browse/PDK-5355","PDK-5355")</f>
        <v>PDK-5355</v>
      </c>
      <c r="C1245" s="18" t="s">
        <v>446</v>
      </c>
      <c r="D1245" s="18" t="s">
        <v>210</v>
      </c>
      <c r="E1245" s="18" t="s">
        <v>1645</v>
      </c>
      <c r="F1245" s="20" t="s">
        <v>1229</v>
      </c>
      <c r="G1245" s="9" t="s">
        <v>200</v>
      </c>
      <c r="H1245" s="8" t="s">
        <v>394</v>
      </c>
      <c r="I1245" s="7" t="s">
        <v>1031</v>
      </c>
    </row>
    <row r="1246" spans="1:9" x14ac:dyDescent="0.35">
      <c r="A1246" s="19" t="str">
        <f>HYPERLINK("https://jira.itg.ti.com/browse/JACINTOREQ-716","JACINTOREQ-716")</f>
        <v>JACINTOREQ-716</v>
      </c>
      <c r="B1246" s="19" t="str">
        <f>HYPERLINK("https://jira.itg.ti.com/browse/PDK-5751","PDK-5751")</f>
        <v>PDK-5751</v>
      </c>
      <c r="C1246" s="18" t="s">
        <v>1665</v>
      </c>
      <c r="D1246" s="18" t="s">
        <v>210</v>
      </c>
      <c r="E1246" s="18" t="s">
        <v>1645</v>
      </c>
      <c r="F1246" s="21" t="s">
        <v>419</v>
      </c>
      <c r="G1246" s="9" t="s">
        <v>819</v>
      </c>
      <c r="H1246" s="8" t="s">
        <v>394</v>
      </c>
      <c r="I1246" s="7" t="s">
        <v>1031</v>
      </c>
    </row>
    <row r="1247" spans="1:9" x14ac:dyDescent="0.35">
      <c r="A1247" s="14"/>
      <c r="B1247" s="14"/>
      <c r="C1247" s="14"/>
      <c r="D1247" s="14"/>
      <c r="E1247" s="14"/>
      <c r="F1247" s="14"/>
      <c r="G1247" s="10" t="s">
        <v>846</v>
      </c>
      <c r="H1247" s="11" t="s">
        <v>711</v>
      </c>
    </row>
    <row r="1248" spans="1:9" x14ac:dyDescent="0.35">
      <c r="A1248" s="14"/>
      <c r="B1248" s="14"/>
      <c r="C1248" s="14"/>
      <c r="D1248" s="14"/>
      <c r="E1248" s="14"/>
      <c r="F1248" s="14"/>
      <c r="G1248" s="10" t="s">
        <v>388</v>
      </c>
      <c r="H1248" s="8" t="s">
        <v>394</v>
      </c>
    </row>
    <row r="1249" spans="1:9" x14ac:dyDescent="0.35">
      <c r="A1249" s="19"/>
      <c r="B1249" s="19"/>
      <c r="C1249" s="18"/>
      <c r="D1249" s="18"/>
      <c r="E1249" s="18"/>
      <c r="F1249" s="21"/>
      <c r="G1249" s="10" t="s">
        <v>891</v>
      </c>
      <c r="H1249" s="8" t="s">
        <v>394</v>
      </c>
    </row>
    <row r="1250" spans="1:9" x14ac:dyDescent="0.35">
      <c r="A1250" s="19" t="str">
        <f>HYPERLINK("https://jira.itg.ti.com/browse/JACINTOREQ-716","JACINTOREQ-716")</f>
        <v>JACINTOREQ-716</v>
      </c>
      <c r="B1250" s="19" t="str">
        <f>HYPERLINK("https://jira.itg.ti.com/browse/PDK-5752","PDK-5752")</f>
        <v>PDK-5752</v>
      </c>
      <c r="C1250" s="18" t="s">
        <v>807</v>
      </c>
      <c r="D1250" s="18" t="s">
        <v>210</v>
      </c>
      <c r="E1250" s="18" t="s">
        <v>1645</v>
      </c>
      <c r="F1250" s="21" t="s">
        <v>419</v>
      </c>
      <c r="G1250" s="9" t="s">
        <v>819</v>
      </c>
      <c r="H1250" s="8" t="s">
        <v>394</v>
      </c>
      <c r="I1250" s="7" t="s">
        <v>1031</v>
      </c>
    </row>
    <row r="1251" spans="1:9" x14ac:dyDescent="0.35">
      <c r="A1251" s="14"/>
      <c r="B1251" s="14"/>
      <c r="C1251" s="14"/>
      <c r="D1251" s="14"/>
      <c r="E1251" s="14"/>
      <c r="F1251" s="14"/>
      <c r="G1251" s="10" t="s">
        <v>846</v>
      </c>
      <c r="H1251" s="11" t="s">
        <v>711</v>
      </c>
    </row>
    <row r="1252" spans="1:9" x14ac:dyDescent="0.35">
      <c r="A1252" s="14"/>
      <c r="B1252" s="14"/>
      <c r="C1252" s="14"/>
      <c r="D1252" s="14"/>
      <c r="E1252" s="14"/>
      <c r="F1252" s="14"/>
      <c r="G1252" s="10" t="s">
        <v>388</v>
      </c>
      <c r="H1252" s="8" t="s">
        <v>394</v>
      </c>
    </row>
    <row r="1253" spans="1:9" x14ac:dyDescent="0.35">
      <c r="A1253" s="19"/>
      <c r="B1253" s="19"/>
      <c r="C1253" s="18"/>
      <c r="D1253" s="18"/>
      <c r="E1253" s="18"/>
      <c r="F1253" s="21"/>
      <c r="G1253" s="10" t="s">
        <v>891</v>
      </c>
      <c r="H1253" s="8" t="s">
        <v>394</v>
      </c>
    </row>
    <row r="1254" spans="1:9" x14ac:dyDescent="0.35">
      <c r="A1254" s="19" t="str">
        <f>HYPERLINK("https://jira.itg.ti.com/browse/JACINTOREQ-716","JACINTOREQ-716")</f>
        <v>JACINTOREQ-716</v>
      </c>
      <c r="B1254" s="19" t="str">
        <f>HYPERLINK("https://jira.itg.ti.com/browse/PDK-5753","PDK-5753")</f>
        <v>PDK-5753</v>
      </c>
      <c r="C1254" s="18" t="s">
        <v>170</v>
      </c>
      <c r="D1254" s="18" t="s">
        <v>210</v>
      </c>
      <c r="E1254" s="18" t="s">
        <v>1645</v>
      </c>
      <c r="F1254" s="21" t="s">
        <v>419</v>
      </c>
      <c r="G1254" s="9" t="s">
        <v>819</v>
      </c>
      <c r="H1254" s="8" t="s">
        <v>394</v>
      </c>
      <c r="I1254" s="7" t="s">
        <v>1031</v>
      </c>
    </row>
    <row r="1255" spans="1:9" x14ac:dyDescent="0.35">
      <c r="A1255" s="14"/>
      <c r="B1255" s="14"/>
      <c r="C1255" s="14"/>
      <c r="D1255" s="14"/>
      <c r="E1255" s="14"/>
      <c r="F1255" s="14"/>
      <c r="G1255" s="10" t="s">
        <v>846</v>
      </c>
      <c r="H1255" s="11" t="s">
        <v>711</v>
      </c>
    </row>
    <row r="1256" spans="1:9" x14ac:dyDescent="0.35">
      <c r="A1256" s="14"/>
      <c r="B1256" s="14"/>
      <c r="C1256" s="14"/>
      <c r="D1256" s="14"/>
      <c r="E1256" s="14"/>
      <c r="F1256" s="14"/>
      <c r="G1256" s="10" t="s">
        <v>388</v>
      </c>
      <c r="H1256" s="8" t="s">
        <v>394</v>
      </c>
    </row>
    <row r="1257" spans="1:9" x14ac:dyDescent="0.35">
      <c r="A1257" s="19"/>
      <c r="B1257" s="19"/>
      <c r="C1257" s="18"/>
      <c r="D1257" s="18"/>
      <c r="E1257" s="18"/>
      <c r="F1257" s="21"/>
      <c r="G1257" s="10" t="s">
        <v>891</v>
      </c>
      <c r="H1257" s="8" t="s">
        <v>394</v>
      </c>
    </row>
    <row r="1258" spans="1:9" x14ac:dyDescent="0.35">
      <c r="A1258" s="19" t="str">
        <f>HYPERLINK("https://jira.itg.ti.com/browse/JACINTOREQ-716","JACINTOREQ-716")</f>
        <v>JACINTOREQ-716</v>
      </c>
      <c r="B1258" s="19" t="str">
        <f>HYPERLINK("https://jira.itg.ti.com/browse/PDK-5754","PDK-5754")</f>
        <v>PDK-5754</v>
      </c>
      <c r="C1258" s="18" t="s">
        <v>1455</v>
      </c>
      <c r="D1258" s="18" t="s">
        <v>210</v>
      </c>
      <c r="E1258" s="18" t="s">
        <v>1645</v>
      </c>
      <c r="F1258" s="21" t="s">
        <v>419</v>
      </c>
      <c r="G1258" s="9" t="s">
        <v>819</v>
      </c>
      <c r="H1258" s="8" t="s">
        <v>394</v>
      </c>
      <c r="I1258" s="7" t="s">
        <v>1031</v>
      </c>
    </row>
    <row r="1259" spans="1:9" x14ac:dyDescent="0.35">
      <c r="A1259" s="14"/>
      <c r="B1259" s="14"/>
      <c r="C1259" s="14"/>
      <c r="D1259" s="14"/>
      <c r="E1259" s="14"/>
      <c r="F1259" s="14"/>
      <c r="G1259" s="10" t="s">
        <v>846</v>
      </c>
      <c r="H1259" s="11" t="s">
        <v>711</v>
      </c>
    </row>
    <row r="1260" spans="1:9" x14ac:dyDescent="0.35">
      <c r="A1260" s="14"/>
      <c r="B1260" s="14"/>
      <c r="C1260" s="14"/>
      <c r="D1260" s="14"/>
      <c r="E1260" s="14"/>
      <c r="F1260" s="14"/>
      <c r="G1260" s="10" t="s">
        <v>388</v>
      </c>
      <c r="H1260" s="8" t="s">
        <v>394</v>
      </c>
    </row>
    <row r="1261" spans="1:9" x14ac:dyDescent="0.35">
      <c r="A1261" s="19"/>
      <c r="B1261" s="19"/>
      <c r="C1261" s="18"/>
      <c r="D1261" s="18"/>
      <c r="E1261" s="18"/>
      <c r="F1261" s="21"/>
      <c r="G1261" s="10" t="s">
        <v>891</v>
      </c>
      <c r="H1261" s="8" t="s">
        <v>394</v>
      </c>
    </row>
    <row r="1262" spans="1:9" x14ac:dyDescent="0.35">
      <c r="A1262" s="19" t="str">
        <f>HYPERLINK("https://jira.itg.ti.com/browse/JACINTOREQ-716","JACINTOREQ-716")</f>
        <v>JACINTOREQ-716</v>
      </c>
      <c r="B1262" s="19" t="str">
        <f>HYPERLINK("https://jira.itg.ti.com/browse/PDK-5755","PDK-5755")</f>
        <v>PDK-5755</v>
      </c>
      <c r="C1262" s="18" t="s">
        <v>486</v>
      </c>
      <c r="D1262" s="18" t="s">
        <v>210</v>
      </c>
      <c r="E1262" s="18" t="s">
        <v>1645</v>
      </c>
      <c r="F1262" s="21" t="s">
        <v>419</v>
      </c>
      <c r="G1262" s="9" t="s">
        <v>819</v>
      </c>
      <c r="H1262" s="8" t="s">
        <v>394</v>
      </c>
      <c r="I1262" s="7" t="s">
        <v>1031</v>
      </c>
    </row>
    <row r="1263" spans="1:9" x14ac:dyDescent="0.35">
      <c r="A1263" s="14"/>
      <c r="B1263" s="14"/>
      <c r="C1263" s="14"/>
      <c r="D1263" s="14"/>
      <c r="E1263" s="14"/>
      <c r="F1263" s="14"/>
      <c r="G1263" s="10" t="s">
        <v>846</v>
      </c>
      <c r="H1263" s="11" t="s">
        <v>711</v>
      </c>
    </row>
    <row r="1264" spans="1:9" x14ac:dyDescent="0.35">
      <c r="A1264" s="14"/>
      <c r="B1264" s="14"/>
      <c r="C1264" s="14"/>
      <c r="D1264" s="14"/>
      <c r="E1264" s="14"/>
      <c r="F1264" s="14"/>
      <c r="G1264" s="10" t="s">
        <v>388</v>
      </c>
      <c r="H1264" s="8" t="s">
        <v>394</v>
      </c>
    </row>
    <row r="1265" spans="1:9" x14ac:dyDescent="0.35">
      <c r="A1265" s="19"/>
      <c r="B1265" s="19"/>
      <c r="C1265" s="18"/>
      <c r="D1265" s="18"/>
      <c r="E1265" s="18"/>
      <c r="F1265" s="21"/>
      <c r="G1265" s="10" t="s">
        <v>891</v>
      </c>
      <c r="H1265" s="8" t="s">
        <v>394</v>
      </c>
    </row>
    <row r="1266" spans="1:9" x14ac:dyDescent="0.35">
      <c r="A1266" s="19" t="str">
        <f>HYPERLINK("https://jira.itg.ti.com/browse/JACINTOREQ-716","JACINTOREQ-716")</f>
        <v>JACINTOREQ-716</v>
      </c>
      <c r="B1266" s="19" t="str">
        <f>HYPERLINK("https://jira.itg.ti.com/browse/PDK-5756","PDK-5756")</f>
        <v>PDK-5756</v>
      </c>
      <c r="C1266" s="18" t="s">
        <v>1281</v>
      </c>
      <c r="D1266" s="18" t="s">
        <v>210</v>
      </c>
      <c r="E1266" s="18" t="s">
        <v>1645</v>
      </c>
      <c r="F1266" s="21" t="s">
        <v>419</v>
      </c>
      <c r="G1266" s="9" t="s">
        <v>819</v>
      </c>
      <c r="H1266" s="8" t="s">
        <v>394</v>
      </c>
      <c r="I1266" s="7" t="s">
        <v>1031</v>
      </c>
    </row>
    <row r="1267" spans="1:9" x14ac:dyDescent="0.35">
      <c r="A1267" s="14"/>
      <c r="B1267" s="14"/>
      <c r="C1267" s="14"/>
      <c r="D1267" s="14"/>
      <c r="E1267" s="14"/>
      <c r="F1267" s="14"/>
      <c r="G1267" s="10" t="s">
        <v>846</v>
      </c>
      <c r="H1267" s="11" t="s">
        <v>711</v>
      </c>
    </row>
    <row r="1268" spans="1:9" x14ac:dyDescent="0.35">
      <c r="A1268" s="14"/>
      <c r="B1268" s="14"/>
      <c r="C1268" s="14"/>
      <c r="D1268" s="14"/>
      <c r="E1268" s="14"/>
      <c r="F1268" s="14"/>
      <c r="G1268" s="10" t="s">
        <v>388</v>
      </c>
      <c r="H1268" s="8" t="s">
        <v>394</v>
      </c>
    </row>
    <row r="1269" spans="1:9" x14ac:dyDescent="0.35">
      <c r="A1269" s="19"/>
      <c r="B1269" s="19"/>
      <c r="C1269" s="18"/>
      <c r="D1269" s="18"/>
      <c r="E1269" s="18"/>
      <c r="F1269" s="21"/>
      <c r="G1269" s="10" t="s">
        <v>891</v>
      </c>
      <c r="H1269" s="8" t="s">
        <v>394</v>
      </c>
    </row>
    <row r="1270" spans="1:9" x14ac:dyDescent="0.35">
      <c r="A1270" s="19" t="str">
        <f>HYPERLINK("https://jira.itg.ti.com/browse/JACINTOREQ-716","JACINTOREQ-716")</f>
        <v>JACINTOREQ-716</v>
      </c>
      <c r="B1270" s="19" t="str">
        <f>HYPERLINK("https://jira.itg.ti.com/browse/PDK-5757","PDK-5757")</f>
        <v>PDK-5757</v>
      </c>
      <c r="C1270" s="18" t="s">
        <v>1108</v>
      </c>
      <c r="D1270" s="18" t="s">
        <v>210</v>
      </c>
      <c r="E1270" s="18" t="s">
        <v>1645</v>
      </c>
      <c r="F1270" s="21" t="s">
        <v>419</v>
      </c>
      <c r="G1270" s="9" t="s">
        <v>819</v>
      </c>
      <c r="H1270" s="8" t="s">
        <v>394</v>
      </c>
      <c r="I1270" s="7" t="s">
        <v>1031</v>
      </c>
    </row>
    <row r="1271" spans="1:9" x14ac:dyDescent="0.35">
      <c r="A1271" s="14"/>
      <c r="B1271" s="14"/>
      <c r="C1271" s="14"/>
      <c r="D1271" s="14"/>
      <c r="E1271" s="14"/>
      <c r="F1271" s="14"/>
      <c r="G1271" s="10" t="s">
        <v>846</v>
      </c>
      <c r="H1271" s="11" t="s">
        <v>711</v>
      </c>
    </row>
    <row r="1272" spans="1:9" x14ac:dyDescent="0.35">
      <c r="A1272" s="14"/>
      <c r="B1272" s="14"/>
      <c r="C1272" s="14"/>
      <c r="D1272" s="14"/>
      <c r="E1272" s="14"/>
      <c r="F1272" s="14"/>
      <c r="G1272" s="10" t="s">
        <v>388</v>
      </c>
      <c r="H1272" s="8" t="s">
        <v>394</v>
      </c>
    </row>
    <row r="1273" spans="1:9" x14ac:dyDescent="0.35">
      <c r="A1273" s="19"/>
      <c r="B1273" s="19"/>
      <c r="C1273" s="18"/>
      <c r="D1273" s="18"/>
      <c r="E1273" s="18"/>
      <c r="F1273" s="21"/>
      <c r="G1273" s="10" t="s">
        <v>891</v>
      </c>
      <c r="H1273" s="8" t="s">
        <v>394</v>
      </c>
    </row>
    <row r="1274" spans="1:9" x14ac:dyDescent="0.35">
      <c r="A1274" s="19" t="str">
        <f>HYPERLINK("https://jira.itg.ti.com/browse/JACINTOREQ-716","JACINTOREQ-716")</f>
        <v>JACINTOREQ-716</v>
      </c>
      <c r="B1274" s="19" t="str">
        <f>HYPERLINK("https://jira.itg.ti.com/browse/PDK-5758","PDK-5758")</f>
        <v>PDK-5758</v>
      </c>
      <c r="C1274" s="18" t="s">
        <v>1677</v>
      </c>
      <c r="D1274" s="18" t="s">
        <v>210</v>
      </c>
      <c r="E1274" s="18" t="s">
        <v>1645</v>
      </c>
      <c r="F1274" s="21" t="s">
        <v>419</v>
      </c>
      <c r="G1274" s="9" t="s">
        <v>819</v>
      </c>
      <c r="H1274" s="8" t="s">
        <v>394</v>
      </c>
      <c r="I1274" s="7" t="s">
        <v>1031</v>
      </c>
    </row>
    <row r="1275" spans="1:9" x14ac:dyDescent="0.35">
      <c r="A1275" s="14"/>
      <c r="B1275" s="14"/>
      <c r="C1275" s="14"/>
      <c r="D1275" s="14"/>
      <c r="E1275" s="14"/>
      <c r="F1275" s="14"/>
      <c r="G1275" s="10" t="s">
        <v>846</v>
      </c>
      <c r="H1275" s="11" t="s">
        <v>711</v>
      </c>
    </row>
    <row r="1276" spans="1:9" x14ac:dyDescent="0.35">
      <c r="A1276" s="14"/>
      <c r="B1276" s="14"/>
      <c r="C1276" s="14"/>
      <c r="D1276" s="14"/>
      <c r="E1276" s="14"/>
      <c r="F1276" s="14"/>
      <c r="G1276" s="10" t="s">
        <v>388</v>
      </c>
      <c r="H1276" s="8" t="s">
        <v>394</v>
      </c>
    </row>
    <row r="1277" spans="1:9" x14ac:dyDescent="0.35">
      <c r="A1277" s="19"/>
      <c r="B1277" s="19"/>
      <c r="C1277" s="18"/>
      <c r="D1277" s="18"/>
      <c r="E1277" s="18"/>
      <c r="F1277" s="21"/>
      <c r="G1277" s="10" t="s">
        <v>891</v>
      </c>
      <c r="H1277" s="8" t="s">
        <v>394</v>
      </c>
    </row>
    <row r="1278" spans="1:9" ht="25.5" x14ac:dyDescent="0.35">
      <c r="A1278" s="19" t="str">
        <f>HYPERLINK("https://jira.itg.ti.com/browse/JACINTOREQ-723","JACINTOREQ-723")</f>
        <v>JACINTOREQ-723</v>
      </c>
      <c r="B1278" s="19" t="str">
        <f>HYPERLINK("https://jira.itg.ti.com/browse/PDK-6486","PDK-6486")</f>
        <v>PDK-6486</v>
      </c>
      <c r="C1278" s="18" t="s">
        <v>1286</v>
      </c>
      <c r="D1278" s="18" t="s">
        <v>210</v>
      </c>
      <c r="E1278" s="18" t="s">
        <v>1645</v>
      </c>
      <c r="F1278" s="20" t="s">
        <v>1229</v>
      </c>
      <c r="G1278" s="9" t="s">
        <v>142</v>
      </c>
      <c r="H1278" s="8" t="s">
        <v>394</v>
      </c>
      <c r="I1278" s="7" t="s">
        <v>1031</v>
      </c>
    </row>
    <row r="1279" spans="1:9" x14ac:dyDescent="0.35">
      <c r="A1279" s="19" t="str">
        <f>HYPERLINK("https://jira.itg.ti.com/browse/JACINTOREQ-730","JACINTOREQ-730")</f>
        <v>JACINTOREQ-730</v>
      </c>
      <c r="B1279" s="19" t="str">
        <f>HYPERLINK("https://jira.itg.ti.com/browse/PDK-5910","PDK-5910")</f>
        <v>PDK-5910</v>
      </c>
      <c r="C1279" s="18" t="s">
        <v>14</v>
      </c>
      <c r="D1279" s="18" t="s">
        <v>104</v>
      </c>
      <c r="E1279" s="18" t="s">
        <v>1645</v>
      </c>
      <c r="F1279" s="20" t="s">
        <v>1229</v>
      </c>
      <c r="G1279" s="9" t="s">
        <v>81</v>
      </c>
      <c r="H1279" s="8" t="s">
        <v>394</v>
      </c>
      <c r="I1279" s="7" t="s">
        <v>1031</v>
      </c>
    </row>
    <row r="1280" spans="1:9" x14ac:dyDescent="0.35">
      <c r="A1280" s="19" t="str">
        <f>HYPERLINK("https://jira.itg.ti.com/browse/JACINTOREQ-730","JACINTOREQ-730")</f>
        <v>JACINTOREQ-730</v>
      </c>
      <c r="B1280" s="19" t="str">
        <f>HYPERLINK("https://jira.itg.ti.com/browse/PDK-5911","PDK-5911")</f>
        <v>PDK-5911</v>
      </c>
      <c r="C1280" s="18" t="s">
        <v>1252</v>
      </c>
      <c r="D1280" s="18" t="s">
        <v>104</v>
      </c>
      <c r="E1280" s="18" t="s">
        <v>1645</v>
      </c>
      <c r="F1280" s="20" t="s">
        <v>1229</v>
      </c>
      <c r="G1280" s="9" t="s">
        <v>704</v>
      </c>
      <c r="H1280" s="8" t="s">
        <v>394</v>
      </c>
      <c r="I1280" s="7" t="s">
        <v>1031</v>
      </c>
    </row>
    <row r="1281" spans="1:9" x14ac:dyDescent="0.35">
      <c r="A1281" s="19" t="str">
        <f>HYPERLINK("https://jira.itg.ti.com/browse/JACINTOREQ-730","JACINTOREQ-730")</f>
        <v>JACINTOREQ-730</v>
      </c>
      <c r="B1281" s="19" t="str">
        <f>HYPERLINK("https://jira.itg.ti.com/browse/PDK-6133","PDK-6133")</f>
        <v>PDK-6133</v>
      </c>
      <c r="C1281" s="18" t="s">
        <v>1367</v>
      </c>
      <c r="D1281" s="18" t="s">
        <v>104</v>
      </c>
      <c r="E1281" s="18" t="s">
        <v>1645</v>
      </c>
      <c r="F1281" s="20" t="s">
        <v>1229</v>
      </c>
      <c r="G1281" s="9" t="s">
        <v>1096</v>
      </c>
      <c r="H1281" s="8" t="s">
        <v>394</v>
      </c>
      <c r="I1281" s="7" t="s">
        <v>1031</v>
      </c>
    </row>
    <row r="1282" spans="1:9" ht="25.5" x14ac:dyDescent="0.35">
      <c r="A1282" s="19" t="str">
        <f>HYPERLINK("https://jira.itg.ti.com/browse/JACINTOREQ-739","JACINTOREQ-739")</f>
        <v>JACINTOREQ-739</v>
      </c>
      <c r="B1282" s="19" t="str">
        <f>HYPERLINK("https://jira.itg.ti.com/browse/PDK-5593","PDK-5593")</f>
        <v>PDK-5593</v>
      </c>
      <c r="C1282" s="18" t="s">
        <v>923</v>
      </c>
      <c r="D1282" s="18" t="s">
        <v>104</v>
      </c>
      <c r="E1282" s="18" t="s">
        <v>1645</v>
      </c>
      <c r="F1282" s="20" t="s">
        <v>1229</v>
      </c>
      <c r="G1282" s="9" t="s">
        <v>93</v>
      </c>
      <c r="H1282" s="8" t="s">
        <v>394</v>
      </c>
      <c r="I1282" s="7" t="s">
        <v>1031</v>
      </c>
    </row>
    <row r="1283" spans="1:9" ht="25.5" x14ac:dyDescent="0.35">
      <c r="A1283" s="19" t="str">
        <f>HYPERLINK("https://jira.itg.ti.com/browse/JACINTOREQ-790","JACINTOREQ-790")</f>
        <v>JACINTOREQ-790</v>
      </c>
      <c r="B1283" s="19" t="str">
        <f>HYPERLINK("https://jira.itg.ti.com/browse/PDK-5666","PDK-5666")</f>
        <v>PDK-5666</v>
      </c>
      <c r="C1283" s="18" t="s">
        <v>862</v>
      </c>
      <c r="D1283" s="18" t="s">
        <v>1051</v>
      </c>
      <c r="E1283" s="18" t="s">
        <v>1645</v>
      </c>
      <c r="F1283" s="20" t="s">
        <v>1229</v>
      </c>
      <c r="G1283" s="9" t="s">
        <v>142</v>
      </c>
      <c r="H1283" s="8" t="s">
        <v>394</v>
      </c>
      <c r="I1283" s="7" t="s">
        <v>1031</v>
      </c>
    </row>
    <row r="1284" spans="1:9" x14ac:dyDescent="0.35">
      <c r="A1284" s="19" t="str">
        <f>HYPERLINK("https://jira.itg.ti.com/browse/JACINTOREQ-833","JACINTOREQ-833")</f>
        <v>JACINTOREQ-833</v>
      </c>
      <c r="B1284" s="19" t="str">
        <f>HYPERLINK("https://jira.itg.ti.com/browse/PDK-6463","PDK-6463")</f>
        <v>PDK-6463</v>
      </c>
      <c r="C1284" s="18" t="s">
        <v>147</v>
      </c>
      <c r="D1284" s="18" t="s">
        <v>849</v>
      </c>
      <c r="E1284" s="18" t="s">
        <v>1645</v>
      </c>
      <c r="F1284" s="20" t="s">
        <v>1229</v>
      </c>
      <c r="G1284" s="9" t="s">
        <v>1161</v>
      </c>
      <c r="H1284" s="8" t="s">
        <v>394</v>
      </c>
      <c r="I1284" s="7" t="s">
        <v>1031</v>
      </c>
    </row>
    <row r="1285" spans="1:9" x14ac:dyDescent="0.35">
      <c r="A1285" s="14"/>
      <c r="B1285" s="14"/>
      <c r="C1285" s="14"/>
      <c r="D1285" s="14"/>
      <c r="E1285" s="14"/>
      <c r="F1285" s="14"/>
      <c r="G1285" s="10" t="s">
        <v>200</v>
      </c>
      <c r="H1285" s="8" t="s">
        <v>394</v>
      </c>
    </row>
    <row r="1286" spans="1:9" x14ac:dyDescent="0.35">
      <c r="A1286" s="14"/>
      <c r="B1286" s="14"/>
      <c r="C1286" s="14"/>
      <c r="D1286" s="14"/>
      <c r="E1286" s="14"/>
      <c r="F1286" s="14"/>
      <c r="G1286" s="10" t="s">
        <v>988</v>
      </c>
      <c r="H1286" s="8" t="s">
        <v>394</v>
      </c>
    </row>
    <row r="1287" spans="1:9" x14ac:dyDescent="0.35">
      <c r="A1287" s="14"/>
      <c r="B1287" s="14"/>
      <c r="C1287" s="14"/>
      <c r="D1287" s="14"/>
      <c r="E1287" s="14"/>
      <c r="F1287" s="14"/>
      <c r="G1287" s="10" t="s">
        <v>647</v>
      </c>
      <c r="H1287" s="8" t="s">
        <v>394</v>
      </c>
    </row>
    <row r="1288" spans="1:9" x14ac:dyDescent="0.35">
      <c r="A1288" s="19"/>
      <c r="B1288" s="19"/>
      <c r="C1288" s="18"/>
      <c r="D1288" s="18"/>
      <c r="E1288" s="18"/>
      <c r="F1288" s="20"/>
      <c r="G1288" s="10" t="s">
        <v>1135</v>
      </c>
      <c r="H1288" s="8" t="s">
        <v>394</v>
      </c>
    </row>
    <row r="1289" spans="1:9" x14ac:dyDescent="0.35">
      <c r="A1289" s="19" t="str">
        <f>HYPERLINK("https://jira.itg.ti.com/browse/JACINTOREQ-937","JACINTOREQ-937")</f>
        <v>JACINTOREQ-937</v>
      </c>
      <c r="B1289" s="19" t="str">
        <f>HYPERLINK("https://jira.itg.ti.com/browse/PDK-8076","PDK-8076")</f>
        <v>PDK-8076</v>
      </c>
      <c r="C1289" s="18" t="s">
        <v>698</v>
      </c>
      <c r="D1289" s="18" t="s">
        <v>1051</v>
      </c>
      <c r="E1289" s="18" t="s">
        <v>1645</v>
      </c>
      <c r="F1289" s="20" t="s">
        <v>1229</v>
      </c>
      <c r="G1289" s="9" t="s">
        <v>495</v>
      </c>
      <c r="H1289" s="8" t="s">
        <v>394</v>
      </c>
      <c r="I1289" s="7" t="s">
        <v>1031</v>
      </c>
    </row>
    <row r="1290" spans="1:9" x14ac:dyDescent="0.35">
      <c r="A1290" s="19" t="str">
        <f>HYPERLINK("https://jira.itg.ti.com/browse/JACINTOREQ-96","JACINTOREQ-96")</f>
        <v>JACINTOREQ-96</v>
      </c>
      <c r="B1290" s="19" t="str">
        <f>HYPERLINK("https://jira.itg.ti.com/browse/PDK-2494","PDK-2494")</f>
        <v>PDK-2494</v>
      </c>
      <c r="C1290" s="18" t="s">
        <v>207</v>
      </c>
      <c r="D1290" s="18" t="s">
        <v>120</v>
      </c>
      <c r="E1290" s="18" t="s">
        <v>1645</v>
      </c>
      <c r="F1290" s="20" t="s">
        <v>1229</v>
      </c>
      <c r="G1290" s="9" t="s">
        <v>200</v>
      </c>
      <c r="H1290" s="8" t="s">
        <v>394</v>
      </c>
      <c r="I1290" s="7" t="s">
        <v>1031</v>
      </c>
    </row>
    <row r="1291" spans="1:9" x14ac:dyDescent="0.35">
      <c r="A1291" s="19"/>
      <c r="B1291" s="19"/>
      <c r="C1291" s="18"/>
      <c r="D1291" s="18"/>
      <c r="E1291" s="18"/>
      <c r="F1291" s="20"/>
      <c r="G1291" s="10" t="s">
        <v>981</v>
      </c>
      <c r="H1291" s="8" t="s">
        <v>394</v>
      </c>
    </row>
    <row r="1292" spans="1:9" ht="25.5" x14ac:dyDescent="0.35">
      <c r="A1292" s="19" t="str">
        <f>HYPERLINK("https://jira.itg.ti.com/browse/JACINTOREQ-96","JACINTOREQ-96")</f>
        <v>JACINTOREQ-96</v>
      </c>
      <c r="B1292" s="19" t="str">
        <f>HYPERLINK("https://jira.itg.ti.com/browse/PDK-3397","PDK-3397")</f>
        <v>PDK-3397</v>
      </c>
      <c r="C1292" s="18" t="s">
        <v>1274</v>
      </c>
      <c r="D1292" s="18" t="s">
        <v>1301</v>
      </c>
      <c r="E1292" s="18" t="s">
        <v>1645</v>
      </c>
      <c r="F1292" s="20" t="s">
        <v>1229</v>
      </c>
      <c r="G1292" s="9" t="s">
        <v>428</v>
      </c>
      <c r="H1292" s="8" t="s">
        <v>394</v>
      </c>
      <c r="I1292" s="7" t="s">
        <v>1031</v>
      </c>
    </row>
    <row r="1293" spans="1:9" x14ac:dyDescent="0.35">
      <c r="A1293" s="19" t="str">
        <f>HYPERLINK("https://jira.itg.ti.com/browse/JACINTOREQ-96","JACINTOREQ-96")</f>
        <v>JACINTOREQ-96</v>
      </c>
      <c r="B1293" s="19" t="str">
        <f>HYPERLINK("https://jira.itg.ti.com/browse/PDK-3418","PDK-3418")</f>
        <v>PDK-3418</v>
      </c>
      <c r="C1293" s="18" t="s">
        <v>1475</v>
      </c>
      <c r="D1293" s="18" t="s">
        <v>1301</v>
      </c>
      <c r="E1293" s="18" t="s">
        <v>1645</v>
      </c>
      <c r="F1293" s="20" t="s">
        <v>1229</v>
      </c>
      <c r="G1293" s="9" t="s">
        <v>805</v>
      </c>
      <c r="H1293" s="8" t="s">
        <v>394</v>
      </c>
      <c r="I1293" s="7" t="s">
        <v>1031</v>
      </c>
    </row>
    <row r="1294" spans="1:9" x14ac:dyDescent="0.35">
      <c r="A1294" s="19" t="str">
        <f>HYPERLINK("https://jira.itg.ti.com/browse/JACINTOREQ-96","JACINTOREQ-96")</f>
        <v>JACINTOREQ-96</v>
      </c>
      <c r="B1294" s="19" t="str">
        <f>HYPERLINK("https://jira.itg.ti.com/browse/PDK-3419","PDK-3419")</f>
        <v>PDK-3419</v>
      </c>
      <c r="C1294" s="18" t="s">
        <v>1270</v>
      </c>
      <c r="D1294" s="18" t="s">
        <v>1184</v>
      </c>
      <c r="E1294" s="18" t="s">
        <v>1645</v>
      </c>
      <c r="F1294" s="20" t="s">
        <v>1229</v>
      </c>
      <c r="G1294" s="9" t="s">
        <v>786</v>
      </c>
      <c r="H1294" s="8" t="s">
        <v>394</v>
      </c>
      <c r="I1294" s="7" t="s">
        <v>1031</v>
      </c>
    </row>
    <row r="1295" spans="1:9" x14ac:dyDescent="0.35">
      <c r="A1295" s="19" t="str">
        <f>HYPERLINK("https://jira.itg.ti.com/browse/JACINTOREQ-96","JACINTOREQ-96")</f>
        <v>JACINTOREQ-96</v>
      </c>
      <c r="B1295" s="19" t="str">
        <f>HYPERLINK("https://jira.itg.ti.com/browse/PDK-3583","PDK-3583")</f>
        <v>PDK-3583</v>
      </c>
      <c r="C1295" s="18" t="s">
        <v>457</v>
      </c>
      <c r="D1295" s="18" t="s">
        <v>1301</v>
      </c>
      <c r="E1295" s="18" t="s">
        <v>1645</v>
      </c>
      <c r="F1295" s="20" t="s">
        <v>1229</v>
      </c>
      <c r="G1295" s="9" t="s">
        <v>1163</v>
      </c>
      <c r="H1295" s="8" t="s">
        <v>394</v>
      </c>
      <c r="I1295" s="7" t="s">
        <v>1031</v>
      </c>
    </row>
    <row r="1296" spans="1:9" x14ac:dyDescent="0.35">
      <c r="A1296" s="19" t="str">
        <f>HYPERLINK("https://jira.itg.ti.com/browse/JACINTOREQ-96","JACINTOREQ-96")</f>
        <v>JACINTOREQ-96</v>
      </c>
      <c r="B1296" s="19" t="str">
        <f>HYPERLINK("https://jira.itg.ti.com/browse/PDK-3584","PDK-3584")</f>
        <v>PDK-3584</v>
      </c>
      <c r="C1296" s="18" t="s">
        <v>1528</v>
      </c>
      <c r="D1296" s="18" t="s">
        <v>692</v>
      </c>
      <c r="E1296" s="18" t="s">
        <v>1645</v>
      </c>
      <c r="F1296" s="20" t="s">
        <v>1229</v>
      </c>
      <c r="G1296" s="9" t="s">
        <v>946</v>
      </c>
      <c r="H1296" s="8" t="s">
        <v>394</v>
      </c>
      <c r="I1296" s="7" t="s">
        <v>1031</v>
      </c>
    </row>
    <row r="1297" spans="1:9" x14ac:dyDescent="0.35">
      <c r="A1297" s="14"/>
      <c r="B1297" s="14"/>
      <c r="C1297" s="14"/>
      <c r="D1297" s="14"/>
      <c r="E1297" s="14"/>
      <c r="F1297" s="14"/>
      <c r="G1297" s="10" t="s">
        <v>788</v>
      </c>
      <c r="H1297" s="8" t="s">
        <v>394</v>
      </c>
    </row>
    <row r="1298" spans="1:9" x14ac:dyDescent="0.35">
      <c r="A1298" s="19"/>
      <c r="B1298" s="19"/>
      <c r="C1298" s="18"/>
      <c r="D1298" s="18"/>
      <c r="E1298" s="18"/>
      <c r="F1298" s="20"/>
      <c r="G1298" s="10" t="s">
        <v>1413</v>
      </c>
      <c r="H1298" s="8" t="s">
        <v>394</v>
      </c>
    </row>
    <row r="1299" spans="1:9" x14ac:dyDescent="0.35">
      <c r="A1299" s="19" t="str">
        <f>HYPERLINK("https://jira.itg.ti.com/browse/JACINTOREQ-96","JACINTOREQ-96")</f>
        <v>JACINTOREQ-96</v>
      </c>
      <c r="B1299" s="19" t="str">
        <f>HYPERLINK("https://jira.itg.ti.com/browse/PDK-3668","PDK-3668")</f>
        <v>PDK-3668</v>
      </c>
      <c r="C1299" s="18" t="s">
        <v>1496</v>
      </c>
      <c r="D1299" s="18" t="s">
        <v>1184</v>
      </c>
      <c r="E1299" s="18" t="s">
        <v>1645</v>
      </c>
      <c r="F1299" s="20" t="s">
        <v>1229</v>
      </c>
      <c r="G1299" s="9" t="s">
        <v>1378</v>
      </c>
      <c r="H1299" s="8" t="s">
        <v>394</v>
      </c>
      <c r="I1299" s="7" t="s">
        <v>1031</v>
      </c>
    </row>
    <row r="1300" spans="1:9" x14ac:dyDescent="0.35">
      <c r="A1300" s="19" t="str">
        <f>HYPERLINK("https://jira.itg.ti.com/browse/JACINTOREQ-96","JACINTOREQ-96")</f>
        <v>JACINTOREQ-96</v>
      </c>
      <c r="B1300" s="19" t="str">
        <f>HYPERLINK("https://jira.itg.ti.com/browse/PDK-3669","PDK-3669")</f>
        <v>PDK-3669</v>
      </c>
      <c r="C1300" s="18" t="s">
        <v>1394</v>
      </c>
      <c r="D1300" s="18" t="s">
        <v>692</v>
      </c>
      <c r="E1300" s="18" t="s">
        <v>1645</v>
      </c>
      <c r="F1300" s="20" t="s">
        <v>1229</v>
      </c>
      <c r="G1300" s="9" t="s">
        <v>262</v>
      </c>
      <c r="H1300" s="8" t="s">
        <v>394</v>
      </c>
      <c r="I1300" s="7" t="s">
        <v>1031</v>
      </c>
    </row>
    <row r="1301" spans="1:9" ht="25.5" x14ac:dyDescent="0.35">
      <c r="A1301" s="19" t="str">
        <f>HYPERLINK("https://jira.itg.ti.com/browse/JACINTOREQ-96","JACINTOREQ-96")</f>
        <v>JACINTOREQ-96</v>
      </c>
      <c r="B1301" s="19" t="str">
        <f>HYPERLINK("https://jira.itg.ti.com/browse/PDK-3671","PDK-3671")</f>
        <v>PDK-3671</v>
      </c>
      <c r="C1301" s="18" t="s">
        <v>829</v>
      </c>
      <c r="D1301" s="18" t="s">
        <v>1268</v>
      </c>
      <c r="E1301" s="18" t="s">
        <v>1645</v>
      </c>
      <c r="F1301" s="20" t="s">
        <v>1229</v>
      </c>
      <c r="G1301" s="9" t="s">
        <v>1250</v>
      </c>
      <c r="H1301" s="8" t="s">
        <v>394</v>
      </c>
      <c r="I1301" s="7" t="s">
        <v>1031</v>
      </c>
    </row>
    <row r="1302" spans="1:9" ht="25.5" x14ac:dyDescent="0.35">
      <c r="A1302" s="14"/>
      <c r="B1302" s="14"/>
      <c r="C1302" s="14"/>
      <c r="D1302" s="14"/>
      <c r="E1302" s="14"/>
      <c r="F1302" s="14"/>
      <c r="G1302" s="10" t="s">
        <v>471</v>
      </c>
      <c r="H1302" s="8" t="s">
        <v>394</v>
      </c>
    </row>
    <row r="1303" spans="1:9" ht="25.5" x14ac:dyDescent="0.35">
      <c r="A1303" s="14"/>
      <c r="B1303" s="14"/>
      <c r="C1303" s="14"/>
      <c r="D1303" s="14"/>
      <c r="E1303" s="14"/>
      <c r="F1303" s="14"/>
      <c r="G1303" s="10" t="s">
        <v>136</v>
      </c>
      <c r="H1303" s="8" t="s">
        <v>394</v>
      </c>
    </row>
    <row r="1304" spans="1:9" ht="25.5" x14ac:dyDescent="0.35">
      <c r="A1304" s="14"/>
      <c r="B1304" s="14"/>
      <c r="C1304" s="14"/>
      <c r="D1304" s="14"/>
      <c r="E1304" s="14"/>
      <c r="F1304" s="14"/>
      <c r="G1304" s="10" t="s">
        <v>1097</v>
      </c>
      <c r="H1304" s="8" t="s">
        <v>394</v>
      </c>
    </row>
    <row r="1305" spans="1:9" ht="25.5" x14ac:dyDescent="0.35">
      <c r="A1305" s="14"/>
      <c r="B1305" s="14"/>
      <c r="C1305" s="14"/>
      <c r="D1305" s="14"/>
      <c r="E1305" s="14"/>
      <c r="F1305" s="14"/>
      <c r="G1305" s="10" t="s">
        <v>411</v>
      </c>
      <c r="H1305" s="8" t="s">
        <v>394</v>
      </c>
    </row>
    <row r="1306" spans="1:9" ht="25.5" x14ac:dyDescent="0.35">
      <c r="A1306" s="14"/>
      <c r="B1306" s="14"/>
      <c r="C1306" s="14"/>
      <c r="D1306" s="14"/>
      <c r="E1306" s="14"/>
      <c r="F1306" s="14"/>
      <c r="G1306" s="10" t="s">
        <v>694</v>
      </c>
      <c r="H1306" s="8" t="s">
        <v>394</v>
      </c>
    </row>
    <row r="1307" spans="1:9" ht="25.5" x14ac:dyDescent="0.35">
      <c r="A1307" s="14"/>
      <c r="B1307" s="14"/>
      <c r="C1307" s="14"/>
      <c r="D1307" s="14"/>
      <c r="E1307" s="14"/>
      <c r="F1307" s="14"/>
      <c r="G1307" s="10" t="s">
        <v>226</v>
      </c>
      <c r="H1307" s="8" t="s">
        <v>394</v>
      </c>
    </row>
    <row r="1308" spans="1:9" ht="25.5" x14ac:dyDescent="0.35">
      <c r="A1308" s="14"/>
      <c r="B1308" s="14"/>
      <c r="C1308" s="14"/>
      <c r="D1308" s="14"/>
      <c r="E1308" s="14"/>
      <c r="F1308" s="14"/>
      <c r="G1308" s="10" t="s">
        <v>1164</v>
      </c>
      <c r="H1308" s="8" t="s">
        <v>394</v>
      </c>
    </row>
    <row r="1309" spans="1:9" ht="25.5" x14ac:dyDescent="0.35">
      <c r="A1309" s="14"/>
      <c r="B1309" s="14"/>
      <c r="C1309" s="14"/>
      <c r="D1309" s="14"/>
      <c r="E1309" s="14"/>
      <c r="F1309" s="14"/>
      <c r="G1309" s="10" t="s">
        <v>404</v>
      </c>
      <c r="H1309" s="8" t="s">
        <v>394</v>
      </c>
    </row>
    <row r="1310" spans="1:9" ht="25.5" x14ac:dyDescent="0.35">
      <c r="A1310" s="14"/>
      <c r="B1310" s="14"/>
      <c r="C1310" s="14"/>
      <c r="D1310" s="14"/>
      <c r="E1310" s="14"/>
      <c r="F1310" s="14"/>
      <c r="G1310" s="10" t="s">
        <v>286</v>
      </c>
      <c r="H1310" s="8" t="s">
        <v>394</v>
      </c>
    </row>
    <row r="1311" spans="1:9" ht="25.5" x14ac:dyDescent="0.35">
      <c r="A1311" s="14"/>
      <c r="B1311" s="14"/>
      <c r="C1311" s="14"/>
      <c r="D1311" s="14"/>
      <c r="E1311" s="14"/>
      <c r="F1311" s="14"/>
      <c r="G1311" s="10" t="s">
        <v>1563</v>
      </c>
      <c r="H1311" s="8" t="s">
        <v>394</v>
      </c>
    </row>
    <row r="1312" spans="1:9" ht="25.5" x14ac:dyDescent="0.35">
      <c r="A1312" s="19"/>
      <c r="B1312" s="19"/>
      <c r="C1312" s="18"/>
      <c r="D1312" s="18"/>
      <c r="E1312" s="18"/>
      <c r="F1312" s="20"/>
      <c r="G1312" s="10" t="s">
        <v>1561</v>
      </c>
      <c r="H1312" s="8" t="s">
        <v>394</v>
      </c>
    </row>
    <row r="1313" spans="1:9" ht="25.5" x14ac:dyDescent="0.35">
      <c r="A1313" s="19" t="str">
        <f t="shared" ref="A1313:A1318" si="23">HYPERLINK("https://jira.itg.ti.com/browse/JACINTOREQ-96","JACINTOREQ-96")</f>
        <v>JACINTOREQ-96</v>
      </c>
      <c r="B1313" s="19" t="str">
        <f>HYPERLINK("https://jira.itg.ti.com/browse/PDK-3706","PDK-3706")</f>
        <v>PDK-3706</v>
      </c>
      <c r="C1313" s="18" t="s">
        <v>955</v>
      </c>
      <c r="D1313" s="18" t="s">
        <v>1301</v>
      </c>
      <c r="E1313" s="18" t="s">
        <v>1645</v>
      </c>
      <c r="F1313" s="20" t="s">
        <v>1229</v>
      </c>
      <c r="G1313" s="9" t="s">
        <v>193</v>
      </c>
      <c r="H1313" s="8" t="s">
        <v>394</v>
      </c>
      <c r="I1313" s="7" t="s">
        <v>1031</v>
      </c>
    </row>
    <row r="1314" spans="1:9" x14ac:dyDescent="0.35">
      <c r="A1314" s="19" t="str">
        <f t="shared" si="23"/>
        <v>JACINTOREQ-96</v>
      </c>
      <c r="B1314" s="19" t="str">
        <f>HYPERLINK("https://jira.itg.ti.com/browse/PDK-3718","PDK-3718")</f>
        <v>PDK-3718</v>
      </c>
      <c r="C1314" s="18" t="s">
        <v>507</v>
      </c>
      <c r="D1314" s="18" t="s">
        <v>1301</v>
      </c>
      <c r="E1314" s="18" t="s">
        <v>1645</v>
      </c>
      <c r="F1314" s="20" t="s">
        <v>1229</v>
      </c>
      <c r="G1314" s="9" t="s">
        <v>805</v>
      </c>
      <c r="H1314" s="8" t="s">
        <v>394</v>
      </c>
      <c r="I1314" s="7" t="s">
        <v>1031</v>
      </c>
    </row>
    <row r="1315" spans="1:9" ht="25.5" x14ac:dyDescent="0.35">
      <c r="A1315" s="19" t="str">
        <f t="shared" si="23"/>
        <v>JACINTOREQ-96</v>
      </c>
      <c r="B1315" s="19" t="str">
        <f>HYPERLINK("https://jira.itg.ti.com/browse/PDK-4156","PDK-4156")</f>
        <v>PDK-4156</v>
      </c>
      <c r="C1315" s="18" t="s">
        <v>670</v>
      </c>
      <c r="D1315" s="18" t="s">
        <v>1268</v>
      </c>
      <c r="E1315" s="18" t="s">
        <v>1645</v>
      </c>
      <c r="F1315" s="20" t="s">
        <v>1229</v>
      </c>
      <c r="G1315" s="9" t="s">
        <v>429</v>
      </c>
      <c r="H1315" s="8" t="s">
        <v>394</v>
      </c>
      <c r="I1315" s="7" t="s">
        <v>1031</v>
      </c>
    </row>
    <row r="1316" spans="1:9" x14ac:dyDescent="0.35">
      <c r="A1316" s="19" t="str">
        <f t="shared" si="23"/>
        <v>JACINTOREQ-96</v>
      </c>
      <c r="B1316" s="19" t="str">
        <f>HYPERLINK("https://jira.itg.ti.com/browse/PDK-7557","PDK-7557")</f>
        <v>PDK-7557</v>
      </c>
      <c r="C1316" s="18" t="s">
        <v>33</v>
      </c>
      <c r="D1316" s="18" t="s">
        <v>849</v>
      </c>
      <c r="E1316" s="18" t="s">
        <v>1645</v>
      </c>
      <c r="F1316" s="20" t="s">
        <v>1229</v>
      </c>
      <c r="G1316" s="9" t="s">
        <v>618</v>
      </c>
      <c r="H1316" s="8" t="s">
        <v>394</v>
      </c>
      <c r="I1316" s="7" t="s">
        <v>1031</v>
      </c>
    </row>
    <row r="1317" spans="1:9" x14ac:dyDescent="0.35">
      <c r="A1317" s="19" t="str">
        <f t="shared" si="23"/>
        <v>JACINTOREQ-96</v>
      </c>
      <c r="B1317" s="19" t="str">
        <f>HYPERLINK("https://jira.itg.ti.com/browse/PDK-2576","PDK-2576")</f>
        <v>PDK-2576</v>
      </c>
      <c r="C1317" s="18" t="s">
        <v>804</v>
      </c>
      <c r="D1317" s="18" t="s">
        <v>467</v>
      </c>
      <c r="E1317" s="18" t="s">
        <v>1645</v>
      </c>
      <c r="F1317" s="20" t="s">
        <v>1229</v>
      </c>
      <c r="G1317" s="9" t="s">
        <v>200</v>
      </c>
      <c r="H1317" s="8" t="s">
        <v>394</v>
      </c>
      <c r="I1317" s="7" t="s">
        <v>1031</v>
      </c>
    </row>
    <row r="1318" spans="1:9" x14ac:dyDescent="0.35">
      <c r="A1318" s="19" t="str">
        <f t="shared" si="23"/>
        <v>JACINTOREQ-96</v>
      </c>
      <c r="B1318" s="19" t="str">
        <f>HYPERLINK("https://jira.itg.ti.com/browse/PDK-2577","PDK-2577")</f>
        <v>PDK-2577</v>
      </c>
      <c r="C1318" s="18" t="s">
        <v>199</v>
      </c>
      <c r="D1318" s="18" t="s">
        <v>120</v>
      </c>
      <c r="E1318" s="18" t="s">
        <v>1645</v>
      </c>
      <c r="F1318" s="20" t="s">
        <v>1229</v>
      </c>
      <c r="G1318" s="9" t="s">
        <v>200</v>
      </c>
      <c r="H1318" s="8" t="s">
        <v>394</v>
      </c>
      <c r="I1318" s="7" t="s">
        <v>1031</v>
      </c>
    </row>
    <row r="1319" spans="1:9" x14ac:dyDescent="0.35">
      <c r="A1319" s="19"/>
      <c r="B1319" s="19"/>
      <c r="C1319" s="18"/>
      <c r="D1319" s="18"/>
      <c r="E1319" s="18"/>
      <c r="F1319" s="20"/>
      <c r="G1319" s="10" t="s">
        <v>17</v>
      </c>
      <c r="H1319" s="8" t="s">
        <v>394</v>
      </c>
    </row>
    <row r="1320" spans="1:9" x14ac:dyDescent="0.35">
      <c r="A1320" s="19" t="str">
        <f t="shared" ref="A1320:A1343" si="24">HYPERLINK("https://jira.itg.ti.com/browse/JACINTOREQ-96","JACINTOREQ-96")</f>
        <v>JACINTOREQ-96</v>
      </c>
      <c r="B1320" s="19" t="str">
        <f>HYPERLINK("https://jira.itg.ti.com/browse/PDK-2578","PDK-2578")</f>
        <v>PDK-2578</v>
      </c>
      <c r="C1320" s="18" t="s">
        <v>1152</v>
      </c>
      <c r="D1320" s="18" t="s">
        <v>467</v>
      </c>
      <c r="E1320" s="18" t="s">
        <v>1645</v>
      </c>
      <c r="F1320" s="20" t="s">
        <v>1229</v>
      </c>
      <c r="G1320" s="9" t="s">
        <v>200</v>
      </c>
      <c r="H1320" s="8" t="s">
        <v>394</v>
      </c>
      <c r="I1320" s="7" t="s">
        <v>1031</v>
      </c>
    </row>
    <row r="1321" spans="1:9" x14ac:dyDescent="0.35">
      <c r="A1321" s="19" t="str">
        <f t="shared" si="24"/>
        <v>JACINTOREQ-96</v>
      </c>
      <c r="B1321" s="19" t="str">
        <f>HYPERLINK("https://jira.itg.ti.com/browse/PDK-2579","PDK-2579")</f>
        <v>PDK-2579</v>
      </c>
      <c r="C1321" s="18" t="s">
        <v>248</v>
      </c>
      <c r="D1321" s="18" t="s">
        <v>467</v>
      </c>
      <c r="E1321" s="18" t="s">
        <v>1645</v>
      </c>
      <c r="F1321" s="20" t="s">
        <v>1229</v>
      </c>
      <c r="G1321" s="9" t="s">
        <v>200</v>
      </c>
      <c r="H1321" s="8" t="s">
        <v>394</v>
      </c>
      <c r="I1321" s="7" t="s">
        <v>1031</v>
      </c>
    </row>
    <row r="1322" spans="1:9" x14ac:dyDescent="0.35">
      <c r="A1322" s="19" t="str">
        <f t="shared" si="24"/>
        <v>JACINTOREQ-96</v>
      </c>
      <c r="B1322" s="19" t="str">
        <f>HYPERLINK("https://jira.itg.ti.com/browse/PDK-2580","PDK-2580")</f>
        <v>PDK-2580</v>
      </c>
      <c r="C1322" s="18" t="s">
        <v>1611</v>
      </c>
      <c r="D1322" s="18" t="s">
        <v>467</v>
      </c>
      <c r="E1322" s="18" t="s">
        <v>1645</v>
      </c>
      <c r="F1322" s="20" t="s">
        <v>1229</v>
      </c>
      <c r="G1322" s="9" t="s">
        <v>200</v>
      </c>
      <c r="H1322" s="8" t="s">
        <v>394</v>
      </c>
      <c r="I1322" s="7" t="s">
        <v>1031</v>
      </c>
    </row>
    <row r="1323" spans="1:9" x14ac:dyDescent="0.35">
      <c r="A1323" s="19" t="str">
        <f t="shared" si="24"/>
        <v>JACINTOREQ-96</v>
      </c>
      <c r="B1323" s="19" t="str">
        <f>HYPERLINK("https://jira.itg.ti.com/browse/PDK-2581","PDK-2581")</f>
        <v>PDK-2581</v>
      </c>
      <c r="C1323" s="18" t="s">
        <v>638</v>
      </c>
      <c r="D1323" s="18" t="s">
        <v>467</v>
      </c>
      <c r="E1323" s="18" t="s">
        <v>1645</v>
      </c>
      <c r="F1323" s="20" t="s">
        <v>1229</v>
      </c>
      <c r="G1323" s="9" t="s">
        <v>200</v>
      </c>
      <c r="H1323" s="8" t="s">
        <v>394</v>
      </c>
      <c r="I1323" s="7" t="s">
        <v>1031</v>
      </c>
    </row>
    <row r="1324" spans="1:9" x14ac:dyDescent="0.35">
      <c r="A1324" s="19" t="str">
        <f t="shared" si="24"/>
        <v>JACINTOREQ-96</v>
      </c>
      <c r="B1324" s="19" t="str">
        <f>HYPERLINK("https://jira.itg.ti.com/browse/PDK-2582","PDK-2582")</f>
        <v>PDK-2582</v>
      </c>
      <c r="C1324" s="18" t="s">
        <v>591</v>
      </c>
      <c r="D1324" s="18" t="s">
        <v>467</v>
      </c>
      <c r="E1324" s="18" t="s">
        <v>1645</v>
      </c>
      <c r="F1324" s="20" t="s">
        <v>1229</v>
      </c>
      <c r="G1324" s="9" t="s">
        <v>854</v>
      </c>
      <c r="H1324" s="8" t="s">
        <v>394</v>
      </c>
      <c r="I1324" s="7" t="s">
        <v>1031</v>
      </c>
    </row>
    <row r="1325" spans="1:9" x14ac:dyDescent="0.35">
      <c r="A1325" s="19" t="str">
        <f t="shared" si="24"/>
        <v>JACINTOREQ-96</v>
      </c>
      <c r="B1325" s="19" t="str">
        <f>HYPERLINK("https://jira.itg.ti.com/browse/PDK-2583","PDK-2583")</f>
        <v>PDK-2583</v>
      </c>
      <c r="C1325" s="18" t="s">
        <v>1634</v>
      </c>
      <c r="D1325" s="18" t="s">
        <v>467</v>
      </c>
      <c r="E1325" s="18" t="s">
        <v>1645</v>
      </c>
      <c r="F1325" s="20" t="s">
        <v>1229</v>
      </c>
      <c r="G1325" s="9" t="s">
        <v>368</v>
      </c>
      <c r="H1325" s="8" t="s">
        <v>394</v>
      </c>
      <c r="I1325" s="7" t="s">
        <v>1031</v>
      </c>
    </row>
    <row r="1326" spans="1:9" x14ac:dyDescent="0.35">
      <c r="A1326" s="19" t="str">
        <f t="shared" si="24"/>
        <v>JACINTOREQ-96</v>
      </c>
      <c r="B1326" s="19" t="str">
        <f>HYPERLINK("https://jira.itg.ti.com/browse/PDK-2584","PDK-2584")</f>
        <v>PDK-2584</v>
      </c>
      <c r="C1326" s="18" t="s">
        <v>1203</v>
      </c>
      <c r="D1326" s="18" t="s">
        <v>467</v>
      </c>
      <c r="E1326" s="18" t="s">
        <v>1645</v>
      </c>
      <c r="F1326" s="20" t="s">
        <v>1229</v>
      </c>
      <c r="G1326" s="9" t="s">
        <v>200</v>
      </c>
      <c r="H1326" s="8" t="s">
        <v>394</v>
      </c>
      <c r="I1326" s="7" t="s">
        <v>1031</v>
      </c>
    </row>
    <row r="1327" spans="1:9" x14ac:dyDescent="0.35">
      <c r="A1327" s="19" t="str">
        <f t="shared" si="24"/>
        <v>JACINTOREQ-96</v>
      </c>
      <c r="B1327" s="19" t="str">
        <f>HYPERLINK("https://jira.itg.ti.com/browse/PDK-2585","PDK-2585")</f>
        <v>PDK-2585</v>
      </c>
      <c r="C1327" s="18" t="s">
        <v>960</v>
      </c>
      <c r="D1327" s="18" t="s">
        <v>467</v>
      </c>
      <c r="E1327" s="18" t="s">
        <v>1645</v>
      </c>
      <c r="F1327" s="20" t="s">
        <v>1229</v>
      </c>
      <c r="G1327" s="9" t="s">
        <v>200</v>
      </c>
      <c r="H1327" s="8" t="s">
        <v>394</v>
      </c>
      <c r="I1327" s="7" t="s">
        <v>1031</v>
      </c>
    </row>
    <row r="1328" spans="1:9" x14ac:dyDescent="0.35">
      <c r="A1328" s="19" t="str">
        <f t="shared" si="24"/>
        <v>JACINTOREQ-96</v>
      </c>
      <c r="B1328" s="19" t="str">
        <f>HYPERLINK("https://jira.itg.ti.com/browse/PDK-2586","PDK-2586")</f>
        <v>PDK-2586</v>
      </c>
      <c r="C1328" s="18" t="s">
        <v>1067</v>
      </c>
      <c r="D1328" s="18" t="s">
        <v>467</v>
      </c>
      <c r="E1328" s="18" t="s">
        <v>1645</v>
      </c>
      <c r="F1328" s="20" t="s">
        <v>1229</v>
      </c>
      <c r="G1328" s="9" t="s">
        <v>200</v>
      </c>
      <c r="H1328" s="8" t="s">
        <v>394</v>
      </c>
      <c r="I1328" s="7" t="s">
        <v>1031</v>
      </c>
    </row>
    <row r="1329" spans="1:9" x14ac:dyDescent="0.35">
      <c r="A1329" s="19" t="str">
        <f t="shared" si="24"/>
        <v>JACINTOREQ-96</v>
      </c>
      <c r="B1329" s="19" t="str">
        <f>HYPERLINK("https://jira.itg.ti.com/browse/PDK-2587","PDK-2587")</f>
        <v>PDK-2587</v>
      </c>
      <c r="C1329" s="18" t="s">
        <v>855</v>
      </c>
      <c r="D1329" s="18" t="s">
        <v>467</v>
      </c>
      <c r="E1329" s="18" t="s">
        <v>1645</v>
      </c>
      <c r="F1329" s="20" t="s">
        <v>1229</v>
      </c>
      <c r="G1329" s="9" t="s">
        <v>200</v>
      </c>
      <c r="H1329" s="8" t="s">
        <v>394</v>
      </c>
      <c r="I1329" s="7" t="s">
        <v>1031</v>
      </c>
    </row>
    <row r="1330" spans="1:9" x14ac:dyDescent="0.35">
      <c r="A1330" s="19" t="str">
        <f t="shared" si="24"/>
        <v>JACINTOREQ-96</v>
      </c>
      <c r="B1330" s="19" t="str">
        <f>HYPERLINK("https://jira.itg.ti.com/browse/PDK-2588","PDK-2588")</f>
        <v>PDK-2588</v>
      </c>
      <c r="C1330" s="18" t="s">
        <v>801</v>
      </c>
      <c r="D1330" s="18" t="s">
        <v>467</v>
      </c>
      <c r="E1330" s="18" t="s">
        <v>1645</v>
      </c>
      <c r="F1330" s="20" t="s">
        <v>1229</v>
      </c>
      <c r="G1330" s="9" t="s">
        <v>200</v>
      </c>
      <c r="H1330" s="8" t="s">
        <v>394</v>
      </c>
      <c r="I1330" s="7" t="s">
        <v>1031</v>
      </c>
    </row>
    <row r="1331" spans="1:9" x14ac:dyDescent="0.35">
      <c r="A1331" s="19" t="str">
        <f t="shared" si="24"/>
        <v>JACINTOREQ-96</v>
      </c>
      <c r="B1331" s="19" t="str">
        <f>HYPERLINK("https://jira.itg.ti.com/browse/PDK-2589","PDK-2589")</f>
        <v>PDK-2589</v>
      </c>
      <c r="C1331" s="18" t="s">
        <v>852</v>
      </c>
      <c r="D1331" s="18" t="s">
        <v>467</v>
      </c>
      <c r="E1331" s="18" t="s">
        <v>1645</v>
      </c>
      <c r="F1331" s="20" t="s">
        <v>1229</v>
      </c>
      <c r="G1331" s="9" t="s">
        <v>200</v>
      </c>
      <c r="H1331" s="8" t="s">
        <v>394</v>
      </c>
      <c r="I1331" s="7" t="s">
        <v>1031</v>
      </c>
    </row>
    <row r="1332" spans="1:9" x14ac:dyDescent="0.35">
      <c r="A1332" s="19" t="str">
        <f t="shared" si="24"/>
        <v>JACINTOREQ-96</v>
      </c>
      <c r="B1332" s="19" t="str">
        <f>HYPERLINK("https://jira.itg.ti.com/browse/PDK-2593","PDK-2593")</f>
        <v>PDK-2593</v>
      </c>
      <c r="C1332" s="18" t="s">
        <v>1141</v>
      </c>
      <c r="D1332" s="18" t="s">
        <v>467</v>
      </c>
      <c r="E1332" s="18" t="s">
        <v>1645</v>
      </c>
      <c r="F1332" s="20" t="s">
        <v>1229</v>
      </c>
      <c r="G1332" s="9" t="s">
        <v>1405</v>
      </c>
      <c r="H1332" s="8" t="s">
        <v>394</v>
      </c>
      <c r="I1332" s="7" t="s">
        <v>1031</v>
      </c>
    </row>
    <row r="1333" spans="1:9" x14ac:dyDescent="0.35">
      <c r="A1333" s="19" t="str">
        <f t="shared" si="24"/>
        <v>JACINTOREQ-96</v>
      </c>
      <c r="B1333" s="19" t="str">
        <f>HYPERLINK("https://jira.itg.ti.com/browse/PDK-2596","PDK-2596")</f>
        <v>PDK-2596</v>
      </c>
      <c r="C1333" s="18" t="s">
        <v>401</v>
      </c>
      <c r="D1333" s="18" t="s">
        <v>467</v>
      </c>
      <c r="E1333" s="18" t="s">
        <v>1645</v>
      </c>
      <c r="F1333" s="20" t="s">
        <v>1229</v>
      </c>
      <c r="G1333" s="9" t="s">
        <v>200</v>
      </c>
      <c r="H1333" s="8" t="s">
        <v>394</v>
      </c>
      <c r="I1333" s="7" t="s">
        <v>1031</v>
      </c>
    </row>
    <row r="1334" spans="1:9" x14ac:dyDescent="0.35">
      <c r="A1334" s="19" t="str">
        <f t="shared" si="24"/>
        <v>JACINTOREQ-96</v>
      </c>
      <c r="B1334" s="19" t="str">
        <f>HYPERLINK("https://jira.itg.ti.com/browse/PDK-2597","PDK-2597")</f>
        <v>PDK-2597</v>
      </c>
      <c r="C1334" s="18" t="s">
        <v>387</v>
      </c>
      <c r="D1334" s="18" t="s">
        <v>467</v>
      </c>
      <c r="E1334" s="18" t="s">
        <v>1645</v>
      </c>
      <c r="F1334" s="20" t="s">
        <v>1229</v>
      </c>
      <c r="G1334" s="9" t="s">
        <v>200</v>
      </c>
      <c r="H1334" s="8" t="s">
        <v>394</v>
      </c>
      <c r="I1334" s="7" t="s">
        <v>1031</v>
      </c>
    </row>
    <row r="1335" spans="1:9" x14ac:dyDescent="0.35">
      <c r="A1335" s="19" t="str">
        <f t="shared" si="24"/>
        <v>JACINTOREQ-96</v>
      </c>
      <c r="B1335" s="19" t="str">
        <f>HYPERLINK("https://jira.itg.ti.com/browse/PDK-2598","PDK-2598")</f>
        <v>PDK-2598</v>
      </c>
      <c r="C1335" s="18" t="s">
        <v>1232</v>
      </c>
      <c r="D1335" s="18" t="s">
        <v>467</v>
      </c>
      <c r="E1335" s="18" t="s">
        <v>1645</v>
      </c>
      <c r="F1335" s="20" t="s">
        <v>1229</v>
      </c>
      <c r="G1335" s="9" t="s">
        <v>1163</v>
      </c>
      <c r="H1335" s="8" t="s">
        <v>394</v>
      </c>
      <c r="I1335" s="7" t="s">
        <v>1031</v>
      </c>
    </row>
    <row r="1336" spans="1:9" x14ac:dyDescent="0.35">
      <c r="A1336" s="19" t="str">
        <f t="shared" si="24"/>
        <v>JACINTOREQ-96</v>
      </c>
      <c r="B1336" s="19" t="str">
        <f>HYPERLINK("https://jira.itg.ti.com/browse/PDK-2599","PDK-2599")</f>
        <v>PDK-2599</v>
      </c>
      <c r="C1336" s="18" t="s">
        <v>651</v>
      </c>
      <c r="D1336" s="18" t="s">
        <v>467</v>
      </c>
      <c r="E1336" s="18" t="s">
        <v>1645</v>
      </c>
      <c r="F1336" s="20" t="s">
        <v>1229</v>
      </c>
      <c r="G1336" s="9" t="s">
        <v>368</v>
      </c>
      <c r="H1336" s="8" t="s">
        <v>394</v>
      </c>
      <c r="I1336" s="7" t="s">
        <v>1031</v>
      </c>
    </row>
    <row r="1337" spans="1:9" x14ac:dyDescent="0.35">
      <c r="A1337" s="19" t="str">
        <f t="shared" si="24"/>
        <v>JACINTOREQ-96</v>
      </c>
      <c r="B1337" s="19" t="str">
        <f>HYPERLINK("https://jira.itg.ti.com/browse/PDK-2600","PDK-2600")</f>
        <v>PDK-2600</v>
      </c>
      <c r="C1337" s="18" t="s">
        <v>858</v>
      </c>
      <c r="D1337" s="18" t="s">
        <v>467</v>
      </c>
      <c r="E1337" s="18" t="s">
        <v>1645</v>
      </c>
      <c r="F1337" s="20" t="s">
        <v>1229</v>
      </c>
      <c r="G1337" s="9" t="s">
        <v>200</v>
      </c>
      <c r="H1337" s="8" t="s">
        <v>394</v>
      </c>
      <c r="I1337" s="7" t="s">
        <v>1031</v>
      </c>
    </row>
    <row r="1338" spans="1:9" x14ac:dyDescent="0.35">
      <c r="A1338" s="19" t="str">
        <f t="shared" si="24"/>
        <v>JACINTOREQ-96</v>
      </c>
      <c r="B1338" s="19" t="str">
        <f>HYPERLINK("https://jira.itg.ti.com/browse/PDK-2601","PDK-2601")</f>
        <v>PDK-2601</v>
      </c>
      <c r="C1338" s="18" t="s">
        <v>968</v>
      </c>
      <c r="D1338" s="18" t="s">
        <v>467</v>
      </c>
      <c r="E1338" s="18" t="s">
        <v>1645</v>
      </c>
      <c r="F1338" s="20" t="s">
        <v>1229</v>
      </c>
      <c r="G1338" s="9" t="s">
        <v>200</v>
      </c>
      <c r="H1338" s="8" t="s">
        <v>394</v>
      </c>
      <c r="I1338" s="7" t="s">
        <v>1031</v>
      </c>
    </row>
    <row r="1339" spans="1:9" x14ac:dyDescent="0.35">
      <c r="A1339" s="19" t="str">
        <f t="shared" si="24"/>
        <v>JACINTOREQ-96</v>
      </c>
      <c r="B1339" s="19" t="str">
        <f>HYPERLINK("https://jira.itg.ti.com/browse/PDK-2602","PDK-2602")</f>
        <v>PDK-2602</v>
      </c>
      <c r="C1339" s="18" t="s">
        <v>782</v>
      </c>
      <c r="D1339" s="18" t="s">
        <v>467</v>
      </c>
      <c r="E1339" s="18" t="s">
        <v>1645</v>
      </c>
      <c r="F1339" s="20" t="s">
        <v>1229</v>
      </c>
      <c r="G1339" s="9" t="s">
        <v>200</v>
      </c>
      <c r="H1339" s="8" t="s">
        <v>394</v>
      </c>
      <c r="I1339" s="7" t="s">
        <v>1031</v>
      </c>
    </row>
    <row r="1340" spans="1:9" x14ac:dyDescent="0.35">
      <c r="A1340" s="19" t="str">
        <f t="shared" si="24"/>
        <v>JACINTOREQ-96</v>
      </c>
      <c r="B1340" s="19" t="str">
        <f>HYPERLINK("https://jira.itg.ti.com/browse/PDK-2603","PDK-2603")</f>
        <v>PDK-2603</v>
      </c>
      <c r="C1340" s="18" t="s">
        <v>1489</v>
      </c>
      <c r="D1340" s="18" t="s">
        <v>467</v>
      </c>
      <c r="E1340" s="18" t="s">
        <v>1645</v>
      </c>
      <c r="F1340" s="20" t="s">
        <v>1229</v>
      </c>
      <c r="G1340" s="9" t="s">
        <v>200</v>
      </c>
      <c r="H1340" s="8" t="s">
        <v>394</v>
      </c>
      <c r="I1340" s="7" t="s">
        <v>1031</v>
      </c>
    </row>
    <row r="1341" spans="1:9" x14ac:dyDescent="0.35">
      <c r="A1341" s="19" t="str">
        <f t="shared" si="24"/>
        <v>JACINTOREQ-96</v>
      </c>
      <c r="B1341" s="19" t="str">
        <f>HYPERLINK("https://jira.itg.ti.com/browse/PDK-2604","PDK-2604")</f>
        <v>PDK-2604</v>
      </c>
      <c r="C1341" s="18" t="s">
        <v>966</v>
      </c>
      <c r="D1341" s="18" t="s">
        <v>467</v>
      </c>
      <c r="E1341" s="18" t="s">
        <v>1645</v>
      </c>
      <c r="F1341" s="20" t="s">
        <v>1229</v>
      </c>
      <c r="G1341" s="9" t="s">
        <v>200</v>
      </c>
      <c r="H1341" s="8" t="s">
        <v>394</v>
      </c>
      <c r="I1341" s="7" t="s">
        <v>1031</v>
      </c>
    </row>
    <row r="1342" spans="1:9" x14ac:dyDescent="0.35">
      <c r="A1342" s="19" t="str">
        <f t="shared" si="24"/>
        <v>JACINTOREQ-96</v>
      </c>
      <c r="B1342" s="19" t="str">
        <f>HYPERLINK("https://jira.itg.ti.com/browse/PDK-2605","PDK-2605")</f>
        <v>PDK-2605</v>
      </c>
      <c r="C1342" s="18" t="s">
        <v>557</v>
      </c>
      <c r="D1342" s="18" t="s">
        <v>467</v>
      </c>
      <c r="E1342" s="18" t="s">
        <v>1645</v>
      </c>
      <c r="F1342" s="20" t="s">
        <v>1229</v>
      </c>
      <c r="G1342" s="9" t="s">
        <v>200</v>
      </c>
      <c r="H1342" s="8" t="s">
        <v>394</v>
      </c>
      <c r="I1342" s="7" t="s">
        <v>1031</v>
      </c>
    </row>
    <row r="1343" spans="1:9" ht="25.5" x14ac:dyDescent="0.35">
      <c r="A1343" s="19" t="str">
        <f t="shared" si="24"/>
        <v>JACINTOREQ-96</v>
      </c>
      <c r="B1343" s="19" t="str">
        <f>HYPERLINK("https://jira.itg.ti.com/browse/PDK-2606","PDK-2606")</f>
        <v>PDK-2606</v>
      </c>
      <c r="C1343" s="18" t="s">
        <v>1005</v>
      </c>
      <c r="D1343" s="18" t="s">
        <v>467</v>
      </c>
      <c r="E1343" s="18" t="s">
        <v>1645</v>
      </c>
      <c r="F1343" s="20" t="s">
        <v>1229</v>
      </c>
      <c r="G1343" s="9" t="s">
        <v>241</v>
      </c>
      <c r="H1343" s="8" t="s">
        <v>394</v>
      </c>
      <c r="I1343" s="7" t="s">
        <v>1031</v>
      </c>
    </row>
    <row r="1344" spans="1:9" ht="25.5" x14ac:dyDescent="0.35">
      <c r="A1344" s="14"/>
      <c r="B1344" s="14"/>
      <c r="C1344" s="14"/>
      <c r="D1344" s="14"/>
      <c r="E1344" s="14"/>
      <c r="F1344" s="14"/>
      <c r="G1344" s="10" t="s">
        <v>428</v>
      </c>
      <c r="H1344" s="8" t="s">
        <v>394</v>
      </c>
    </row>
    <row r="1345" spans="1:9" ht="25.5" x14ac:dyDescent="0.35">
      <c r="A1345" s="14"/>
      <c r="B1345" s="14"/>
      <c r="C1345" s="14"/>
      <c r="D1345" s="14"/>
      <c r="E1345" s="14"/>
      <c r="F1345" s="14"/>
      <c r="G1345" s="10" t="s">
        <v>42</v>
      </c>
      <c r="H1345" s="8" t="s">
        <v>394</v>
      </c>
    </row>
    <row r="1346" spans="1:9" ht="25.5" x14ac:dyDescent="0.35">
      <c r="A1346" s="14"/>
      <c r="B1346" s="14"/>
      <c r="C1346" s="14"/>
      <c r="D1346" s="14"/>
      <c r="E1346" s="14"/>
      <c r="F1346" s="14"/>
      <c r="G1346" s="10" t="s">
        <v>545</v>
      </c>
      <c r="H1346" s="8" t="s">
        <v>394</v>
      </c>
    </row>
    <row r="1347" spans="1:9" ht="25.5" x14ac:dyDescent="0.35">
      <c r="A1347" s="14"/>
      <c r="B1347" s="14"/>
      <c r="C1347" s="14"/>
      <c r="D1347" s="14"/>
      <c r="E1347" s="14"/>
      <c r="F1347" s="14"/>
      <c r="G1347" s="10" t="s">
        <v>872</v>
      </c>
      <c r="H1347" s="8" t="s">
        <v>394</v>
      </c>
    </row>
    <row r="1348" spans="1:9" ht="25.5" x14ac:dyDescent="0.35">
      <c r="A1348" s="14"/>
      <c r="B1348" s="14"/>
      <c r="C1348" s="14"/>
      <c r="D1348" s="14"/>
      <c r="E1348" s="14"/>
      <c r="F1348" s="14"/>
      <c r="G1348" s="10" t="s">
        <v>757</v>
      </c>
      <c r="H1348" s="8" t="s">
        <v>394</v>
      </c>
    </row>
    <row r="1349" spans="1:9" ht="25.5" x14ac:dyDescent="0.35">
      <c r="A1349" s="14"/>
      <c r="B1349" s="14"/>
      <c r="C1349" s="14"/>
      <c r="D1349" s="14"/>
      <c r="E1349" s="14"/>
      <c r="F1349" s="14"/>
      <c r="G1349" s="10" t="s">
        <v>1395</v>
      </c>
      <c r="H1349" s="8" t="s">
        <v>394</v>
      </c>
    </row>
    <row r="1350" spans="1:9" ht="25.5" x14ac:dyDescent="0.35">
      <c r="A1350" s="14"/>
      <c r="B1350" s="14"/>
      <c r="C1350" s="14"/>
      <c r="D1350" s="14"/>
      <c r="E1350" s="14"/>
      <c r="F1350" s="14"/>
      <c r="G1350" s="10" t="s">
        <v>185</v>
      </c>
      <c r="H1350" s="8" t="s">
        <v>394</v>
      </c>
    </row>
    <row r="1351" spans="1:9" ht="25.5" x14ac:dyDescent="0.35">
      <c r="A1351" s="14"/>
      <c r="B1351" s="14"/>
      <c r="C1351" s="14"/>
      <c r="D1351" s="14"/>
      <c r="E1351" s="14"/>
      <c r="F1351" s="14"/>
      <c r="G1351" s="10" t="s">
        <v>1372</v>
      </c>
      <c r="H1351" s="8" t="s">
        <v>394</v>
      </c>
    </row>
    <row r="1352" spans="1:9" ht="25.5" x14ac:dyDescent="0.35">
      <c r="A1352" s="19"/>
      <c r="B1352" s="19"/>
      <c r="C1352" s="18"/>
      <c r="D1352" s="18"/>
      <c r="E1352" s="18"/>
      <c r="F1352" s="20"/>
      <c r="G1352" s="10" t="s">
        <v>375</v>
      </c>
      <c r="H1352" s="8" t="s">
        <v>394</v>
      </c>
    </row>
    <row r="1353" spans="1:9" x14ac:dyDescent="0.35">
      <c r="A1353" s="19" t="str">
        <f>HYPERLINK("https://jira.itg.ti.com/browse/JACINTOREQ-96","JACINTOREQ-96")</f>
        <v>JACINTOREQ-96</v>
      </c>
      <c r="B1353" s="19" t="str">
        <f>HYPERLINK("https://jira.itg.ti.com/browse/PDK-2607","PDK-2607")</f>
        <v>PDK-2607</v>
      </c>
      <c r="C1353" s="18" t="s">
        <v>280</v>
      </c>
      <c r="D1353" s="18" t="s">
        <v>467</v>
      </c>
      <c r="E1353" s="18" t="s">
        <v>1645</v>
      </c>
      <c r="F1353" s="20" t="s">
        <v>1229</v>
      </c>
      <c r="G1353" s="9" t="s">
        <v>1095</v>
      </c>
      <c r="H1353" s="8" t="s">
        <v>394</v>
      </c>
      <c r="I1353" s="7" t="s">
        <v>1031</v>
      </c>
    </row>
    <row r="1354" spans="1:9" ht="25.5" x14ac:dyDescent="0.35">
      <c r="A1354" s="14"/>
      <c r="B1354" s="14"/>
      <c r="C1354" s="14"/>
      <c r="D1354" s="14"/>
      <c r="E1354" s="14"/>
      <c r="F1354" s="14"/>
      <c r="G1354" s="10" t="s">
        <v>107</v>
      </c>
      <c r="H1354" s="8" t="s">
        <v>394</v>
      </c>
    </row>
    <row r="1355" spans="1:9" ht="25.5" x14ac:dyDescent="0.35">
      <c r="A1355" s="14"/>
      <c r="B1355" s="14"/>
      <c r="C1355" s="14"/>
      <c r="D1355" s="14"/>
      <c r="E1355" s="14"/>
      <c r="F1355" s="14"/>
      <c r="G1355" s="10" t="s">
        <v>734</v>
      </c>
      <c r="H1355" s="8" t="s">
        <v>394</v>
      </c>
    </row>
    <row r="1356" spans="1:9" ht="25.5" x14ac:dyDescent="0.35">
      <c r="A1356" s="14"/>
      <c r="B1356" s="14"/>
      <c r="C1356" s="14"/>
      <c r="D1356" s="14"/>
      <c r="E1356" s="14"/>
      <c r="F1356" s="14"/>
      <c r="G1356" s="10" t="s">
        <v>1017</v>
      </c>
      <c r="H1356" s="8" t="s">
        <v>394</v>
      </c>
    </row>
    <row r="1357" spans="1:9" ht="25.5" x14ac:dyDescent="0.35">
      <c r="A1357" s="14"/>
      <c r="B1357" s="14"/>
      <c r="C1357" s="14"/>
      <c r="D1357" s="14"/>
      <c r="E1357" s="14"/>
      <c r="F1357" s="14"/>
      <c r="G1357" s="10" t="s">
        <v>697</v>
      </c>
      <c r="H1357" s="8" t="s">
        <v>394</v>
      </c>
    </row>
    <row r="1358" spans="1:9" ht="25.5" x14ac:dyDescent="0.35">
      <c r="A1358" s="14"/>
      <c r="B1358" s="14"/>
      <c r="C1358" s="14"/>
      <c r="D1358" s="14"/>
      <c r="E1358" s="14"/>
      <c r="F1358" s="14"/>
      <c r="G1358" s="10" t="s">
        <v>1505</v>
      </c>
      <c r="H1358" s="8" t="s">
        <v>394</v>
      </c>
    </row>
    <row r="1359" spans="1:9" ht="25.5" x14ac:dyDescent="0.35">
      <c r="A1359" s="14"/>
      <c r="B1359" s="14"/>
      <c r="C1359" s="14"/>
      <c r="D1359" s="14"/>
      <c r="E1359" s="14"/>
      <c r="F1359" s="14"/>
      <c r="G1359" s="10" t="s">
        <v>742</v>
      </c>
      <c r="H1359" s="8" t="s">
        <v>394</v>
      </c>
    </row>
    <row r="1360" spans="1:9" ht="25.5" x14ac:dyDescent="0.35">
      <c r="A1360" s="14"/>
      <c r="B1360" s="14"/>
      <c r="C1360" s="14"/>
      <c r="D1360" s="14"/>
      <c r="E1360" s="14"/>
      <c r="F1360" s="14"/>
      <c r="G1360" s="10" t="s">
        <v>833</v>
      </c>
      <c r="H1360" s="8" t="s">
        <v>394</v>
      </c>
    </row>
    <row r="1361" spans="1:9" ht="25.5" x14ac:dyDescent="0.35">
      <c r="A1361" s="14"/>
      <c r="B1361" s="14"/>
      <c r="C1361" s="14"/>
      <c r="D1361" s="14"/>
      <c r="E1361" s="14"/>
      <c r="F1361" s="14"/>
      <c r="G1361" s="10" t="s">
        <v>619</v>
      </c>
      <c r="H1361" s="8" t="s">
        <v>394</v>
      </c>
    </row>
    <row r="1362" spans="1:9" ht="25.5" x14ac:dyDescent="0.35">
      <c r="A1362" s="14"/>
      <c r="B1362" s="14"/>
      <c r="C1362" s="14"/>
      <c r="D1362" s="14"/>
      <c r="E1362" s="14"/>
      <c r="F1362" s="14"/>
      <c r="G1362" s="10" t="s">
        <v>1387</v>
      </c>
      <c r="H1362" s="8" t="s">
        <v>394</v>
      </c>
    </row>
    <row r="1363" spans="1:9" ht="25.5" x14ac:dyDescent="0.35">
      <c r="A1363" s="14"/>
      <c r="B1363" s="14"/>
      <c r="C1363" s="14"/>
      <c r="D1363" s="14"/>
      <c r="E1363" s="14"/>
      <c r="F1363" s="14"/>
      <c r="G1363" s="10" t="s">
        <v>276</v>
      </c>
      <c r="H1363" s="8" t="s">
        <v>394</v>
      </c>
    </row>
    <row r="1364" spans="1:9" ht="25.5" x14ac:dyDescent="0.35">
      <c r="A1364" s="19"/>
      <c r="B1364" s="19"/>
      <c r="C1364" s="18"/>
      <c r="D1364" s="18"/>
      <c r="E1364" s="18"/>
      <c r="F1364" s="20"/>
      <c r="G1364" s="10" t="s">
        <v>1364</v>
      </c>
      <c r="H1364" s="8" t="s">
        <v>394</v>
      </c>
    </row>
    <row r="1365" spans="1:9" x14ac:dyDescent="0.35">
      <c r="A1365" s="19" t="str">
        <f>HYPERLINK("https://jira.itg.ti.com/browse/JACINTOREQ-96","JACINTOREQ-96")</f>
        <v>JACINTOREQ-96</v>
      </c>
      <c r="B1365" s="19" t="str">
        <f>HYPERLINK("https://jira.itg.ti.com/browse/PDK-2608","PDK-2608")</f>
        <v>PDK-2608</v>
      </c>
      <c r="C1365" s="18" t="s">
        <v>315</v>
      </c>
      <c r="D1365" s="18" t="s">
        <v>467</v>
      </c>
      <c r="E1365" s="18" t="s">
        <v>1645</v>
      </c>
      <c r="F1365" s="20" t="s">
        <v>1229</v>
      </c>
      <c r="G1365" s="9" t="s">
        <v>1023</v>
      </c>
      <c r="H1365" s="8" t="s">
        <v>394</v>
      </c>
      <c r="I1365" s="7" t="s">
        <v>1031</v>
      </c>
    </row>
    <row r="1366" spans="1:9" ht="25.5" x14ac:dyDescent="0.35">
      <c r="A1366" s="19" t="str">
        <f>HYPERLINK("https://jira.itg.ti.com/browse/JACINTOREQ-96","JACINTOREQ-96")</f>
        <v>JACINTOREQ-96</v>
      </c>
      <c r="B1366" s="19" t="str">
        <f>HYPERLINK("https://jira.itg.ti.com/browse/PDK-2609","PDK-2609")</f>
        <v>PDK-2609</v>
      </c>
      <c r="C1366" s="18" t="s">
        <v>659</v>
      </c>
      <c r="D1366" s="18" t="s">
        <v>467</v>
      </c>
      <c r="E1366" s="18" t="s">
        <v>1645</v>
      </c>
      <c r="F1366" s="20" t="s">
        <v>1229</v>
      </c>
      <c r="G1366" s="9" t="s">
        <v>1233</v>
      </c>
      <c r="H1366" s="8" t="s">
        <v>394</v>
      </c>
      <c r="I1366" s="7" t="s">
        <v>1031</v>
      </c>
    </row>
    <row r="1367" spans="1:9" x14ac:dyDescent="0.35">
      <c r="A1367" s="19"/>
      <c r="B1367" s="19"/>
      <c r="C1367" s="18"/>
      <c r="D1367" s="18"/>
      <c r="E1367" s="18"/>
      <c r="F1367" s="20"/>
      <c r="G1367" s="10" t="s">
        <v>647</v>
      </c>
      <c r="H1367" s="8" t="s">
        <v>394</v>
      </c>
    </row>
    <row r="1368" spans="1:9" x14ac:dyDescent="0.35">
      <c r="A1368" s="19" t="str">
        <f>HYPERLINK("https://jira.itg.ti.com/browse/JACINTOREQ-96","JACINTOREQ-96")</f>
        <v>JACINTOREQ-96</v>
      </c>
      <c r="B1368" s="19" t="str">
        <f>HYPERLINK("https://jira.itg.ti.com/browse/PDK-2610","PDK-2610")</f>
        <v>PDK-2610</v>
      </c>
      <c r="C1368" s="18" t="s">
        <v>1520</v>
      </c>
      <c r="D1368" s="18" t="s">
        <v>467</v>
      </c>
      <c r="E1368" s="18" t="s">
        <v>1645</v>
      </c>
      <c r="F1368" s="20" t="s">
        <v>1229</v>
      </c>
      <c r="G1368" s="9" t="s">
        <v>200</v>
      </c>
      <c r="H1368" s="8" t="s">
        <v>394</v>
      </c>
      <c r="I1368" s="7" t="s">
        <v>1031</v>
      </c>
    </row>
    <row r="1369" spans="1:9" x14ac:dyDescent="0.35">
      <c r="A1369" s="19"/>
      <c r="B1369" s="19"/>
      <c r="C1369" s="18"/>
      <c r="D1369" s="18"/>
      <c r="E1369" s="18"/>
      <c r="F1369" s="20"/>
      <c r="G1369" s="10" t="s">
        <v>988</v>
      </c>
      <c r="H1369" s="8" t="s">
        <v>394</v>
      </c>
    </row>
    <row r="1370" spans="1:9" x14ac:dyDescent="0.35">
      <c r="A1370" s="19" t="str">
        <f>HYPERLINK("https://jira.itg.ti.com/browse/JACINTOREQ-96","JACINTOREQ-96")</f>
        <v>JACINTOREQ-96</v>
      </c>
      <c r="B1370" s="19" t="str">
        <f>HYPERLINK("https://jira.itg.ti.com/browse/PDK-2611","PDK-2611")</f>
        <v>PDK-2611</v>
      </c>
      <c r="C1370" s="18" t="s">
        <v>1426</v>
      </c>
      <c r="D1370" s="18" t="s">
        <v>467</v>
      </c>
      <c r="E1370" s="18" t="s">
        <v>1645</v>
      </c>
      <c r="F1370" s="20" t="s">
        <v>1229</v>
      </c>
      <c r="G1370" s="9" t="s">
        <v>1161</v>
      </c>
      <c r="H1370" s="8" t="s">
        <v>394</v>
      </c>
      <c r="I1370" s="7" t="s">
        <v>1031</v>
      </c>
    </row>
    <row r="1371" spans="1:9" x14ac:dyDescent="0.35">
      <c r="A1371" s="19" t="str">
        <f>HYPERLINK("https://jira.itg.ti.com/browse/JACINTOREQ-96","JACINTOREQ-96")</f>
        <v>JACINTOREQ-96</v>
      </c>
      <c r="B1371" s="19" t="str">
        <f>HYPERLINK("https://jira.itg.ti.com/browse/PDK-2612","PDK-2612")</f>
        <v>PDK-2612</v>
      </c>
      <c r="C1371" s="18" t="s">
        <v>1411</v>
      </c>
      <c r="D1371" s="18" t="s">
        <v>467</v>
      </c>
      <c r="E1371" s="18" t="s">
        <v>1645</v>
      </c>
      <c r="F1371" s="20" t="s">
        <v>1229</v>
      </c>
      <c r="G1371" s="9" t="s">
        <v>274</v>
      </c>
      <c r="H1371" s="8" t="s">
        <v>394</v>
      </c>
      <c r="I1371" s="7" t="s">
        <v>1031</v>
      </c>
    </row>
    <row r="1372" spans="1:9" x14ac:dyDescent="0.35">
      <c r="A1372" s="19" t="str">
        <f>HYPERLINK("https://jira.itg.ti.com/browse/JACINTOREQ-96","JACINTOREQ-96")</f>
        <v>JACINTOREQ-96</v>
      </c>
      <c r="B1372" s="19" t="str">
        <f>HYPERLINK("https://jira.itg.ti.com/browse/PDK-2614","PDK-2614")</f>
        <v>PDK-2614</v>
      </c>
      <c r="C1372" s="18" t="s">
        <v>834</v>
      </c>
      <c r="D1372" s="18" t="s">
        <v>467</v>
      </c>
      <c r="E1372" s="18" t="s">
        <v>1645</v>
      </c>
      <c r="F1372" s="20" t="s">
        <v>1229</v>
      </c>
      <c r="G1372" s="9" t="s">
        <v>200</v>
      </c>
      <c r="H1372" s="8" t="s">
        <v>394</v>
      </c>
      <c r="I1372" s="7" t="s">
        <v>1031</v>
      </c>
    </row>
    <row r="1373" spans="1:9" ht="25.5" x14ac:dyDescent="0.35">
      <c r="A1373" s="19" t="str">
        <f>HYPERLINK("https://jira.itg.ti.com/browse/JACINTOREQ-96","JACINTOREQ-96")</f>
        <v>JACINTOREQ-96</v>
      </c>
      <c r="B1373" s="19" t="str">
        <f>HYPERLINK("https://jira.itg.ti.com/browse/PDK-2615","PDK-2615")</f>
        <v>PDK-2615</v>
      </c>
      <c r="C1373" s="18" t="s">
        <v>363</v>
      </c>
      <c r="D1373" s="18" t="s">
        <v>120</v>
      </c>
      <c r="E1373" s="18" t="s">
        <v>1645</v>
      </c>
      <c r="F1373" s="20" t="s">
        <v>1229</v>
      </c>
      <c r="G1373" s="9" t="s">
        <v>241</v>
      </c>
      <c r="H1373" s="8" t="s">
        <v>394</v>
      </c>
      <c r="I1373" s="7" t="s">
        <v>1031</v>
      </c>
    </row>
    <row r="1374" spans="1:9" ht="25.5" x14ac:dyDescent="0.35">
      <c r="A1374" s="19"/>
      <c r="B1374" s="19"/>
      <c r="C1374" s="18"/>
      <c r="D1374" s="18"/>
      <c r="E1374" s="18"/>
      <c r="F1374" s="20"/>
      <c r="G1374" s="10" t="s">
        <v>1233</v>
      </c>
      <c r="H1374" s="8" t="s">
        <v>394</v>
      </c>
    </row>
    <row r="1375" spans="1:9" x14ac:dyDescent="0.35">
      <c r="A1375" s="19" t="str">
        <f>HYPERLINK("https://jira.itg.ti.com/browse/JACINTOREQ-96","JACINTOREQ-96")</f>
        <v>JACINTOREQ-96</v>
      </c>
      <c r="B1375" s="19" t="str">
        <f>HYPERLINK("https://jira.itg.ti.com/browse/PDK-2619","PDK-2619")</f>
        <v>PDK-2619</v>
      </c>
      <c r="C1375" s="18" t="s">
        <v>1025</v>
      </c>
      <c r="D1375" s="18" t="s">
        <v>467</v>
      </c>
      <c r="E1375" s="18" t="s">
        <v>1645</v>
      </c>
      <c r="F1375" s="20" t="s">
        <v>1229</v>
      </c>
      <c r="G1375" s="9" t="s">
        <v>200</v>
      </c>
      <c r="H1375" s="8" t="s">
        <v>394</v>
      </c>
      <c r="I1375" s="7" t="s">
        <v>1031</v>
      </c>
    </row>
    <row r="1376" spans="1:9" x14ac:dyDescent="0.35">
      <c r="A1376" s="19" t="str">
        <f>HYPERLINK("https://jira.itg.ti.com/browse/JACINTOREQ-96","JACINTOREQ-96")</f>
        <v>JACINTOREQ-96</v>
      </c>
      <c r="B1376" s="19" t="str">
        <f>HYPERLINK("https://jira.itg.ti.com/browse/PDK-2622","PDK-2622")</f>
        <v>PDK-2622</v>
      </c>
      <c r="C1376" s="18" t="s">
        <v>124</v>
      </c>
      <c r="D1376" s="18" t="s">
        <v>467</v>
      </c>
      <c r="E1376" s="18" t="s">
        <v>1645</v>
      </c>
      <c r="F1376" s="20" t="s">
        <v>1229</v>
      </c>
      <c r="G1376" s="9" t="s">
        <v>200</v>
      </c>
      <c r="H1376" s="8" t="s">
        <v>394</v>
      </c>
      <c r="I1376" s="7" t="s">
        <v>1031</v>
      </c>
    </row>
    <row r="1377" spans="1:9" x14ac:dyDescent="0.35">
      <c r="A1377" s="19" t="str">
        <f>HYPERLINK("https://jira.itg.ti.com/browse/JACINTOREQ-96","JACINTOREQ-96")</f>
        <v>JACINTOREQ-96</v>
      </c>
      <c r="B1377" s="19" t="str">
        <f>HYPERLINK("https://jira.itg.ti.com/browse/PDK-2623","PDK-2623")</f>
        <v>PDK-2623</v>
      </c>
      <c r="C1377" s="18" t="s">
        <v>1282</v>
      </c>
      <c r="D1377" s="18" t="s">
        <v>467</v>
      </c>
      <c r="E1377" s="18" t="s">
        <v>1645</v>
      </c>
      <c r="F1377" s="20" t="s">
        <v>1229</v>
      </c>
      <c r="G1377" s="9" t="s">
        <v>200</v>
      </c>
      <c r="H1377" s="8" t="s">
        <v>394</v>
      </c>
      <c r="I1377" s="7" t="s">
        <v>1031</v>
      </c>
    </row>
    <row r="1378" spans="1:9" ht="25.5" x14ac:dyDescent="0.35">
      <c r="A1378" s="19" t="str">
        <f>HYPERLINK("https://jira.itg.ti.com/browse/JACINTOREQ-96","JACINTOREQ-96")</f>
        <v>JACINTOREQ-96</v>
      </c>
      <c r="B1378" s="19" t="str">
        <f>HYPERLINK("https://jira.itg.ti.com/browse/PDK-2624","PDK-2624")</f>
        <v>PDK-2624</v>
      </c>
      <c r="C1378" s="18" t="s">
        <v>969</v>
      </c>
      <c r="D1378" s="18" t="s">
        <v>120</v>
      </c>
      <c r="E1378" s="18" t="s">
        <v>1645</v>
      </c>
      <c r="F1378" s="20" t="s">
        <v>1229</v>
      </c>
      <c r="G1378" s="9" t="s">
        <v>517</v>
      </c>
      <c r="H1378" s="8" t="s">
        <v>394</v>
      </c>
      <c r="I1378" s="7" t="s">
        <v>1031</v>
      </c>
    </row>
    <row r="1379" spans="1:9" ht="25.5" x14ac:dyDescent="0.35">
      <c r="A1379" s="14"/>
      <c r="B1379" s="14"/>
      <c r="C1379" s="14"/>
      <c r="D1379" s="14"/>
      <c r="E1379" s="14"/>
      <c r="F1379" s="14"/>
      <c r="G1379" s="10" t="s">
        <v>747</v>
      </c>
      <c r="H1379" s="8" t="s">
        <v>394</v>
      </c>
    </row>
    <row r="1380" spans="1:9" ht="25.5" x14ac:dyDescent="0.35">
      <c r="A1380" s="19"/>
      <c r="B1380" s="19"/>
      <c r="C1380" s="18"/>
      <c r="D1380" s="18"/>
      <c r="E1380" s="18"/>
      <c r="F1380" s="20"/>
      <c r="G1380" s="10" t="s">
        <v>118</v>
      </c>
      <c r="H1380" s="8" t="s">
        <v>394</v>
      </c>
    </row>
    <row r="1381" spans="1:9" x14ac:dyDescent="0.35">
      <c r="A1381" s="19" t="str">
        <f>HYPERLINK("https://jira.itg.ti.com/browse/JACINTOREQ-96","JACINTOREQ-96")</f>
        <v>JACINTOREQ-96</v>
      </c>
      <c r="B1381" s="19" t="str">
        <f>HYPERLINK("https://jira.itg.ti.com/browse/PDK-2625","PDK-2625")</f>
        <v>PDK-2625</v>
      </c>
      <c r="C1381" s="18" t="s">
        <v>181</v>
      </c>
      <c r="D1381" s="18" t="s">
        <v>467</v>
      </c>
      <c r="E1381" s="18" t="s">
        <v>1645</v>
      </c>
      <c r="F1381" s="20" t="s">
        <v>1229</v>
      </c>
      <c r="G1381" s="9" t="s">
        <v>200</v>
      </c>
      <c r="H1381" s="8" t="s">
        <v>394</v>
      </c>
      <c r="I1381" s="7" t="s">
        <v>1031</v>
      </c>
    </row>
    <row r="1382" spans="1:9" x14ac:dyDescent="0.35">
      <c r="A1382" s="19" t="str">
        <f>HYPERLINK("https://jira.itg.ti.com/browse/JACINTOREQ-96","JACINTOREQ-96")</f>
        <v>JACINTOREQ-96</v>
      </c>
      <c r="B1382" s="19" t="str">
        <f>HYPERLINK("https://jira.itg.ti.com/browse/PDK-2626","PDK-2626")</f>
        <v>PDK-2626</v>
      </c>
      <c r="C1382" s="18" t="s">
        <v>1534</v>
      </c>
      <c r="D1382" s="18" t="s">
        <v>467</v>
      </c>
      <c r="E1382" s="18" t="s">
        <v>1645</v>
      </c>
      <c r="F1382" s="20" t="s">
        <v>1229</v>
      </c>
      <c r="G1382" s="9" t="s">
        <v>200</v>
      </c>
      <c r="H1382" s="8" t="s">
        <v>394</v>
      </c>
      <c r="I1382" s="7" t="s">
        <v>1031</v>
      </c>
    </row>
    <row r="1383" spans="1:9" x14ac:dyDescent="0.35">
      <c r="A1383" s="19" t="str">
        <f>HYPERLINK("https://jira.itg.ti.com/browse/JACINTOREQ-96","JACINTOREQ-96")</f>
        <v>JACINTOREQ-96</v>
      </c>
      <c r="B1383" s="19" t="str">
        <f>HYPERLINK("https://jira.itg.ti.com/browse/PDK-2628","PDK-2628")</f>
        <v>PDK-2628</v>
      </c>
      <c r="C1383" s="18" t="s">
        <v>528</v>
      </c>
      <c r="D1383" s="18" t="s">
        <v>120</v>
      </c>
      <c r="E1383" s="18" t="s">
        <v>1645</v>
      </c>
      <c r="F1383" s="20" t="s">
        <v>1229</v>
      </c>
      <c r="G1383" s="9" t="s">
        <v>200</v>
      </c>
      <c r="H1383" s="8" t="s">
        <v>394</v>
      </c>
      <c r="I1383" s="7" t="s">
        <v>1031</v>
      </c>
    </row>
    <row r="1384" spans="1:9" ht="25.5" x14ac:dyDescent="0.35">
      <c r="A1384" s="14"/>
      <c r="B1384" s="14"/>
      <c r="C1384" s="14"/>
      <c r="D1384" s="14"/>
      <c r="E1384" s="14"/>
      <c r="F1384" s="14"/>
      <c r="G1384" s="10" t="s">
        <v>42</v>
      </c>
      <c r="H1384" s="8" t="s">
        <v>394</v>
      </c>
    </row>
    <row r="1385" spans="1:9" ht="25.5" x14ac:dyDescent="0.35">
      <c r="A1385" s="14"/>
      <c r="B1385" s="14"/>
      <c r="C1385" s="14"/>
      <c r="D1385" s="14"/>
      <c r="E1385" s="14"/>
      <c r="F1385" s="14"/>
      <c r="G1385" s="10" t="s">
        <v>734</v>
      </c>
      <c r="H1385" s="8" t="s">
        <v>394</v>
      </c>
    </row>
    <row r="1386" spans="1:9" ht="25.5" x14ac:dyDescent="0.35">
      <c r="A1386" s="14"/>
      <c r="B1386" s="14"/>
      <c r="C1386" s="14"/>
      <c r="D1386" s="14"/>
      <c r="E1386" s="14"/>
      <c r="F1386" s="14"/>
      <c r="G1386" s="10" t="s">
        <v>1017</v>
      </c>
      <c r="H1386" s="8" t="s">
        <v>394</v>
      </c>
    </row>
    <row r="1387" spans="1:9" ht="25.5" x14ac:dyDescent="0.35">
      <c r="A1387" s="14"/>
      <c r="B1387" s="14"/>
      <c r="C1387" s="14"/>
      <c r="D1387" s="14"/>
      <c r="E1387" s="14"/>
      <c r="F1387" s="14"/>
      <c r="G1387" s="10" t="s">
        <v>697</v>
      </c>
      <c r="H1387" s="8" t="s">
        <v>394</v>
      </c>
    </row>
    <row r="1388" spans="1:9" x14ac:dyDescent="0.35">
      <c r="A1388" s="14"/>
      <c r="B1388" s="14"/>
      <c r="C1388" s="14"/>
      <c r="D1388" s="14"/>
      <c r="E1388" s="14"/>
      <c r="F1388" s="14"/>
      <c r="G1388" s="10" t="s">
        <v>1190</v>
      </c>
      <c r="H1388" s="8" t="s">
        <v>394</v>
      </c>
    </row>
    <row r="1389" spans="1:9" ht="25.5" x14ac:dyDescent="0.35">
      <c r="A1389" s="19"/>
      <c r="B1389" s="19"/>
      <c r="C1389" s="18"/>
      <c r="D1389" s="18"/>
      <c r="E1389" s="18"/>
      <c r="F1389" s="20"/>
      <c r="G1389" s="10" t="s">
        <v>1016</v>
      </c>
      <c r="H1389" s="8" t="s">
        <v>394</v>
      </c>
    </row>
    <row r="1390" spans="1:9" x14ac:dyDescent="0.35">
      <c r="A1390" s="19" t="str">
        <f>HYPERLINK("https://jira.itg.ti.com/browse/JACINTOREQ-96","JACINTOREQ-96")</f>
        <v>JACINTOREQ-96</v>
      </c>
      <c r="B1390" s="19" t="str">
        <f>HYPERLINK("https://jira.itg.ti.com/browse/PDK-2631","PDK-2631")</f>
        <v>PDK-2631</v>
      </c>
      <c r="C1390" s="18" t="s">
        <v>204</v>
      </c>
      <c r="D1390" s="18" t="s">
        <v>467</v>
      </c>
      <c r="E1390" s="18" t="s">
        <v>1645</v>
      </c>
      <c r="F1390" s="20" t="s">
        <v>1229</v>
      </c>
      <c r="G1390" s="9" t="s">
        <v>200</v>
      </c>
      <c r="H1390" s="8" t="s">
        <v>394</v>
      </c>
      <c r="I1390" s="7" t="s">
        <v>1031</v>
      </c>
    </row>
    <row r="1391" spans="1:9" x14ac:dyDescent="0.35">
      <c r="A1391" s="19" t="str">
        <f>HYPERLINK("https://jira.itg.ti.com/browse/JACINTOREQ-96","JACINTOREQ-96")</f>
        <v>JACINTOREQ-96</v>
      </c>
      <c r="B1391" s="19" t="str">
        <f>HYPERLINK("https://jira.itg.ti.com/browse/PDK-2632","PDK-2632")</f>
        <v>PDK-2632</v>
      </c>
      <c r="C1391" s="18" t="s">
        <v>1200</v>
      </c>
      <c r="D1391" s="18" t="s">
        <v>467</v>
      </c>
      <c r="E1391" s="18" t="s">
        <v>1645</v>
      </c>
      <c r="F1391" s="20" t="s">
        <v>1229</v>
      </c>
      <c r="G1391" s="9" t="s">
        <v>368</v>
      </c>
      <c r="H1391" s="8" t="s">
        <v>394</v>
      </c>
      <c r="I1391" s="7" t="s">
        <v>1031</v>
      </c>
    </row>
    <row r="1392" spans="1:9" x14ac:dyDescent="0.35">
      <c r="A1392" s="19"/>
      <c r="B1392" s="19"/>
      <c r="C1392" s="18"/>
      <c r="D1392" s="18"/>
      <c r="E1392" s="18"/>
      <c r="F1392" s="20"/>
      <c r="G1392" s="10" t="s">
        <v>279</v>
      </c>
      <c r="H1392" s="8" t="s">
        <v>394</v>
      </c>
    </row>
    <row r="1393" spans="1:9" x14ac:dyDescent="0.35">
      <c r="A1393" s="19" t="str">
        <f>HYPERLINK("https://jira.itg.ti.com/browse/JACINTOREQ-96","JACINTOREQ-96")</f>
        <v>JACINTOREQ-96</v>
      </c>
      <c r="B1393" s="19" t="str">
        <f>HYPERLINK("https://jira.itg.ti.com/browse/PDK-2634","PDK-2634")</f>
        <v>PDK-2634</v>
      </c>
      <c r="C1393" s="18" t="s">
        <v>9</v>
      </c>
      <c r="D1393" s="18" t="s">
        <v>120</v>
      </c>
      <c r="E1393" s="18" t="s">
        <v>1645</v>
      </c>
      <c r="F1393" s="20" t="s">
        <v>1229</v>
      </c>
      <c r="G1393" s="9" t="s">
        <v>1161</v>
      </c>
      <c r="H1393" s="8" t="s">
        <v>394</v>
      </c>
      <c r="I1393" s="7" t="s">
        <v>1031</v>
      </c>
    </row>
    <row r="1394" spans="1:9" x14ac:dyDescent="0.35">
      <c r="A1394" s="14"/>
      <c r="B1394" s="14"/>
      <c r="C1394" s="14"/>
      <c r="D1394" s="14"/>
      <c r="E1394" s="14"/>
      <c r="F1394" s="14"/>
      <c r="G1394" s="10" t="s">
        <v>200</v>
      </c>
      <c r="H1394" s="8" t="s">
        <v>394</v>
      </c>
    </row>
    <row r="1395" spans="1:9" ht="25.5" x14ac:dyDescent="0.35">
      <c r="A1395" s="14"/>
      <c r="B1395" s="14"/>
      <c r="C1395" s="14"/>
      <c r="D1395" s="14"/>
      <c r="E1395" s="14"/>
      <c r="F1395" s="14"/>
      <c r="G1395" s="10" t="s">
        <v>241</v>
      </c>
      <c r="H1395" s="8" t="s">
        <v>394</v>
      </c>
    </row>
    <row r="1396" spans="1:9" x14ac:dyDescent="0.35">
      <c r="A1396" s="19"/>
      <c r="B1396" s="19"/>
      <c r="C1396" s="18"/>
      <c r="D1396" s="18"/>
      <c r="E1396" s="18"/>
      <c r="F1396" s="20"/>
      <c r="G1396" s="10" t="s">
        <v>988</v>
      </c>
      <c r="H1396" s="8" t="s">
        <v>394</v>
      </c>
    </row>
    <row r="1397" spans="1:9" x14ac:dyDescent="0.35">
      <c r="A1397" s="19" t="str">
        <f>HYPERLINK("https://jira.itg.ti.com/browse/JACINTOREQ-96","JACINTOREQ-96")</f>
        <v>JACINTOREQ-96</v>
      </c>
      <c r="B1397" s="19" t="str">
        <f>HYPERLINK("https://jira.itg.ti.com/browse/PDK-2635","PDK-2635")</f>
        <v>PDK-2635</v>
      </c>
      <c r="C1397" s="18" t="s">
        <v>511</v>
      </c>
      <c r="D1397" s="18" t="s">
        <v>467</v>
      </c>
      <c r="E1397" s="18" t="s">
        <v>1645</v>
      </c>
      <c r="F1397" s="20" t="s">
        <v>1229</v>
      </c>
      <c r="G1397" s="9" t="s">
        <v>1405</v>
      </c>
      <c r="H1397" s="8" t="s">
        <v>394</v>
      </c>
      <c r="I1397" s="7" t="s">
        <v>1031</v>
      </c>
    </row>
    <row r="1398" spans="1:9" x14ac:dyDescent="0.35">
      <c r="A1398" s="19" t="str">
        <f>HYPERLINK("https://jira.itg.ti.com/browse/JACINTOREQ-96","JACINTOREQ-96")</f>
        <v>JACINTOREQ-96</v>
      </c>
      <c r="B1398" s="19" t="str">
        <f>HYPERLINK("https://jira.itg.ti.com/browse/PDK-2636","PDK-2636")</f>
        <v>PDK-2636</v>
      </c>
      <c r="C1398" s="18" t="s">
        <v>565</v>
      </c>
      <c r="D1398" s="18" t="s">
        <v>467</v>
      </c>
      <c r="E1398" s="18" t="s">
        <v>1645</v>
      </c>
      <c r="F1398" s="20" t="s">
        <v>1229</v>
      </c>
      <c r="G1398" s="9" t="s">
        <v>854</v>
      </c>
      <c r="H1398" s="8" t="s">
        <v>394</v>
      </c>
      <c r="I1398" s="7" t="s">
        <v>1031</v>
      </c>
    </row>
    <row r="1399" spans="1:9" ht="25.5" x14ac:dyDescent="0.35">
      <c r="A1399" s="14"/>
      <c r="B1399" s="14"/>
      <c r="C1399" s="14"/>
      <c r="D1399" s="14"/>
      <c r="E1399" s="14"/>
      <c r="F1399" s="14"/>
      <c r="G1399" s="10" t="s">
        <v>1305</v>
      </c>
      <c r="H1399" s="8" t="s">
        <v>394</v>
      </c>
    </row>
    <row r="1400" spans="1:9" ht="25.5" x14ac:dyDescent="0.35">
      <c r="A1400" s="14"/>
      <c r="B1400" s="14"/>
      <c r="C1400" s="14"/>
      <c r="D1400" s="14"/>
      <c r="E1400" s="14"/>
      <c r="F1400" s="14"/>
      <c r="G1400" s="10" t="s">
        <v>1124</v>
      </c>
      <c r="H1400" s="8" t="s">
        <v>394</v>
      </c>
    </row>
    <row r="1401" spans="1:9" ht="25.5" x14ac:dyDescent="0.35">
      <c r="A1401" s="14"/>
      <c r="B1401" s="14"/>
      <c r="C1401" s="14"/>
      <c r="D1401" s="14"/>
      <c r="E1401" s="14"/>
      <c r="F1401" s="14"/>
      <c r="G1401" s="10" t="s">
        <v>1674</v>
      </c>
      <c r="H1401" s="8" t="s">
        <v>394</v>
      </c>
    </row>
    <row r="1402" spans="1:9" ht="25.5" x14ac:dyDescent="0.35">
      <c r="A1402" s="14"/>
      <c r="B1402" s="14"/>
      <c r="C1402" s="14"/>
      <c r="D1402" s="14"/>
      <c r="E1402" s="14"/>
      <c r="F1402" s="14"/>
      <c r="G1402" s="10" t="s">
        <v>1094</v>
      </c>
      <c r="H1402" s="8" t="s">
        <v>394</v>
      </c>
    </row>
    <row r="1403" spans="1:9" ht="25.5" x14ac:dyDescent="0.35">
      <c r="A1403" s="14"/>
      <c r="B1403" s="14"/>
      <c r="C1403" s="14"/>
      <c r="D1403" s="14"/>
      <c r="E1403" s="14"/>
      <c r="F1403" s="14"/>
      <c r="G1403" s="10" t="s">
        <v>1249</v>
      </c>
      <c r="H1403" s="8" t="s">
        <v>394</v>
      </c>
    </row>
    <row r="1404" spans="1:9" ht="25.5" x14ac:dyDescent="0.35">
      <c r="A1404" s="14"/>
      <c r="B1404" s="14"/>
      <c r="C1404" s="14"/>
      <c r="D1404" s="14"/>
      <c r="E1404" s="14"/>
      <c r="F1404" s="14"/>
      <c r="G1404" s="10" t="s">
        <v>1631</v>
      </c>
      <c r="H1404" s="8" t="s">
        <v>394</v>
      </c>
    </row>
    <row r="1405" spans="1:9" ht="25.5" x14ac:dyDescent="0.35">
      <c r="A1405" s="14"/>
      <c r="B1405" s="14"/>
      <c r="C1405" s="14"/>
      <c r="D1405" s="14"/>
      <c r="E1405" s="14"/>
      <c r="F1405" s="14"/>
      <c r="G1405" s="10" t="s">
        <v>1171</v>
      </c>
      <c r="H1405" s="8" t="s">
        <v>394</v>
      </c>
    </row>
    <row r="1406" spans="1:9" ht="25.5" x14ac:dyDescent="0.35">
      <c r="A1406" s="19"/>
      <c r="B1406" s="19"/>
      <c r="C1406" s="18"/>
      <c r="D1406" s="18"/>
      <c r="E1406" s="18"/>
      <c r="F1406" s="20"/>
      <c r="G1406" s="10" t="s">
        <v>1497</v>
      </c>
      <c r="H1406" s="8" t="s">
        <v>394</v>
      </c>
    </row>
    <row r="1407" spans="1:9" x14ac:dyDescent="0.35">
      <c r="A1407" s="19" t="str">
        <f>HYPERLINK("https://jira.itg.ti.com/browse/JACINTOREQ-96","JACINTOREQ-96")</f>
        <v>JACINTOREQ-96</v>
      </c>
      <c r="B1407" s="19" t="str">
        <f>HYPERLINK("https://jira.itg.ti.com/browse/PDK-2637","PDK-2637")</f>
        <v>PDK-2637</v>
      </c>
      <c r="C1407" s="18" t="s">
        <v>560</v>
      </c>
      <c r="D1407" s="18" t="s">
        <v>120</v>
      </c>
      <c r="E1407" s="18" t="s">
        <v>1645</v>
      </c>
      <c r="F1407" s="20" t="s">
        <v>1229</v>
      </c>
      <c r="G1407" s="9" t="s">
        <v>1095</v>
      </c>
      <c r="H1407" s="8" t="s">
        <v>394</v>
      </c>
      <c r="I1407" s="7" t="s">
        <v>1031</v>
      </c>
    </row>
    <row r="1408" spans="1:9" x14ac:dyDescent="0.35">
      <c r="A1408" s="19"/>
      <c r="B1408" s="19"/>
      <c r="C1408" s="18"/>
      <c r="D1408" s="18"/>
      <c r="E1408" s="18"/>
      <c r="F1408" s="20"/>
      <c r="G1408" s="10" t="s">
        <v>1628</v>
      </c>
      <c r="H1408" s="8" t="s">
        <v>394</v>
      </c>
    </row>
    <row r="1409" spans="1:9" x14ac:dyDescent="0.35">
      <c r="A1409" s="19" t="str">
        <f t="shared" ref="A1409:A1419" si="25">HYPERLINK("https://jira.itg.ti.com/browse/JACINTOREQ-96","JACINTOREQ-96")</f>
        <v>JACINTOREQ-96</v>
      </c>
      <c r="B1409" s="19" t="str">
        <f>HYPERLINK("https://jira.itg.ti.com/browse/PDK-2638","PDK-2638")</f>
        <v>PDK-2638</v>
      </c>
      <c r="C1409" s="18" t="s">
        <v>649</v>
      </c>
      <c r="D1409" s="18" t="s">
        <v>467</v>
      </c>
      <c r="E1409" s="18" t="s">
        <v>1645</v>
      </c>
      <c r="F1409" s="20" t="s">
        <v>1229</v>
      </c>
      <c r="G1409" s="9" t="s">
        <v>1163</v>
      </c>
      <c r="H1409" s="8" t="s">
        <v>394</v>
      </c>
      <c r="I1409" s="7" t="s">
        <v>1031</v>
      </c>
    </row>
    <row r="1410" spans="1:9" x14ac:dyDescent="0.35">
      <c r="A1410" s="19" t="str">
        <f t="shared" si="25"/>
        <v>JACINTOREQ-96</v>
      </c>
      <c r="B1410" s="19" t="str">
        <f>HYPERLINK("https://jira.itg.ti.com/browse/PDK-2640","PDK-2640")</f>
        <v>PDK-2640</v>
      </c>
      <c r="C1410" s="18" t="s">
        <v>553</v>
      </c>
      <c r="D1410" s="18" t="s">
        <v>467</v>
      </c>
      <c r="E1410" s="18" t="s">
        <v>1645</v>
      </c>
      <c r="F1410" s="20" t="s">
        <v>1229</v>
      </c>
      <c r="G1410" s="9" t="s">
        <v>495</v>
      </c>
      <c r="H1410" s="8" t="s">
        <v>394</v>
      </c>
      <c r="I1410" s="7" t="s">
        <v>1031</v>
      </c>
    </row>
    <row r="1411" spans="1:9" x14ac:dyDescent="0.35">
      <c r="A1411" s="19" t="str">
        <f t="shared" si="25"/>
        <v>JACINTOREQ-96</v>
      </c>
      <c r="B1411" s="19" t="str">
        <f>HYPERLINK("https://jira.itg.ti.com/browse/PDK-2642","PDK-2642")</f>
        <v>PDK-2642</v>
      </c>
      <c r="C1411" s="18" t="s">
        <v>715</v>
      </c>
      <c r="D1411" s="18" t="s">
        <v>467</v>
      </c>
      <c r="E1411" s="18" t="s">
        <v>1645</v>
      </c>
      <c r="F1411" s="20" t="s">
        <v>1229</v>
      </c>
      <c r="G1411" s="9" t="s">
        <v>274</v>
      </c>
      <c r="H1411" s="8" t="s">
        <v>394</v>
      </c>
      <c r="I1411" s="7" t="s">
        <v>1031</v>
      </c>
    </row>
    <row r="1412" spans="1:9" x14ac:dyDescent="0.35">
      <c r="A1412" s="19" t="str">
        <f t="shared" si="25"/>
        <v>JACINTOREQ-96</v>
      </c>
      <c r="B1412" s="19" t="str">
        <f>HYPERLINK("https://jira.itg.ti.com/browse/PDK-2643","PDK-2643")</f>
        <v>PDK-2643</v>
      </c>
      <c r="C1412" s="18" t="s">
        <v>1154</v>
      </c>
      <c r="D1412" s="18" t="s">
        <v>467</v>
      </c>
      <c r="E1412" s="18" t="s">
        <v>1645</v>
      </c>
      <c r="F1412" s="20" t="s">
        <v>1229</v>
      </c>
      <c r="G1412" s="9" t="s">
        <v>274</v>
      </c>
      <c r="H1412" s="8" t="s">
        <v>394</v>
      </c>
      <c r="I1412" s="7" t="s">
        <v>1031</v>
      </c>
    </row>
    <row r="1413" spans="1:9" x14ac:dyDescent="0.35">
      <c r="A1413" s="19" t="str">
        <f t="shared" si="25"/>
        <v>JACINTOREQ-96</v>
      </c>
      <c r="B1413" s="19" t="str">
        <f>HYPERLINK("https://jira.itg.ti.com/browse/PDK-2644","PDK-2644")</f>
        <v>PDK-2644</v>
      </c>
      <c r="C1413" s="18" t="s">
        <v>1375</v>
      </c>
      <c r="D1413" s="18" t="s">
        <v>467</v>
      </c>
      <c r="E1413" s="18" t="s">
        <v>1645</v>
      </c>
      <c r="F1413" s="20" t="s">
        <v>1229</v>
      </c>
      <c r="G1413" s="9" t="s">
        <v>274</v>
      </c>
      <c r="H1413" s="8" t="s">
        <v>394</v>
      </c>
      <c r="I1413" s="7" t="s">
        <v>1031</v>
      </c>
    </row>
    <row r="1414" spans="1:9" x14ac:dyDescent="0.35">
      <c r="A1414" s="19" t="str">
        <f t="shared" si="25"/>
        <v>JACINTOREQ-96</v>
      </c>
      <c r="B1414" s="19" t="str">
        <f>HYPERLINK("https://jira.itg.ti.com/browse/PDK-2645","PDK-2645")</f>
        <v>PDK-2645</v>
      </c>
      <c r="C1414" s="18" t="s">
        <v>575</v>
      </c>
      <c r="D1414" s="18" t="s">
        <v>467</v>
      </c>
      <c r="E1414" s="18" t="s">
        <v>1645</v>
      </c>
      <c r="F1414" s="20" t="s">
        <v>1229</v>
      </c>
      <c r="G1414" s="9" t="s">
        <v>274</v>
      </c>
      <c r="H1414" s="8" t="s">
        <v>394</v>
      </c>
      <c r="I1414" s="7" t="s">
        <v>1031</v>
      </c>
    </row>
    <row r="1415" spans="1:9" x14ac:dyDescent="0.35">
      <c r="A1415" s="19" t="str">
        <f t="shared" si="25"/>
        <v>JACINTOREQ-96</v>
      </c>
      <c r="B1415" s="19" t="str">
        <f>HYPERLINK("https://jira.itg.ti.com/browse/PDK-2646","PDK-2646")</f>
        <v>PDK-2646</v>
      </c>
      <c r="C1415" s="18" t="s">
        <v>624</v>
      </c>
      <c r="D1415" s="18" t="s">
        <v>467</v>
      </c>
      <c r="E1415" s="18" t="s">
        <v>1645</v>
      </c>
      <c r="F1415" s="20" t="s">
        <v>1229</v>
      </c>
      <c r="G1415" s="9" t="s">
        <v>274</v>
      </c>
      <c r="H1415" s="8" t="s">
        <v>394</v>
      </c>
      <c r="I1415" s="7" t="s">
        <v>1031</v>
      </c>
    </row>
    <row r="1416" spans="1:9" x14ac:dyDescent="0.35">
      <c r="A1416" s="19" t="str">
        <f t="shared" si="25"/>
        <v>JACINTOREQ-96</v>
      </c>
      <c r="B1416" s="19" t="str">
        <f>HYPERLINK("https://jira.itg.ti.com/browse/PDK-2908","PDK-2908")</f>
        <v>PDK-2908</v>
      </c>
      <c r="C1416" s="18" t="s">
        <v>154</v>
      </c>
      <c r="D1416" s="18" t="s">
        <v>467</v>
      </c>
      <c r="E1416" s="18" t="s">
        <v>1645</v>
      </c>
      <c r="F1416" s="20" t="s">
        <v>1229</v>
      </c>
      <c r="G1416" s="9" t="s">
        <v>1163</v>
      </c>
      <c r="H1416" s="8" t="s">
        <v>394</v>
      </c>
      <c r="I1416" s="7" t="s">
        <v>1031</v>
      </c>
    </row>
    <row r="1417" spans="1:9" x14ac:dyDescent="0.35">
      <c r="A1417" s="19" t="str">
        <f t="shared" si="25"/>
        <v>JACINTOREQ-96</v>
      </c>
      <c r="B1417" s="19" t="str">
        <f>HYPERLINK("https://jira.itg.ti.com/browse/PDK-2927","PDK-2927")</f>
        <v>PDK-2927</v>
      </c>
      <c r="C1417" s="18" t="s">
        <v>671</v>
      </c>
      <c r="D1417" s="18" t="s">
        <v>467</v>
      </c>
      <c r="E1417" s="18" t="s">
        <v>1645</v>
      </c>
      <c r="F1417" s="20" t="s">
        <v>1229</v>
      </c>
      <c r="G1417" s="9" t="s">
        <v>200</v>
      </c>
      <c r="H1417" s="8" t="s">
        <v>394</v>
      </c>
      <c r="I1417" s="7" t="s">
        <v>1031</v>
      </c>
    </row>
    <row r="1418" spans="1:9" x14ac:dyDescent="0.35">
      <c r="A1418" s="19" t="str">
        <f t="shared" si="25"/>
        <v>JACINTOREQ-96</v>
      </c>
      <c r="B1418" s="19" t="str">
        <f>HYPERLINK("https://jira.itg.ti.com/browse/PDK-2982","PDK-2982")</f>
        <v>PDK-2982</v>
      </c>
      <c r="C1418" s="18" t="s">
        <v>1526</v>
      </c>
      <c r="D1418" s="18" t="s">
        <v>467</v>
      </c>
      <c r="E1418" s="18" t="s">
        <v>1645</v>
      </c>
      <c r="F1418" s="20" t="s">
        <v>1229</v>
      </c>
      <c r="G1418" s="9" t="s">
        <v>1163</v>
      </c>
      <c r="H1418" s="8" t="s">
        <v>394</v>
      </c>
      <c r="I1418" s="7" t="s">
        <v>1031</v>
      </c>
    </row>
    <row r="1419" spans="1:9" ht="25.5" x14ac:dyDescent="0.35">
      <c r="A1419" s="19" t="str">
        <f t="shared" si="25"/>
        <v>JACINTOREQ-96</v>
      </c>
      <c r="B1419" s="19" t="str">
        <f>HYPERLINK("https://jira.itg.ti.com/browse/PDK-3333","PDK-3333")</f>
        <v>PDK-3333</v>
      </c>
      <c r="C1419" s="18" t="s">
        <v>1119</v>
      </c>
      <c r="D1419" s="18" t="s">
        <v>120</v>
      </c>
      <c r="E1419" s="18" t="s">
        <v>1645</v>
      </c>
      <c r="F1419" s="20" t="s">
        <v>1229</v>
      </c>
      <c r="G1419" s="9" t="s">
        <v>1033</v>
      </c>
      <c r="H1419" s="8" t="s">
        <v>394</v>
      </c>
      <c r="I1419" s="7" t="s">
        <v>1031</v>
      </c>
    </row>
    <row r="1420" spans="1:9" ht="25.5" x14ac:dyDescent="0.35">
      <c r="A1420" s="14"/>
      <c r="B1420" s="14"/>
      <c r="C1420" s="14"/>
      <c r="D1420" s="14"/>
      <c r="E1420" s="14"/>
      <c r="F1420" s="14"/>
      <c r="G1420" s="10" t="s">
        <v>925</v>
      </c>
      <c r="H1420" s="8" t="s">
        <v>394</v>
      </c>
    </row>
    <row r="1421" spans="1:9" ht="25.5" x14ac:dyDescent="0.35">
      <c r="A1421" s="14"/>
      <c r="B1421" s="14"/>
      <c r="C1421" s="14"/>
      <c r="D1421" s="14"/>
      <c r="E1421" s="14"/>
      <c r="F1421" s="14"/>
      <c r="G1421" s="10" t="s">
        <v>484</v>
      </c>
      <c r="H1421" s="8" t="s">
        <v>394</v>
      </c>
    </row>
    <row r="1422" spans="1:9" ht="25.5" x14ac:dyDescent="0.35">
      <c r="A1422" s="14"/>
      <c r="B1422" s="14"/>
      <c r="C1422" s="14"/>
      <c r="D1422" s="14"/>
      <c r="E1422" s="14"/>
      <c r="F1422" s="14"/>
      <c r="G1422" s="10" t="s">
        <v>53</v>
      </c>
      <c r="H1422" s="8" t="s">
        <v>394</v>
      </c>
    </row>
    <row r="1423" spans="1:9" x14ac:dyDescent="0.35">
      <c r="A1423" s="19"/>
      <c r="B1423" s="19"/>
      <c r="C1423" s="18"/>
      <c r="D1423" s="18"/>
      <c r="E1423" s="18"/>
      <c r="F1423" s="20"/>
      <c r="G1423" s="10" t="s">
        <v>1608</v>
      </c>
      <c r="H1423" s="8" t="s">
        <v>394</v>
      </c>
    </row>
    <row r="1424" spans="1:9" ht="25.5" x14ac:dyDescent="0.35">
      <c r="A1424" s="18" t="s">
        <v>614</v>
      </c>
      <c r="B1424" s="19" t="str">
        <f>HYPERLINK("https://jira.itg.ti.com/browse/PDK-4858","PDK-4858")</f>
        <v>PDK-4858</v>
      </c>
      <c r="C1424" s="18" t="s">
        <v>1007</v>
      </c>
      <c r="D1424" s="18" t="s">
        <v>571</v>
      </c>
      <c r="E1424" s="18" t="s">
        <v>1645</v>
      </c>
      <c r="F1424" s="20" t="s">
        <v>1229</v>
      </c>
      <c r="G1424" s="9" t="s">
        <v>113</v>
      </c>
      <c r="H1424" s="8" t="s">
        <v>394</v>
      </c>
      <c r="I1424" s="7" t="s">
        <v>1031</v>
      </c>
    </row>
    <row r="1425" spans="1:9" x14ac:dyDescent="0.35">
      <c r="A1425" s="14"/>
      <c r="B1425" s="14"/>
      <c r="C1425" s="14"/>
      <c r="D1425" s="14"/>
      <c r="E1425" s="14"/>
      <c r="F1425" s="14"/>
      <c r="G1425" s="10" t="s">
        <v>492</v>
      </c>
      <c r="H1425" s="8" t="s">
        <v>394</v>
      </c>
    </row>
    <row r="1426" spans="1:9" x14ac:dyDescent="0.35">
      <c r="A1426" s="14"/>
      <c r="B1426" s="14"/>
      <c r="C1426" s="14"/>
      <c r="D1426" s="14"/>
      <c r="E1426" s="14"/>
      <c r="F1426" s="14"/>
      <c r="G1426" s="10" t="s">
        <v>1070</v>
      </c>
      <c r="H1426" s="8" t="s">
        <v>394</v>
      </c>
    </row>
    <row r="1427" spans="1:9" x14ac:dyDescent="0.35">
      <c r="A1427" s="18"/>
      <c r="B1427" s="19"/>
      <c r="C1427" s="18"/>
      <c r="D1427" s="18"/>
      <c r="E1427" s="18"/>
      <c r="F1427" s="20"/>
      <c r="G1427" s="10" t="s">
        <v>1623</v>
      </c>
      <c r="H1427" s="8" t="s">
        <v>394</v>
      </c>
    </row>
    <row r="1428" spans="1:9" ht="25.5" x14ac:dyDescent="0.35">
      <c r="A1428" s="18" t="s">
        <v>614</v>
      </c>
      <c r="B1428" s="19" t="str">
        <f>HYPERLINK("https://jira.itg.ti.com/browse/PDK-4859","PDK-4859")</f>
        <v>PDK-4859</v>
      </c>
      <c r="C1428" s="18" t="s">
        <v>945</v>
      </c>
      <c r="D1428" s="18" t="s">
        <v>571</v>
      </c>
      <c r="E1428" s="18" t="s">
        <v>1645</v>
      </c>
      <c r="F1428" s="20" t="s">
        <v>1229</v>
      </c>
      <c r="G1428" s="9" t="s">
        <v>771</v>
      </c>
      <c r="H1428" s="8" t="s">
        <v>394</v>
      </c>
      <c r="I1428" s="7" t="s">
        <v>1031</v>
      </c>
    </row>
    <row r="1429" spans="1:9" x14ac:dyDescent="0.35">
      <c r="A1429" s="14"/>
      <c r="B1429" s="14"/>
      <c r="C1429" s="14"/>
      <c r="D1429" s="14"/>
      <c r="E1429" s="14"/>
      <c r="F1429" s="14"/>
      <c r="G1429" s="10" t="s">
        <v>492</v>
      </c>
      <c r="H1429" s="8" t="s">
        <v>394</v>
      </c>
    </row>
    <row r="1430" spans="1:9" x14ac:dyDescent="0.35">
      <c r="A1430" s="14"/>
      <c r="B1430" s="14"/>
      <c r="C1430" s="14"/>
      <c r="D1430" s="14"/>
      <c r="E1430" s="14"/>
      <c r="F1430" s="14"/>
      <c r="G1430" s="10" t="s">
        <v>1070</v>
      </c>
      <c r="H1430" s="8" t="s">
        <v>394</v>
      </c>
    </row>
    <row r="1431" spans="1:9" x14ac:dyDescent="0.35">
      <c r="A1431" s="18"/>
      <c r="B1431" s="19"/>
      <c r="C1431" s="18"/>
      <c r="D1431" s="18"/>
      <c r="E1431" s="18"/>
      <c r="F1431" s="20"/>
      <c r="G1431" s="10" t="s">
        <v>1623</v>
      </c>
      <c r="H1431" s="8" t="s">
        <v>394</v>
      </c>
    </row>
    <row r="1432" spans="1:9" ht="25.5" x14ac:dyDescent="0.35">
      <c r="A1432" s="18" t="s">
        <v>614</v>
      </c>
      <c r="B1432" s="19" t="str">
        <f>HYPERLINK("https://jira.itg.ti.com/browse/PDK-4879","PDK-4879")</f>
        <v>PDK-4879</v>
      </c>
      <c r="C1432" s="18" t="s">
        <v>1532</v>
      </c>
      <c r="D1432" s="18" t="s">
        <v>571</v>
      </c>
      <c r="E1432" s="18" t="s">
        <v>1645</v>
      </c>
      <c r="F1432" s="20" t="s">
        <v>1229</v>
      </c>
      <c r="G1432" s="9" t="s">
        <v>438</v>
      </c>
      <c r="H1432" s="8" t="s">
        <v>394</v>
      </c>
      <c r="I1432" s="7" t="s">
        <v>1031</v>
      </c>
    </row>
    <row r="1433" spans="1:9" x14ac:dyDescent="0.35">
      <c r="A1433" s="14"/>
      <c r="B1433" s="14"/>
      <c r="C1433" s="14"/>
      <c r="D1433" s="14"/>
      <c r="E1433" s="14"/>
      <c r="F1433" s="14"/>
      <c r="G1433" s="10" t="s">
        <v>492</v>
      </c>
      <c r="H1433" s="8" t="s">
        <v>394</v>
      </c>
    </row>
    <row r="1434" spans="1:9" x14ac:dyDescent="0.35">
      <c r="A1434" s="14"/>
      <c r="B1434" s="14"/>
      <c r="C1434" s="14"/>
      <c r="D1434" s="14"/>
      <c r="E1434" s="14"/>
      <c r="F1434" s="14"/>
      <c r="G1434" s="10" t="s">
        <v>1070</v>
      </c>
      <c r="H1434" s="8" t="s">
        <v>394</v>
      </c>
    </row>
    <row r="1435" spans="1:9" x14ac:dyDescent="0.35">
      <c r="A1435" s="18"/>
      <c r="B1435" s="19"/>
      <c r="C1435" s="18"/>
      <c r="D1435" s="18"/>
      <c r="E1435" s="18"/>
      <c r="F1435" s="20"/>
      <c r="G1435" s="10" t="s">
        <v>1623</v>
      </c>
      <c r="H1435" s="8" t="s">
        <v>394</v>
      </c>
    </row>
    <row r="1436" spans="1:9" ht="25.5" x14ac:dyDescent="0.35">
      <c r="A1436" s="18" t="s">
        <v>614</v>
      </c>
      <c r="B1436" s="19" t="str">
        <f>HYPERLINK("https://jira.itg.ti.com/browse/PDK-4880","PDK-4880")</f>
        <v>PDK-4880</v>
      </c>
      <c r="C1436" s="18" t="s">
        <v>728</v>
      </c>
      <c r="D1436" s="18" t="s">
        <v>571</v>
      </c>
      <c r="E1436" s="18" t="s">
        <v>1645</v>
      </c>
      <c r="F1436" s="20" t="s">
        <v>1229</v>
      </c>
      <c r="G1436" s="9" t="s">
        <v>95</v>
      </c>
      <c r="H1436" s="8" t="s">
        <v>394</v>
      </c>
      <c r="I1436" s="7" t="s">
        <v>1031</v>
      </c>
    </row>
    <row r="1437" spans="1:9" x14ac:dyDescent="0.35">
      <c r="A1437" s="18"/>
      <c r="B1437" s="19"/>
      <c r="C1437" s="18"/>
      <c r="D1437" s="18"/>
      <c r="E1437" s="18"/>
      <c r="F1437" s="20"/>
      <c r="G1437" s="10" t="s">
        <v>492</v>
      </c>
      <c r="H1437" s="8" t="s">
        <v>394</v>
      </c>
    </row>
    <row r="1438" spans="1:9" ht="25.5" x14ac:dyDescent="0.35">
      <c r="A1438" s="18" t="s">
        <v>614</v>
      </c>
      <c r="B1438" s="19" t="str">
        <f>HYPERLINK("https://jira.itg.ti.com/browse/PDK-4888","PDK-4888")</f>
        <v>PDK-4888</v>
      </c>
      <c r="C1438" s="18" t="s">
        <v>308</v>
      </c>
      <c r="D1438" s="18" t="s">
        <v>571</v>
      </c>
      <c r="E1438" s="18" t="s">
        <v>1645</v>
      </c>
      <c r="F1438" s="20" t="s">
        <v>1229</v>
      </c>
      <c r="G1438" s="9" t="s">
        <v>771</v>
      </c>
      <c r="H1438" s="8" t="s">
        <v>394</v>
      </c>
      <c r="I1438" s="7" t="s">
        <v>1031</v>
      </c>
    </row>
    <row r="1439" spans="1:9" x14ac:dyDescent="0.35">
      <c r="A1439" s="14"/>
      <c r="B1439" s="14"/>
      <c r="C1439" s="14"/>
      <c r="D1439" s="14"/>
      <c r="E1439" s="14"/>
      <c r="F1439" s="14"/>
      <c r="G1439" s="10" t="s">
        <v>492</v>
      </c>
      <c r="H1439" s="8" t="s">
        <v>394</v>
      </c>
    </row>
    <row r="1440" spans="1:9" x14ac:dyDescent="0.35">
      <c r="A1440" s="14"/>
      <c r="B1440" s="14"/>
      <c r="C1440" s="14"/>
      <c r="D1440" s="14"/>
      <c r="E1440" s="14"/>
      <c r="F1440" s="14"/>
      <c r="G1440" s="10" t="s">
        <v>1070</v>
      </c>
      <c r="H1440" s="8" t="s">
        <v>394</v>
      </c>
    </row>
    <row r="1441" spans="1:9" x14ac:dyDescent="0.35">
      <c r="A1441" s="18"/>
      <c r="B1441" s="19"/>
      <c r="C1441" s="18"/>
      <c r="D1441" s="18"/>
      <c r="E1441" s="18"/>
      <c r="F1441" s="20"/>
      <c r="G1441" s="10" t="s">
        <v>1623</v>
      </c>
      <c r="H1441" s="8" t="s">
        <v>394</v>
      </c>
    </row>
    <row r="1442" spans="1:9" ht="25.5" x14ac:dyDescent="0.35">
      <c r="A1442" s="18" t="s">
        <v>614</v>
      </c>
      <c r="B1442" s="19" t="str">
        <f>HYPERLINK("https://jira.itg.ti.com/browse/PDK-4891","PDK-4891")</f>
        <v>PDK-4891</v>
      </c>
      <c r="C1442" s="18" t="s">
        <v>430</v>
      </c>
      <c r="D1442" s="18" t="s">
        <v>571</v>
      </c>
      <c r="E1442" s="18" t="s">
        <v>1645</v>
      </c>
      <c r="F1442" s="21" t="s">
        <v>419</v>
      </c>
      <c r="G1442" s="9" t="s">
        <v>860</v>
      </c>
      <c r="H1442" s="8" t="s">
        <v>394</v>
      </c>
      <c r="I1442" s="7" t="s">
        <v>1031</v>
      </c>
    </row>
    <row r="1443" spans="1:9" x14ac:dyDescent="0.35">
      <c r="A1443" s="14"/>
      <c r="B1443" s="14"/>
      <c r="C1443" s="14"/>
      <c r="D1443" s="14"/>
      <c r="E1443" s="14"/>
      <c r="F1443" s="14"/>
      <c r="G1443" s="10" t="s">
        <v>1</v>
      </c>
      <c r="H1443" s="8" t="s">
        <v>394</v>
      </c>
    </row>
    <row r="1444" spans="1:9" x14ac:dyDescent="0.35">
      <c r="A1444" s="14"/>
      <c r="B1444" s="14"/>
      <c r="C1444" s="14"/>
      <c r="D1444" s="14"/>
      <c r="E1444" s="14"/>
      <c r="F1444" s="14"/>
      <c r="G1444" s="10" t="s">
        <v>492</v>
      </c>
      <c r="H1444" s="8" t="s">
        <v>394</v>
      </c>
    </row>
    <row r="1445" spans="1:9" x14ac:dyDescent="0.35">
      <c r="A1445" s="14"/>
      <c r="B1445" s="14"/>
      <c r="C1445" s="14"/>
      <c r="D1445" s="14"/>
      <c r="E1445" s="14"/>
      <c r="F1445" s="14"/>
      <c r="G1445" s="10" t="s">
        <v>1063</v>
      </c>
      <c r="H1445" s="11" t="s">
        <v>313</v>
      </c>
    </row>
    <row r="1446" spans="1:9" x14ac:dyDescent="0.35">
      <c r="A1446" s="18"/>
      <c r="B1446" s="19"/>
      <c r="C1446" s="18"/>
      <c r="D1446" s="18"/>
      <c r="E1446" s="18"/>
      <c r="F1446" s="21"/>
      <c r="G1446" s="10" t="s">
        <v>1070</v>
      </c>
      <c r="H1446" s="8" t="s">
        <v>394</v>
      </c>
    </row>
    <row r="1447" spans="1:9" ht="25.5" x14ac:dyDescent="0.35">
      <c r="A1447" s="18" t="s">
        <v>614</v>
      </c>
      <c r="B1447" s="19" t="str">
        <f>HYPERLINK("https://jira.itg.ti.com/browse/PDK-4893","PDK-4893")</f>
        <v>PDK-4893</v>
      </c>
      <c r="C1447" s="18" t="s">
        <v>333</v>
      </c>
      <c r="D1447" s="18" t="s">
        <v>571</v>
      </c>
      <c r="E1447" s="18" t="s">
        <v>1645</v>
      </c>
      <c r="F1447" s="20" t="s">
        <v>1229</v>
      </c>
      <c r="G1447" s="9" t="s">
        <v>771</v>
      </c>
      <c r="H1447" s="8" t="s">
        <v>394</v>
      </c>
      <c r="I1447" s="7" t="s">
        <v>1031</v>
      </c>
    </row>
    <row r="1448" spans="1:9" x14ac:dyDescent="0.35">
      <c r="A1448" s="14"/>
      <c r="B1448" s="14"/>
      <c r="C1448" s="14"/>
      <c r="D1448" s="14"/>
      <c r="E1448" s="14"/>
      <c r="F1448" s="14"/>
      <c r="G1448" s="10" t="s">
        <v>492</v>
      </c>
      <c r="H1448" s="8" t="s">
        <v>394</v>
      </c>
    </row>
    <row r="1449" spans="1:9" x14ac:dyDescent="0.35">
      <c r="A1449" s="14"/>
      <c r="B1449" s="14"/>
      <c r="C1449" s="14"/>
      <c r="D1449" s="14"/>
      <c r="E1449" s="14"/>
      <c r="F1449" s="14"/>
      <c r="G1449" s="10" t="s">
        <v>1070</v>
      </c>
      <c r="H1449" s="8" t="s">
        <v>394</v>
      </c>
    </row>
    <row r="1450" spans="1:9" x14ac:dyDescent="0.35">
      <c r="A1450" s="18"/>
      <c r="B1450" s="19"/>
      <c r="C1450" s="18"/>
      <c r="D1450" s="18"/>
      <c r="E1450" s="18"/>
      <c r="F1450" s="20"/>
      <c r="G1450" s="10" t="s">
        <v>1623</v>
      </c>
      <c r="H1450" s="8" t="s">
        <v>394</v>
      </c>
    </row>
    <row r="1451" spans="1:9" ht="25.5" x14ac:dyDescent="0.35">
      <c r="A1451" s="18" t="s">
        <v>614</v>
      </c>
      <c r="B1451" s="19" t="str">
        <f>HYPERLINK("https://jira.itg.ti.com/browse/PDK-4900","PDK-4900")</f>
        <v>PDK-4900</v>
      </c>
      <c r="C1451" s="18" t="s">
        <v>1238</v>
      </c>
      <c r="D1451" s="18" t="s">
        <v>571</v>
      </c>
      <c r="E1451" s="18" t="s">
        <v>1645</v>
      </c>
      <c r="F1451" s="20" t="s">
        <v>1229</v>
      </c>
      <c r="G1451" s="9" t="s">
        <v>860</v>
      </c>
      <c r="H1451" s="8" t="s">
        <v>394</v>
      </c>
      <c r="I1451" s="7" t="s">
        <v>1031</v>
      </c>
    </row>
    <row r="1452" spans="1:9" x14ac:dyDescent="0.35">
      <c r="A1452" s="14"/>
      <c r="B1452" s="14"/>
      <c r="C1452" s="14"/>
      <c r="D1452" s="14"/>
      <c r="E1452" s="14"/>
      <c r="F1452" s="14"/>
      <c r="G1452" s="10" t="s">
        <v>492</v>
      </c>
      <c r="H1452" s="8" t="s">
        <v>394</v>
      </c>
    </row>
    <row r="1453" spans="1:9" x14ac:dyDescent="0.35">
      <c r="A1453" s="14"/>
      <c r="B1453" s="14"/>
      <c r="C1453" s="14"/>
      <c r="D1453" s="14"/>
      <c r="E1453" s="14"/>
      <c r="F1453" s="14"/>
      <c r="G1453" s="10" t="s">
        <v>1070</v>
      </c>
      <c r="H1453" s="8" t="s">
        <v>394</v>
      </c>
    </row>
    <row r="1454" spans="1:9" x14ac:dyDescent="0.35">
      <c r="A1454" s="18"/>
      <c r="B1454" s="19"/>
      <c r="C1454" s="18"/>
      <c r="D1454" s="18"/>
      <c r="E1454" s="18"/>
      <c r="F1454" s="20"/>
      <c r="G1454" s="10" t="s">
        <v>1623</v>
      </c>
      <c r="H1454" s="8" t="s">
        <v>394</v>
      </c>
    </row>
    <row r="1455" spans="1:9" ht="25.5" x14ac:dyDescent="0.35">
      <c r="A1455" s="18" t="s">
        <v>614</v>
      </c>
      <c r="B1455" s="19" t="str">
        <f>HYPERLINK("https://jira.itg.ti.com/browse/PDK-4902","PDK-4902")</f>
        <v>PDK-4902</v>
      </c>
      <c r="C1455" s="18" t="s">
        <v>1037</v>
      </c>
      <c r="D1455" s="18" t="s">
        <v>571</v>
      </c>
      <c r="E1455" s="18" t="s">
        <v>1645</v>
      </c>
      <c r="F1455" s="20" t="s">
        <v>1229</v>
      </c>
      <c r="G1455" s="9" t="s">
        <v>701</v>
      </c>
      <c r="H1455" s="8" t="s">
        <v>394</v>
      </c>
      <c r="I1455" s="7" t="s">
        <v>1031</v>
      </c>
    </row>
    <row r="1456" spans="1:9" x14ac:dyDescent="0.35">
      <c r="A1456" s="14"/>
      <c r="B1456" s="14"/>
      <c r="C1456" s="14"/>
      <c r="D1456" s="14"/>
      <c r="E1456" s="14"/>
      <c r="F1456" s="14"/>
      <c r="G1456" s="10" t="s">
        <v>492</v>
      </c>
      <c r="H1456" s="8" t="s">
        <v>394</v>
      </c>
    </row>
    <row r="1457" spans="1:9" x14ac:dyDescent="0.35">
      <c r="A1457" s="14"/>
      <c r="B1457" s="14"/>
      <c r="C1457" s="14"/>
      <c r="D1457" s="14"/>
      <c r="E1457" s="14"/>
      <c r="F1457" s="14"/>
      <c r="G1457" s="10" t="s">
        <v>1070</v>
      </c>
      <c r="H1457" s="8" t="s">
        <v>394</v>
      </c>
    </row>
    <row r="1458" spans="1:9" x14ac:dyDescent="0.35">
      <c r="A1458" s="18"/>
      <c r="B1458" s="19"/>
      <c r="C1458" s="18"/>
      <c r="D1458" s="18"/>
      <c r="E1458" s="18"/>
      <c r="F1458" s="20"/>
      <c r="G1458" s="10" t="s">
        <v>1623</v>
      </c>
      <c r="H1458" s="8" t="s">
        <v>394</v>
      </c>
    </row>
    <row r="1459" spans="1:9" ht="25.5" x14ac:dyDescent="0.35">
      <c r="A1459" s="18" t="s">
        <v>614</v>
      </c>
      <c r="B1459" s="19" t="str">
        <f>HYPERLINK("https://jira.itg.ti.com/browse/PDK-4907","PDK-4907")</f>
        <v>PDK-4907</v>
      </c>
      <c r="C1459" s="18" t="s">
        <v>936</v>
      </c>
      <c r="D1459" s="18" t="s">
        <v>571</v>
      </c>
      <c r="E1459" s="18" t="s">
        <v>1645</v>
      </c>
      <c r="F1459" s="20" t="s">
        <v>1229</v>
      </c>
      <c r="G1459" s="9" t="s">
        <v>771</v>
      </c>
      <c r="H1459" s="8" t="s">
        <v>394</v>
      </c>
      <c r="I1459" s="7" t="s">
        <v>1031</v>
      </c>
    </row>
    <row r="1460" spans="1:9" x14ac:dyDescent="0.35">
      <c r="A1460" s="14"/>
      <c r="B1460" s="14"/>
      <c r="C1460" s="14"/>
      <c r="D1460" s="14"/>
      <c r="E1460" s="14"/>
      <c r="F1460" s="14"/>
      <c r="G1460" s="10" t="s">
        <v>1070</v>
      </c>
      <c r="H1460" s="8" t="s">
        <v>394</v>
      </c>
    </row>
    <row r="1461" spans="1:9" x14ac:dyDescent="0.35">
      <c r="A1461" s="18"/>
      <c r="B1461" s="19"/>
      <c r="C1461" s="18"/>
      <c r="D1461" s="18"/>
      <c r="E1461" s="18"/>
      <c r="F1461" s="20"/>
      <c r="G1461" s="10" t="s">
        <v>1623</v>
      </c>
      <c r="H1461" s="8" t="s">
        <v>394</v>
      </c>
    </row>
    <row r="1462" spans="1:9" ht="25.5" x14ac:dyDescent="0.35">
      <c r="A1462" s="18" t="s">
        <v>614</v>
      </c>
      <c r="B1462" s="19" t="str">
        <f>HYPERLINK("https://jira.itg.ti.com/browse/PDK-4910","PDK-4910")</f>
        <v>PDK-4910</v>
      </c>
      <c r="C1462" s="18" t="s">
        <v>1215</v>
      </c>
      <c r="D1462" s="18" t="s">
        <v>571</v>
      </c>
      <c r="E1462" s="18" t="s">
        <v>1645</v>
      </c>
      <c r="F1462" s="21" t="s">
        <v>419</v>
      </c>
      <c r="G1462" s="9" t="s">
        <v>13</v>
      </c>
      <c r="H1462" s="8" t="s">
        <v>394</v>
      </c>
      <c r="I1462" s="7" t="s">
        <v>1031</v>
      </c>
    </row>
    <row r="1463" spans="1:9" x14ac:dyDescent="0.35">
      <c r="A1463" s="14"/>
      <c r="B1463" s="14"/>
      <c r="C1463" s="14"/>
      <c r="D1463" s="14"/>
      <c r="E1463" s="14"/>
      <c r="F1463" s="14"/>
      <c r="G1463" s="10" t="s">
        <v>492</v>
      </c>
      <c r="H1463" s="8" t="s">
        <v>394</v>
      </c>
    </row>
    <row r="1464" spans="1:9" x14ac:dyDescent="0.35">
      <c r="A1464" s="14"/>
      <c r="B1464" s="14"/>
      <c r="C1464" s="14"/>
      <c r="D1464" s="14"/>
      <c r="E1464" s="14"/>
      <c r="F1464" s="14"/>
      <c r="G1464" s="10" t="s">
        <v>1070</v>
      </c>
      <c r="H1464" s="8" t="s">
        <v>394</v>
      </c>
    </row>
    <row r="1465" spans="1:9" x14ac:dyDescent="0.35">
      <c r="A1465" s="14"/>
      <c r="B1465" s="14"/>
      <c r="C1465" s="14"/>
      <c r="D1465" s="14"/>
      <c r="E1465" s="14"/>
      <c r="F1465" s="14"/>
      <c r="G1465" s="10" t="s">
        <v>105</v>
      </c>
      <c r="H1465" s="11" t="s">
        <v>313</v>
      </c>
    </row>
    <row r="1466" spans="1:9" x14ac:dyDescent="0.35">
      <c r="A1466" s="18"/>
      <c r="B1466" s="19"/>
      <c r="C1466" s="18"/>
      <c r="D1466" s="18"/>
      <c r="E1466" s="18"/>
      <c r="F1466" s="21"/>
      <c r="G1466" s="10" t="s">
        <v>1623</v>
      </c>
      <c r="H1466" s="8" t="s">
        <v>394</v>
      </c>
    </row>
    <row r="1467" spans="1:9" x14ac:dyDescent="0.35">
      <c r="A1467" s="19" t="str">
        <f t="shared" ref="A1467:A1473" si="26">HYPERLINK("https://jira.itg.ti.com/browse/MCUREQ-152","MCUREQ-152")</f>
        <v>MCUREQ-152</v>
      </c>
      <c r="B1467" s="19" t="str">
        <f>HYPERLINK("https://jira.itg.ti.com/browse/PDK-4853","PDK-4853")</f>
        <v>PDK-4853</v>
      </c>
      <c r="C1467" s="18" t="s">
        <v>294</v>
      </c>
      <c r="D1467" s="18" t="s">
        <v>1208</v>
      </c>
      <c r="E1467" s="18" t="s">
        <v>1645</v>
      </c>
      <c r="F1467" s="20" t="s">
        <v>1229</v>
      </c>
      <c r="G1467" s="9" t="s">
        <v>261</v>
      </c>
      <c r="H1467" s="8" t="s">
        <v>394</v>
      </c>
      <c r="I1467" s="7" t="s">
        <v>1031</v>
      </c>
    </row>
    <row r="1468" spans="1:9" x14ac:dyDescent="0.35">
      <c r="A1468" s="19" t="str">
        <f t="shared" si="26"/>
        <v>MCUREQ-152</v>
      </c>
      <c r="B1468" s="19" t="str">
        <f>HYPERLINK("https://jira.itg.ti.com/browse/PDK-4860","PDK-4860")</f>
        <v>PDK-4860</v>
      </c>
      <c r="C1468" s="18" t="s">
        <v>519</v>
      </c>
      <c r="D1468" s="18" t="s">
        <v>1208</v>
      </c>
      <c r="E1468" s="18" t="s">
        <v>1645</v>
      </c>
      <c r="F1468" s="20" t="s">
        <v>1229</v>
      </c>
      <c r="G1468" s="9" t="s">
        <v>138</v>
      </c>
      <c r="H1468" s="8" t="s">
        <v>394</v>
      </c>
      <c r="I1468" s="7" t="s">
        <v>1031</v>
      </c>
    </row>
    <row r="1469" spans="1:9" x14ac:dyDescent="0.35">
      <c r="A1469" s="19" t="str">
        <f t="shared" si="26"/>
        <v>MCUREQ-152</v>
      </c>
      <c r="B1469" s="19" t="str">
        <f>HYPERLINK("https://jira.itg.ti.com/browse/PDK-4873","PDK-4873")</f>
        <v>PDK-4873</v>
      </c>
      <c r="C1469" s="18" t="s">
        <v>876</v>
      </c>
      <c r="D1469" s="18" t="s">
        <v>1208</v>
      </c>
      <c r="E1469" s="18" t="s">
        <v>1645</v>
      </c>
      <c r="F1469" s="20" t="s">
        <v>1229</v>
      </c>
      <c r="G1469" s="9" t="s">
        <v>914</v>
      </c>
      <c r="H1469" s="8" t="s">
        <v>394</v>
      </c>
      <c r="I1469" s="7" t="s">
        <v>1031</v>
      </c>
    </row>
    <row r="1470" spans="1:9" x14ac:dyDescent="0.35">
      <c r="A1470" s="19" t="str">
        <f t="shared" si="26"/>
        <v>MCUREQ-152</v>
      </c>
      <c r="B1470" s="19" t="str">
        <f>HYPERLINK("https://jira.itg.ti.com/browse/PDK-4881","PDK-4881")</f>
        <v>PDK-4881</v>
      </c>
      <c r="C1470" s="18" t="s">
        <v>908</v>
      </c>
      <c r="D1470" s="18" t="s">
        <v>1208</v>
      </c>
      <c r="E1470" s="18" t="s">
        <v>1645</v>
      </c>
      <c r="F1470" s="20" t="s">
        <v>1229</v>
      </c>
      <c r="G1470" s="9" t="s">
        <v>1476</v>
      </c>
      <c r="H1470" s="8" t="s">
        <v>394</v>
      </c>
      <c r="I1470" s="7" t="s">
        <v>1031</v>
      </c>
    </row>
    <row r="1471" spans="1:9" x14ac:dyDescent="0.35">
      <c r="A1471" s="19" t="str">
        <f t="shared" si="26"/>
        <v>MCUREQ-152</v>
      </c>
      <c r="B1471" s="19" t="str">
        <f>HYPERLINK("https://jira.itg.ti.com/browse/PDK-4886","PDK-4886")</f>
        <v>PDK-4886</v>
      </c>
      <c r="C1471" s="18" t="s">
        <v>748</v>
      </c>
      <c r="D1471" s="18" t="s">
        <v>1208</v>
      </c>
      <c r="E1471" s="18" t="s">
        <v>1645</v>
      </c>
      <c r="F1471" s="20" t="s">
        <v>1229</v>
      </c>
      <c r="G1471" s="9" t="s">
        <v>1617</v>
      </c>
      <c r="H1471" s="8" t="s">
        <v>394</v>
      </c>
      <c r="I1471" s="7" t="s">
        <v>1031</v>
      </c>
    </row>
    <row r="1472" spans="1:9" x14ac:dyDescent="0.35">
      <c r="A1472" s="19" t="str">
        <f t="shared" si="26"/>
        <v>MCUREQ-152</v>
      </c>
      <c r="B1472" s="19" t="str">
        <f>HYPERLINK("https://jira.itg.ti.com/browse/PDK-4890","PDK-4890")</f>
        <v>PDK-4890</v>
      </c>
      <c r="C1472" s="18" t="s">
        <v>1523</v>
      </c>
      <c r="D1472" s="18" t="s">
        <v>1208</v>
      </c>
      <c r="E1472" s="18" t="s">
        <v>1645</v>
      </c>
      <c r="F1472" s="20" t="s">
        <v>1229</v>
      </c>
      <c r="G1472" s="9" t="s">
        <v>1666</v>
      </c>
      <c r="H1472" s="8" t="s">
        <v>394</v>
      </c>
      <c r="I1472" s="7" t="s">
        <v>1031</v>
      </c>
    </row>
    <row r="1473" spans="1:9" x14ac:dyDescent="0.35">
      <c r="A1473" s="19" t="str">
        <f t="shared" si="26"/>
        <v>MCUREQ-152</v>
      </c>
      <c r="B1473" s="19" t="str">
        <f>HYPERLINK("https://jira.itg.ti.com/browse/PDK-4912","PDK-4912")</f>
        <v>PDK-4912</v>
      </c>
      <c r="C1473" s="18" t="s">
        <v>1003</v>
      </c>
      <c r="D1473" s="18" t="s">
        <v>1208</v>
      </c>
      <c r="E1473" s="18" t="s">
        <v>1645</v>
      </c>
      <c r="F1473" s="20" t="s">
        <v>1229</v>
      </c>
      <c r="G1473" s="9" t="s">
        <v>1074</v>
      </c>
      <c r="H1473" s="8" t="s">
        <v>394</v>
      </c>
      <c r="I1473" s="7" t="s">
        <v>1031</v>
      </c>
    </row>
    <row r="1474" spans="1:9" x14ac:dyDescent="0.35">
      <c r="A1474" s="18" t="s">
        <v>1464</v>
      </c>
      <c r="B1474" s="19" t="str">
        <f>HYPERLINK("https://jira.itg.ti.com/browse/PDK-4889","PDK-4889")</f>
        <v>PDK-4889</v>
      </c>
      <c r="C1474" s="18" t="s">
        <v>1254</v>
      </c>
      <c r="D1474" s="18" t="s">
        <v>1208</v>
      </c>
      <c r="E1474" s="18" t="s">
        <v>1645</v>
      </c>
      <c r="F1474" s="20" t="s">
        <v>1229</v>
      </c>
      <c r="G1474" s="9" t="s">
        <v>514</v>
      </c>
      <c r="H1474" s="8" t="s">
        <v>394</v>
      </c>
      <c r="I1474" s="7" t="s">
        <v>1031</v>
      </c>
    </row>
    <row r="1475" spans="1:9" x14ac:dyDescent="0.35">
      <c r="A1475" s="18"/>
      <c r="B1475" s="19"/>
      <c r="C1475" s="18"/>
      <c r="D1475" s="18"/>
      <c r="E1475" s="18"/>
      <c r="F1475" s="20"/>
      <c r="G1475" s="10" t="s">
        <v>48</v>
      </c>
      <c r="H1475" s="8" t="s">
        <v>394</v>
      </c>
    </row>
    <row r="1476" spans="1:9" ht="25.5" x14ac:dyDescent="0.35">
      <c r="A1476" s="19" t="str">
        <f>HYPERLINK("https://jira.itg.ti.com/browse/JACINTOREQ-358","JACINTOREQ-358")</f>
        <v>JACINTOREQ-358</v>
      </c>
      <c r="B1476" s="19" t="str">
        <f>HYPERLINK("https://jira.itg.ti.com/browse/PDK-2685","PDK-2685")</f>
        <v>PDK-2685</v>
      </c>
      <c r="C1476" s="18" t="s">
        <v>589</v>
      </c>
      <c r="D1476" s="18" t="s">
        <v>1301</v>
      </c>
      <c r="E1476" s="18" t="s">
        <v>1645</v>
      </c>
      <c r="F1476" s="20" t="s">
        <v>1229</v>
      </c>
      <c r="G1476" s="9" t="s">
        <v>1658</v>
      </c>
      <c r="H1476" s="8" t="s">
        <v>394</v>
      </c>
      <c r="I1476" s="7" t="s">
        <v>1031</v>
      </c>
    </row>
    <row r="1477" spans="1:9" x14ac:dyDescent="0.35">
      <c r="A1477" s="19" t="str">
        <f>HYPERLINK("https://jira.itg.ti.com/browse/JACINTOREQ-358","JACINTOREQ-358")</f>
        <v>JACINTOREQ-358</v>
      </c>
      <c r="B1477" s="19" t="str">
        <f>HYPERLINK("https://jira.itg.ti.com/browse/PDK-2547","PDK-2547")</f>
        <v>PDK-2547</v>
      </c>
      <c r="C1477" s="18" t="s">
        <v>1218</v>
      </c>
      <c r="D1477" s="18" t="s">
        <v>1301</v>
      </c>
      <c r="E1477" s="18" t="s">
        <v>1645</v>
      </c>
      <c r="F1477" s="20" t="s">
        <v>1229</v>
      </c>
      <c r="G1477" s="9" t="s">
        <v>1202</v>
      </c>
      <c r="H1477" s="8" t="s">
        <v>394</v>
      </c>
      <c r="I1477" s="7" t="s">
        <v>1031</v>
      </c>
    </row>
    <row r="1478" spans="1:9" x14ac:dyDescent="0.35">
      <c r="A1478" s="19" t="str">
        <f>HYPERLINK("https://jira.itg.ti.com/browse/JACINTOREQ-358","JACINTOREQ-358")</f>
        <v>JACINTOREQ-358</v>
      </c>
      <c r="B1478" s="19" t="str">
        <f>HYPERLINK("https://jira.itg.ti.com/browse/PDK-2560","PDK-2560")</f>
        <v>PDK-2560</v>
      </c>
      <c r="C1478" s="18" t="s">
        <v>871</v>
      </c>
      <c r="D1478" s="18" t="s">
        <v>1268</v>
      </c>
      <c r="E1478" s="18" t="s">
        <v>1645</v>
      </c>
      <c r="F1478" s="20" t="s">
        <v>1229</v>
      </c>
      <c r="G1478" s="9" t="s">
        <v>1143</v>
      </c>
      <c r="H1478" s="8" t="s">
        <v>394</v>
      </c>
      <c r="I1478" s="7" t="s">
        <v>1031</v>
      </c>
    </row>
    <row r="1479" spans="1:9" x14ac:dyDescent="0.35">
      <c r="A1479" s="19" t="str">
        <f>HYPERLINK("https://jira.itg.ti.com/browse/JACINTOREQ-358","JACINTOREQ-358")</f>
        <v>JACINTOREQ-358</v>
      </c>
      <c r="B1479" s="19" t="str">
        <f>HYPERLINK("https://jira.itg.ti.com/browse/PDK-2655","PDK-2655")</f>
        <v>PDK-2655</v>
      </c>
      <c r="C1479" s="18" t="s">
        <v>1279</v>
      </c>
      <c r="D1479" s="18" t="s">
        <v>1268</v>
      </c>
      <c r="E1479" s="18" t="s">
        <v>1645</v>
      </c>
      <c r="F1479" s="20" t="s">
        <v>1229</v>
      </c>
      <c r="G1479" s="9" t="s">
        <v>1143</v>
      </c>
      <c r="H1479" s="8" t="s">
        <v>394</v>
      </c>
      <c r="I1479" s="7" t="s">
        <v>1031</v>
      </c>
    </row>
    <row r="1480" spans="1:9" x14ac:dyDescent="0.35">
      <c r="A1480" s="19" t="str">
        <f>HYPERLINK("https://jira.itg.ti.com/browse/PROC_SOC-1034","PROC_SOC-1034")</f>
        <v>PROC_SOC-1034</v>
      </c>
      <c r="B1480" s="19" t="str">
        <f>HYPERLINK("https://jira.itg.ti.com/browse/PDK-5083","PDK-5083")</f>
        <v>PDK-5083</v>
      </c>
      <c r="C1480" s="18" t="s">
        <v>1656</v>
      </c>
      <c r="D1480" s="18" t="s">
        <v>210</v>
      </c>
      <c r="E1480" s="18" t="s">
        <v>1645</v>
      </c>
      <c r="F1480" s="22" t="s">
        <v>552</v>
      </c>
      <c r="G1480" s="9" t="s">
        <v>753</v>
      </c>
      <c r="H1480" s="11" t="s">
        <v>313</v>
      </c>
      <c r="I1480" s="7" t="s">
        <v>1031</v>
      </c>
    </row>
    <row r="1481" spans="1:9" x14ac:dyDescent="0.35">
      <c r="A1481" s="18" t="s">
        <v>1117</v>
      </c>
      <c r="B1481" s="19" t="str">
        <f>HYPERLINK("https://jira.itg.ti.com/browse/PDK-5071","PDK-5071")</f>
        <v>PDK-5071</v>
      </c>
      <c r="C1481" s="18" t="s">
        <v>998</v>
      </c>
      <c r="D1481" s="18" t="s">
        <v>1051</v>
      </c>
      <c r="E1481" s="18" t="s">
        <v>1645</v>
      </c>
      <c r="F1481" s="20" t="s">
        <v>1229</v>
      </c>
      <c r="G1481" s="9" t="s">
        <v>1161</v>
      </c>
      <c r="H1481" s="8" t="s">
        <v>394</v>
      </c>
      <c r="I1481" s="7" t="s">
        <v>1031</v>
      </c>
    </row>
    <row r="1482" spans="1:9" x14ac:dyDescent="0.35">
      <c r="A1482" s="14"/>
      <c r="B1482" s="14"/>
      <c r="C1482" s="14"/>
      <c r="D1482" s="14"/>
      <c r="E1482" s="14"/>
      <c r="F1482" s="14"/>
      <c r="G1482" s="10" t="s">
        <v>200</v>
      </c>
      <c r="H1482" s="8" t="s">
        <v>394</v>
      </c>
    </row>
    <row r="1483" spans="1:9" x14ac:dyDescent="0.35">
      <c r="A1483" s="14"/>
      <c r="B1483" s="14"/>
      <c r="C1483" s="14"/>
      <c r="D1483" s="14"/>
      <c r="E1483" s="14"/>
      <c r="F1483" s="14"/>
      <c r="G1483" s="10" t="s">
        <v>988</v>
      </c>
      <c r="H1483" s="8" t="s">
        <v>394</v>
      </c>
    </row>
    <row r="1484" spans="1:9" x14ac:dyDescent="0.35">
      <c r="A1484" s="14"/>
      <c r="B1484" s="14"/>
      <c r="C1484" s="14"/>
      <c r="D1484" s="14"/>
      <c r="E1484" s="14"/>
      <c r="F1484" s="14"/>
      <c r="G1484" s="10" t="s">
        <v>647</v>
      </c>
      <c r="H1484" s="8" t="s">
        <v>394</v>
      </c>
    </row>
    <row r="1485" spans="1:9" x14ac:dyDescent="0.35">
      <c r="A1485" s="18"/>
      <c r="B1485" s="19"/>
      <c r="C1485" s="18"/>
      <c r="D1485" s="18"/>
      <c r="E1485" s="18"/>
      <c r="F1485" s="20"/>
      <c r="G1485" s="10" t="s">
        <v>1135</v>
      </c>
      <c r="H1485" s="8" t="s">
        <v>394</v>
      </c>
    </row>
    <row r="1486" spans="1:9" x14ac:dyDescent="0.35">
      <c r="A1486" s="18" t="s">
        <v>537</v>
      </c>
      <c r="B1486" s="19" t="str">
        <f>HYPERLINK("https://jira.itg.ti.com/browse/PDK-4928","PDK-4928")</f>
        <v>PDK-4928</v>
      </c>
      <c r="C1486" s="18" t="s">
        <v>1346</v>
      </c>
      <c r="D1486" s="18" t="s">
        <v>1051</v>
      </c>
      <c r="E1486" s="18" t="s">
        <v>1645</v>
      </c>
      <c r="F1486" s="20" t="s">
        <v>1229</v>
      </c>
      <c r="G1486" s="9" t="s">
        <v>758</v>
      </c>
      <c r="H1486" s="8" t="s">
        <v>394</v>
      </c>
      <c r="I1486" s="7" t="s">
        <v>1031</v>
      </c>
    </row>
    <row r="1487" spans="1:9" x14ac:dyDescent="0.35">
      <c r="A1487" s="19" t="str">
        <f>HYPERLINK("https://jira.itg.ti.com/browse/PROC_SOC-11","PROC_SOC-11")</f>
        <v>PROC_SOC-11</v>
      </c>
      <c r="B1487" s="19" t="str">
        <f>HYPERLINK("https://jira.itg.ti.com/browse/PDK-5386","PDK-5386")</f>
        <v>PDK-5386</v>
      </c>
      <c r="C1487" s="18" t="s">
        <v>1551</v>
      </c>
      <c r="D1487" s="18" t="s">
        <v>1350</v>
      </c>
      <c r="E1487" s="18" t="s">
        <v>1645</v>
      </c>
      <c r="F1487" s="20" t="s">
        <v>1229</v>
      </c>
      <c r="G1487" s="9" t="s">
        <v>1074</v>
      </c>
      <c r="H1487" s="8" t="s">
        <v>394</v>
      </c>
      <c r="I1487" s="7" t="s">
        <v>1031</v>
      </c>
    </row>
    <row r="1488" spans="1:9" x14ac:dyDescent="0.35">
      <c r="A1488" s="19" t="str">
        <f>HYPERLINK("https://jira.itg.ti.com/browse/PROC_SOC-11","PROC_SOC-11")</f>
        <v>PROC_SOC-11</v>
      </c>
      <c r="B1488" s="19" t="str">
        <f>HYPERLINK("https://jira.itg.ti.com/browse/PDK-5387","PDK-5387")</f>
        <v>PDK-5387</v>
      </c>
      <c r="C1488" s="18" t="s">
        <v>939</v>
      </c>
      <c r="D1488" s="18" t="s">
        <v>1487</v>
      </c>
      <c r="E1488" s="18" t="s">
        <v>1645</v>
      </c>
      <c r="F1488" s="20" t="s">
        <v>1229</v>
      </c>
      <c r="G1488" s="9" t="s">
        <v>195</v>
      </c>
      <c r="H1488" s="8" t="s">
        <v>394</v>
      </c>
      <c r="I1488" s="7" t="s">
        <v>1031</v>
      </c>
    </row>
    <row r="1489" spans="1:9" x14ac:dyDescent="0.35">
      <c r="A1489" s="19" t="str">
        <f>HYPERLINK("https://jira.itg.ti.com/browse/PROC_SOC-11","PROC_SOC-11")</f>
        <v>PROC_SOC-11</v>
      </c>
      <c r="B1489" s="19" t="str">
        <f>HYPERLINK("https://jira.itg.ti.com/browse/PDK-5388","PDK-5388")</f>
        <v>PDK-5388</v>
      </c>
      <c r="C1489" s="18" t="s">
        <v>182</v>
      </c>
      <c r="D1489" s="18" t="s">
        <v>1487</v>
      </c>
      <c r="E1489" s="18" t="s">
        <v>1645</v>
      </c>
      <c r="F1489" s="20" t="s">
        <v>1229</v>
      </c>
      <c r="G1489" s="9" t="s">
        <v>679</v>
      </c>
      <c r="H1489" s="8" t="s">
        <v>394</v>
      </c>
      <c r="I1489" s="7" t="s">
        <v>1031</v>
      </c>
    </row>
    <row r="1490" spans="1:9" x14ac:dyDescent="0.35">
      <c r="A1490" s="19" t="str">
        <f>HYPERLINK("https://jira.itg.ti.com/browse/PROC_SOC-167","PROC_SOC-167")</f>
        <v>PROC_SOC-167</v>
      </c>
      <c r="B1490" s="19" t="str">
        <f>HYPERLINK("https://jira.itg.ti.com/browse/PDK-7095","PDK-7095")</f>
        <v>PDK-7095</v>
      </c>
      <c r="C1490" s="18" t="s">
        <v>843</v>
      </c>
      <c r="D1490" s="18" t="s">
        <v>1051</v>
      </c>
      <c r="E1490" s="18" t="s">
        <v>1645</v>
      </c>
      <c r="F1490" s="20" t="s">
        <v>1229</v>
      </c>
      <c r="G1490" s="9" t="s">
        <v>495</v>
      </c>
      <c r="H1490" s="8" t="s">
        <v>394</v>
      </c>
      <c r="I1490" s="7" t="s">
        <v>1031</v>
      </c>
    </row>
    <row r="1491" spans="1:9" x14ac:dyDescent="0.35">
      <c r="A1491" s="18" t="s">
        <v>345</v>
      </c>
      <c r="B1491" s="19" t="str">
        <f>HYPERLINK("https://jira.itg.ti.com/browse/PDK-5402","PDK-5402")</f>
        <v>PDK-5402</v>
      </c>
      <c r="C1491" s="18" t="s">
        <v>1490</v>
      </c>
      <c r="D1491" s="18" t="s">
        <v>143</v>
      </c>
      <c r="E1491" s="18" t="s">
        <v>1645</v>
      </c>
      <c r="F1491" s="20" t="s">
        <v>1229</v>
      </c>
      <c r="G1491" s="9" t="s">
        <v>1623</v>
      </c>
      <c r="H1491" s="8" t="s">
        <v>394</v>
      </c>
      <c r="I1491" s="7" t="s">
        <v>1031</v>
      </c>
    </row>
    <row r="1492" spans="1:9" ht="25.5" x14ac:dyDescent="0.35">
      <c r="A1492" s="18" t="s">
        <v>345</v>
      </c>
      <c r="B1492" s="19" t="str">
        <f>HYPERLINK("https://jira.itg.ti.com/browse/PDK-5403","PDK-5403")</f>
        <v>PDK-5403</v>
      </c>
      <c r="C1492" s="18" t="s">
        <v>1570</v>
      </c>
      <c r="D1492" s="18" t="s">
        <v>143</v>
      </c>
      <c r="E1492" s="18" t="s">
        <v>1645</v>
      </c>
      <c r="F1492" s="20" t="s">
        <v>1229</v>
      </c>
      <c r="G1492" s="9" t="s">
        <v>438</v>
      </c>
      <c r="H1492" s="8" t="s">
        <v>394</v>
      </c>
      <c r="I1492" s="7" t="s">
        <v>1031</v>
      </c>
    </row>
    <row r="1493" spans="1:9" ht="25.5" x14ac:dyDescent="0.35">
      <c r="A1493" s="18" t="s">
        <v>345</v>
      </c>
      <c r="B1493" s="19" t="str">
        <f>HYPERLINK("https://jira.itg.ti.com/browse/PDK-5404","PDK-5404")</f>
        <v>PDK-5404</v>
      </c>
      <c r="C1493" s="18" t="s">
        <v>1675</v>
      </c>
      <c r="D1493" s="18" t="s">
        <v>143</v>
      </c>
      <c r="E1493" s="18" t="s">
        <v>1645</v>
      </c>
      <c r="F1493" s="20" t="s">
        <v>1229</v>
      </c>
      <c r="G1493" s="9" t="s">
        <v>113</v>
      </c>
      <c r="H1493" s="8" t="s">
        <v>394</v>
      </c>
      <c r="I1493" s="7" t="s">
        <v>1031</v>
      </c>
    </row>
    <row r="1494" spans="1:9" x14ac:dyDescent="0.35">
      <c r="A1494" s="19" t="str">
        <f>HYPERLINK("https://jira.itg.ti.com/browse/PROC_SOC-2602","PROC_SOC-2602")</f>
        <v>PROC_SOC-2602</v>
      </c>
      <c r="B1494" s="19" t="str">
        <f>HYPERLINK("https://jira.itg.ti.com/browse/PDK-7685","PDK-7685")</f>
        <v>PDK-7685</v>
      </c>
      <c r="C1494" s="18" t="s">
        <v>490</v>
      </c>
      <c r="D1494" s="18" t="s">
        <v>1051</v>
      </c>
      <c r="E1494" s="18" t="s">
        <v>1645</v>
      </c>
      <c r="F1494" s="20" t="s">
        <v>1229</v>
      </c>
      <c r="G1494" s="9" t="s">
        <v>495</v>
      </c>
      <c r="H1494" s="8" t="s">
        <v>394</v>
      </c>
      <c r="I1494" s="7" t="s">
        <v>1031</v>
      </c>
    </row>
    <row r="1495" spans="1:9" x14ac:dyDescent="0.35">
      <c r="A1495" s="18" t="s">
        <v>468</v>
      </c>
      <c r="B1495" s="19" t="str">
        <f>HYPERLINK("https://jira.itg.ti.com/browse/PDK-4870","PDK-4870")</f>
        <v>PDK-4870</v>
      </c>
      <c r="C1495" s="18" t="s">
        <v>1173</v>
      </c>
      <c r="D1495" s="18" t="s">
        <v>190</v>
      </c>
      <c r="E1495" s="18" t="s">
        <v>1645</v>
      </c>
      <c r="F1495" s="22" t="s">
        <v>552</v>
      </c>
      <c r="G1495" s="9" t="s">
        <v>1430</v>
      </c>
      <c r="H1495" s="12" t="s">
        <v>1241</v>
      </c>
      <c r="I1495" s="7" t="s">
        <v>1031</v>
      </c>
    </row>
    <row r="1496" spans="1:9" x14ac:dyDescent="0.35">
      <c r="A1496" s="18" t="s">
        <v>252</v>
      </c>
      <c r="B1496" s="19" t="str">
        <f>HYPERLINK("https://jira.itg.ti.com/browse/PDK-4908","PDK-4908")</f>
        <v>PDK-4908</v>
      </c>
      <c r="C1496" s="18" t="s">
        <v>584</v>
      </c>
      <c r="D1496" s="18" t="s">
        <v>1208</v>
      </c>
      <c r="E1496" s="18" t="s">
        <v>1645</v>
      </c>
      <c r="F1496" s="20" t="s">
        <v>1229</v>
      </c>
      <c r="G1496" s="9" t="s">
        <v>679</v>
      </c>
      <c r="H1496" s="8" t="s">
        <v>394</v>
      </c>
      <c r="I1496" s="7" t="s">
        <v>1031</v>
      </c>
    </row>
    <row r="1497" spans="1:9" x14ac:dyDescent="0.35">
      <c r="A1497" s="19" t="str">
        <f>HYPERLINK("https://jira.itg.ti.com/browse/PROC_SOC-69","PROC_SOC-69")</f>
        <v>PROC_SOC-69</v>
      </c>
      <c r="B1497" s="19" t="str">
        <f>HYPERLINK("https://jira.itg.ti.com/browse/PDK-5412","PDK-5412")</f>
        <v>PDK-5412</v>
      </c>
      <c r="C1497" s="18" t="s">
        <v>1422</v>
      </c>
      <c r="D1497" s="18" t="s">
        <v>1487</v>
      </c>
      <c r="E1497" s="18" t="s">
        <v>1645</v>
      </c>
      <c r="F1497" s="20" t="s">
        <v>1229</v>
      </c>
      <c r="G1497" s="9" t="s">
        <v>1513</v>
      </c>
      <c r="H1497" s="8" t="s">
        <v>394</v>
      </c>
      <c r="I1497" s="7" t="s">
        <v>1031</v>
      </c>
    </row>
    <row r="1498" spans="1:9" x14ac:dyDescent="0.35">
      <c r="A1498" s="19" t="str">
        <f>HYPERLINK("https://jira.itg.ti.com/browse/PROC_SOC-69","PROC_SOC-69")</f>
        <v>PROC_SOC-69</v>
      </c>
      <c r="B1498" s="19" t="str">
        <f>HYPERLINK("https://jira.itg.ti.com/browse/PDK-5413","PDK-5413")</f>
        <v>PDK-5413</v>
      </c>
      <c r="C1498" s="18" t="s">
        <v>580</v>
      </c>
      <c r="D1498" s="18" t="s">
        <v>1487</v>
      </c>
      <c r="E1498" s="18" t="s">
        <v>1645</v>
      </c>
      <c r="F1498" s="20" t="s">
        <v>1229</v>
      </c>
      <c r="G1498" s="9" t="s">
        <v>138</v>
      </c>
      <c r="H1498" s="8" t="s">
        <v>394</v>
      </c>
      <c r="I1498" s="7" t="s">
        <v>1031</v>
      </c>
    </row>
    <row r="1499" spans="1:9" x14ac:dyDescent="0.35">
      <c r="A1499" s="19" t="str">
        <f>HYPERLINK("https://jira.itg.ti.com/browse/PROC_SOC-69","PROC_SOC-69")</f>
        <v>PROC_SOC-69</v>
      </c>
      <c r="B1499" s="19" t="str">
        <f>HYPERLINK("https://jira.itg.ti.com/browse/PDK-5414","PDK-5414")</f>
        <v>PDK-5414</v>
      </c>
      <c r="C1499" s="18" t="s">
        <v>918</v>
      </c>
      <c r="D1499" s="18" t="s">
        <v>1487</v>
      </c>
      <c r="E1499" s="18" t="s">
        <v>1645</v>
      </c>
      <c r="F1499" s="20" t="s">
        <v>1229</v>
      </c>
      <c r="G1499" s="9" t="s">
        <v>914</v>
      </c>
      <c r="H1499" s="8" t="s">
        <v>394</v>
      </c>
      <c r="I1499" s="7" t="s">
        <v>1031</v>
      </c>
    </row>
    <row r="1500" spans="1:9" x14ac:dyDescent="0.35">
      <c r="A1500" s="19" t="str">
        <f>HYPERLINK("https://jira.itg.ti.com/browse/PROC_SOC-861","PROC_SOC-861")</f>
        <v>PROC_SOC-861</v>
      </c>
      <c r="B1500" s="19" t="str">
        <f>HYPERLINK("https://jira.itg.ti.com/browse/PDK-5079","PDK-5079")</f>
        <v>PDK-5079</v>
      </c>
      <c r="C1500" s="18" t="s">
        <v>2</v>
      </c>
      <c r="D1500" s="18" t="s">
        <v>1051</v>
      </c>
      <c r="E1500" s="18" t="s">
        <v>1645</v>
      </c>
      <c r="F1500" s="20" t="s">
        <v>1229</v>
      </c>
      <c r="G1500" s="9" t="s">
        <v>518</v>
      </c>
      <c r="H1500" s="8" t="s">
        <v>394</v>
      </c>
      <c r="I1500" s="7" t="s">
        <v>1031</v>
      </c>
    </row>
    <row r="1501" spans="1:9" x14ac:dyDescent="0.35">
      <c r="A1501" s="19" t="str">
        <f>HYPERLINK("https://jira.itg.ti.com/browse/PROC_SOC-861","PROC_SOC-861")</f>
        <v>PROC_SOC-861</v>
      </c>
      <c r="B1501" s="19" t="str">
        <f>HYPERLINK("https://jira.itg.ti.com/browse/PDK-5263","PDK-5263")</f>
        <v>PDK-5263</v>
      </c>
      <c r="C1501" s="18" t="s">
        <v>398</v>
      </c>
      <c r="D1501" s="18" t="s">
        <v>1051</v>
      </c>
      <c r="E1501" s="18" t="s">
        <v>1645</v>
      </c>
      <c r="F1501" s="20" t="s">
        <v>1229</v>
      </c>
      <c r="G1501" s="9" t="s">
        <v>731</v>
      </c>
      <c r="H1501" s="8" t="s">
        <v>394</v>
      </c>
      <c r="I1501" s="7" t="s">
        <v>1031</v>
      </c>
    </row>
    <row r="1502" spans="1:9" x14ac:dyDescent="0.35">
      <c r="A1502" s="19"/>
      <c r="B1502" s="19"/>
      <c r="C1502" s="18"/>
      <c r="D1502" s="18"/>
      <c r="E1502" s="18"/>
      <c r="F1502" s="20"/>
      <c r="G1502" s="10" t="s">
        <v>904</v>
      </c>
      <c r="H1502" s="8" t="s">
        <v>394</v>
      </c>
    </row>
    <row r="1503" spans="1:9" x14ac:dyDescent="0.35">
      <c r="A1503" s="19" t="str">
        <f>HYPERLINK("https://jira.itg.ti.com/browse/SITREQ-137","SITREQ-137")</f>
        <v>SITREQ-137</v>
      </c>
      <c r="B1503" s="19" t="str">
        <f>HYPERLINK("https://jira.itg.ti.com/browse/PDK-7371","PDK-7371")</f>
        <v>PDK-7371</v>
      </c>
      <c r="C1503" s="18" t="s">
        <v>976</v>
      </c>
      <c r="D1503" s="18" t="s">
        <v>849</v>
      </c>
      <c r="E1503" s="18" t="s">
        <v>1645</v>
      </c>
      <c r="F1503" s="20" t="s">
        <v>1229</v>
      </c>
      <c r="G1503" s="9" t="s">
        <v>331</v>
      </c>
      <c r="H1503" s="8" t="s">
        <v>394</v>
      </c>
      <c r="I1503" s="7" t="s">
        <v>1031</v>
      </c>
    </row>
    <row r="1504" spans="1:9" x14ac:dyDescent="0.35">
      <c r="A1504" s="19"/>
      <c r="B1504" s="19"/>
      <c r="C1504" s="18"/>
      <c r="D1504" s="18"/>
      <c r="E1504" s="18"/>
      <c r="F1504" s="20"/>
      <c r="G1504" s="10" t="s">
        <v>1454</v>
      </c>
      <c r="H1504" s="8" t="s">
        <v>394</v>
      </c>
    </row>
    <row r="1505" spans="1:9" x14ac:dyDescent="0.35">
      <c r="A1505" s="19" t="str">
        <f>HYPERLINK("https://jira.itg.ti.com/browse/SITREQ-62","SITREQ-62")</f>
        <v>SITREQ-62</v>
      </c>
      <c r="B1505" s="19" t="str">
        <f>HYPERLINK("https://jira.itg.ti.com/browse/PDK-6986","PDK-6986")</f>
        <v>PDK-6986</v>
      </c>
      <c r="C1505" s="18" t="s">
        <v>1533</v>
      </c>
      <c r="D1505" s="18" t="s">
        <v>849</v>
      </c>
      <c r="E1505" s="18" t="s">
        <v>1645</v>
      </c>
      <c r="F1505" s="20" t="s">
        <v>1229</v>
      </c>
      <c r="G1505" s="9" t="s">
        <v>495</v>
      </c>
      <c r="H1505" s="8" t="s">
        <v>394</v>
      </c>
      <c r="I1505" s="7" t="s">
        <v>1031</v>
      </c>
    </row>
    <row r="1506" spans="1:9" x14ac:dyDescent="0.35">
      <c r="H1506" s="1" t="s">
        <v>1031</v>
      </c>
    </row>
  </sheetData>
  <mergeCells count="4602">
    <mergeCell ref="A1505"/>
    <mergeCell ref="B1505"/>
    <mergeCell ref="C1505"/>
    <mergeCell ref="D1505"/>
    <mergeCell ref="E1505"/>
    <mergeCell ref="F1505"/>
    <mergeCell ref="A1503:A1504"/>
    <mergeCell ref="B1503:B1504"/>
    <mergeCell ref="C1503:C1504"/>
    <mergeCell ref="D1503:D1504"/>
    <mergeCell ref="E1503:E1504"/>
    <mergeCell ref="F1503:F1504"/>
    <mergeCell ref="A1501:A1502"/>
    <mergeCell ref="B1501:B1502"/>
    <mergeCell ref="C1501:C1502"/>
    <mergeCell ref="D1501:D1502"/>
    <mergeCell ref="E1501:E1502"/>
    <mergeCell ref="F1501:F1502"/>
    <mergeCell ref="A1500"/>
    <mergeCell ref="B1500"/>
    <mergeCell ref="C1500"/>
    <mergeCell ref="D1500"/>
    <mergeCell ref="E1500"/>
    <mergeCell ref="F1500"/>
    <mergeCell ref="A1499"/>
    <mergeCell ref="B1499"/>
    <mergeCell ref="C1499"/>
    <mergeCell ref="D1499"/>
    <mergeCell ref="E1499"/>
    <mergeCell ref="F1499"/>
    <mergeCell ref="A1498"/>
    <mergeCell ref="B1498"/>
    <mergeCell ref="C1498"/>
    <mergeCell ref="D1498"/>
    <mergeCell ref="E1498"/>
    <mergeCell ref="F1498"/>
    <mergeCell ref="A1497"/>
    <mergeCell ref="B1497"/>
    <mergeCell ref="C1497"/>
    <mergeCell ref="D1497"/>
    <mergeCell ref="E1497"/>
    <mergeCell ref="F1497"/>
    <mergeCell ref="A1496"/>
    <mergeCell ref="B1496"/>
    <mergeCell ref="C1496"/>
    <mergeCell ref="D1496"/>
    <mergeCell ref="E1496"/>
    <mergeCell ref="F1496"/>
    <mergeCell ref="A1495"/>
    <mergeCell ref="B1495"/>
    <mergeCell ref="C1495"/>
    <mergeCell ref="D1495"/>
    <mergeCell ref="E1495"/>
    <mergeCell ref="F1495"/>
    <mergeCell ref="A1494"/>
    <mergeCell ref="B1494"/>
    <mergeCell ref="C1494"/>
    <mergeCell ref="D1494"/>
    <mergeCell ref="E1494"/>
    <mergeCell ref="F1494"/>
    <mergeCell ref="A1493"/>
    <mergeCell ref="B1493"/>
    <mergeCell ref="C1493"/>
    <mergeCell ref="D1493"/>
    <mergeCell ref="E1493"/>
    <mergeCell ref="F1493"/>
    <mergeCell ref="A1492"/>
    <mergeCell ref="B1492"/>
    <mergeCell ref="C1492"/>
    <mergeCell ref="D1492"/>
    <mergeCell ref="E1492"/>
    <mergeCell ref="F1492"/>
    <mergeCell ref="A1491"/>
    <mergeCell ref="B1491"/>
    <mergeCell ref="C1491"/>
    <mergeCell ref="D1491"/>
    <mergeCell ref="E1491"/>
    <mergeCell ref="F1491"/>
    <mergeCell ref="A1490"/>
    <mergeCell ref="B1490"/>
    <mergeCell ref="C1490"/>
    <mergeCell ref="D1490"/>
    <mergeCell ref="E1490"/>
    <mergeCell ref="F1490"/>
    <mergeCell ref="A1489"/>
    <mergeCell ref="B1489"/>
    <mergeCell ref="C1489"/>
    <mergeCell ref="D1489"/>
    <mergeCell ref="E1489"/>
    <mergeCell ref="F1489"/>
    <mergeCell ref="A1488"/>
    <mergeCell ref="B1488"/>
    <mergeCell ref="C1488"/>
    <mergeCell ref="D1488"/>
    <mergeCell ref="E1488"/>
    <mergeCell ref="F1488"/>
    <mergeCell ref="A1487"/>
    <mergeCell ref="B1487"/>
    <mergeCell ref="C1487"/>
    <mergeCell ref="D1487"/>
    <mergeCell ref="E1487"/>
    <mergeCell ref="F1487"/>
    <mergeCell ref="A1486"/>
    <mergeCell ref="B1486"/>
    <mergeCell ref="C1486"/>
    <mergeCell ref="D1486"/>
    <mergeCell ref="E1486"/>
    <mergeCell ref="F1486"/>
    <mergeCell ref="A1481:A1485"/>
    <mergeCell ref="B1481:B1485"/>
    <mergeCell ref="C1481:C1485"/>
    <mergeCell ref="D1481:D1485"/>
    <mergeCell ref="E1481:E1485"/>
    <mergeCell ref="F1481:F1485"/>
    <mergeCell ref="A1480"/>
    <mergeCell ref="B1480"/>
    <mergeCell ref="C1480"/>
    <mergeCell ref="D1480"/>
    <mergeCell ref="E1480"/>
    <mergeCell ref="F1480"/>
    <mergeCell ref="A1479"/>
    <mergeCell ref="B1479"/>
    <mergeCell ref="C1479"/>
    <mergeCell ref="D1479"/>
    <mergeCell ref="E1479"/>
    <mergeCell ref="F1479"/>
    <mergeCell ref="A1478"/>
    <mergeCell ref="B1478"/>
    <mergeCell ref="C1478"/>
    <mergeCell ref="D1478"/>
    <mergeCell ref="E1478"/>
    <mergeCell ref="F1478"/>
    <mergeCell ref="A1477"/>
    <mergeCell ref="B1477"/>
    <mergeCell ref="C1477"/>
    <mergeCell ref="D1477"/>
    <mergeCell ref="E1477"/>
    <mergeCell ref="F1477"/>
    <mergeCell ref="A1476"/>
    <mergeCell ref="B1476"/>
    <mergeCell ref="C1476"/>
    <mergeCell ref="D1476"/>
    <mergeCell ref="E1476"/>
    <mergeCell ref="F1476"/>
    <mergeCell ref="A1474:A1475"/>
    <mergeCell ref="B1474:B1475"/>
    <mergeCell ref="C1474:C1475"/>
    <mergeCell ref="D1474:D1475"/>
    <mergeCell ref="E1474:E1475"/>
    <mergeCell ref="F1474:F1475"/>
    <mergeCell ref="A1473"/>
    <mergeCell ref="B1473"/>
    <mergeCell ref="C1473"/>
    <mergeCell ref="D1473"/>
    <mergeCell ref="E1473"/>
    <mergeCell ref="F1473"/>
    <mergeCell ref="A1472"/>
    <mergeCell ref="B1472"/>
    <mergeCell ref="C1472"/>
    <mergeCell ref="D1472"/>
    <mergeCell ref="E1472"/>
    <mergeCell ref="F1472"/>
    <mergeCell ref="A1471"/>
    <mergeCell ref="B1471"/>
    <mergeCell ref="C1471"/>
    <mergeCell ref="D1471"/>
    <mergeCell ref="E1471"/>
    <mergeCell ref="F1471"/>
    <mergeCell ref="A1470"/>
    <mergeCell ref="B1470"/>
    <mergeCell ref="C1470"/>
    <mergeCell ref="D1470"/>
    <mergeCell ref="E1470"/>
    <mergeCell ref="F1470"/>
    <mergeCell ref="A1469"/>
    <mergeCell ref="B1469"/>
    <mergeCell ref="C1469"/>
    <mergeCell ref="D1469"/>
    <mergeCell ref="E1469"/>
    <mergeCell ref="F1469"/>
    <mergeCell ref="A1468"/>
    <mergeCell ref="B1468"/>
    <mergeCell ref="C1468"/>
    <mergeCell ref="D1468"/>
    <mergeCell ref="E1468"/>
    <mergeCell ref="F1468"/>
    <mergeCell ref="A1467"/>
    <mergeCell ref="B1467"/>
    <mergeCell ref="C1467"/>
    <mergeCell ref="D1467"/>
    <mergeCell ref="E1467"/>
    <mergeCell ref="F1467"/>
    <mergeCell ref="A1462:A1466"/>
    <mergeCell ref="B1462:B1466"/>
    <mergeCell ref="C1462:C1466"/>
    <mergeCell ref="D1462:D1466"/>
    <mergeCell ref="E1462:E1466"/>
    <mergeCell ref="F1462:F1466"/>
    <mergeCell ref="A1459:A1461"/>
    <mergeCell ref="B1459:B1461"/>
    <mergeCell ref="C1459:C1461"/>
    <mergeCell ref="D1459:D1461"/>
    <mergeCell ref="E1459:E1461"/>
    <mergeCell ref="F1459:F1461"/>
    <mergeCell ref="A1455:A1458"/>
    <mergeCell ref="B1455:B1458"/>
    <mergeCell ref="C1455:C1458"/>
    <mergeCell ref="D1455:D1458"/>
    <mergeCell ref="E1455:E1458"/>
    <mergeCell ref="F1455:F1458"/>
    <mergeCell ref="A1451:A1454"/>
    <mergeCell ref="B1451:B1454"/>
    <mergeCell ref="C1451:C1454"/>
    <mergeCell ref="D1451:D1454"/>
    <mergeCell ref="E1451:E1454"/>
    <mergeCell ref="F1451:F1454"/>
    <mergeCell ref="A1447:A1450"/>
    <mergeCell ref="B1447:B1450"/>
    <mergeCell ref="C1447:C1450"/>
    <mergeCell ref="D1447:D1450"/>
    <mergeCell ref="E1447:E1450"/>
    <mergeCell ref="F1447:F1450"/>
    <mergeCell ref="A1442:A1446"/>
    <mergeCell ref="B1442:B1446"/>
    <mergeCell ref="C1442:C1446"/>
    <mergeCell ref="D1442:D1446"/>
    <mergeCell ref="E1442:E1446"/>
    <mergeCell ref="F1442:F1446"/>
    <mergeCell ref="A1438:A1441"/>
    <mergeCell ref="B1438:B1441"/>
    <mergeCell ref="C1438:C1441"/>
    <mergeCell ref="D1438:D1441"/>
    <mergeCell ref="E1438:E1441"/>
    <mergeCell ref="F1438:F1441"/>
    <mergeCell ref="A1436:A1437"/>
    <mergeCell ref="B1436:B1437"/>
    <mergeCell ref="C1436:C1437"/>
    <mergeCell ref="D1436:D1437"/>
    <mergeCell ref="E1436:E1437"/>
    <mergeCell ref="F1436:F1437"/>
    <mergeCell ref="A1432:A1435"/>
    <mergeCell ref="B1432:B1435"/>
    <mergeCell ref="C1432:C1435"/>
    <mergeCell ref="D1432:D1435"/>
    <mergeCell ref="E1432:E1435"/>
    <mergeCell ref="F1432:F1435"/>
    <mergeCell ref="A1428:A1431"/>
    <mergeCell ref="B1428:B1431"/>
    <mergeCell ref="C1428:C1431"/>
    <mergeCell ref="D1428:D1431"/>
    <mergeCell ref="E1428:E1431"/>
    <mergeCell ref="F1428:F1431"/>
    <mergeCell ref="A1424:A1427"/>
    <mergeCell ref="B1424:B1427"/>
    <mergeCell ref="C1424:C1427"/>
    <mergeCell ref="D1424:D1427"/>
    <mergeCell ref="E1424:E1427"/>
    <mergeCell ref="F1424:F1427"/>
    <mergeCell ref="A1419:A1423"/>
    <mergeCell ref="B1419:B1423"/>
    <mergeCell ref="C1419:C1423"/>
    <mergeCell ref="D1419:D1423"/>
    <mergeCell ref="E1419:E1423"/>
    <mergeCell ref="F1419:F1423"/>
    <mergeCell ref="A1418"/>
    <mergeCell ref="B1418"/>
    <mergeCell ref="C1418"/>
    <mergeCell ref="D1418"/>
    <mergeCell ref="E1418"/>
    <mergeCell ref="F1418"/>
    <mergeCell ref="A1417"/>
    <mergeCell ref="B1417"/>
    <mergeCell ref="C1417"/>
    <mergeCell ref="D1417"/>
    <mergeCell ref="E1417"/>
    <mergeCell ref="F1417"/>
    <mergeCell ref="A1416"/>
    <mergeCell ref="B1416"/>
    <mergeCell ref="C1416"/>
    <mergeCell ref="D1416"/>
    <mergeCell ref="E1416"/>
    <mergeCell ref="F1416"/>
    <mergeCell ref="A1415"/>
    <mergeCell ref="B1415"/>
    <mergeCell ref="C1415"/>
    <mergeCell ref="D1415"/>
    <mergeCell ref="E1415"/>
    <mergeCell ref="F1415"/>
    <mergeCell ref="A1414"/>
    <mergeCell ref="B1414"/>
    <mergeCell ref="C1414"/>
    <mergeCell ref="D1414"/>
    <mergeCell ref="E1414"/>
    <mergeCell ref="F1414"/>
    <mergeCell ref="A1413"/>
    <mergeCell ref="B1413"/>
    <mergeCell ref="C1413"/>
    <mergeCell ref="D1413"/>
    <mergeCell ref="E1413"/>
    <mergeCell ref="F1413"/>
    <mergeCell ref="A1412"/>
    <mergeCell ref="B1412"/>
    <mergeCell ref="C1412"/>
    <mergeCell ref="D1412"/>
    <mergeCell ref="E1412"/>
    <mergeCell ref="F1412"/>
    <mergeCell ref="A1411"/>
    <mergeCell ref="B1411"/>
    <mergeCell ref="C1411"/>
    <mergeCell ref="D1411"/>
    <mergeCell ref="E1411"/>
    <mergeCell ref="F1411"/>
    <mergeCell ref="A1410"/>
    <mergeCell ref="B1410"/>
    <mergeCell ref="C1410"/>
    <mergeCell ref="D1410"/>
    <mergeCell ref="E1410"/>
    <mergeCell ref="F1410"/>
    <mergeCell ref="A1409"/>
    <mergeCell ref="B1409"/>
    <mergeCell ref="C1409"/>
    <mergeCell ref="D1409"/>
    <mergeCell ref="E1409"/>
    <mergeCell ref="F1409"/>
    <mergeCell ref="A1407:A1408"/>
    <mergeCell ref="B1407:B1408"/>
    <mergeCell ref="C1407:C1408"/>
    <mergeCell ref="D1407:D1408"/>
    <mergeCell ref="E1407:E1408"/>
    <mergeCell ref="F1407:F1408"/>
    <mergeCell ref="A1398:A1406"/>
    <mergeCell ref="B1398:B1406"/>
    <mergeCell ref="C1398:C1406"/>
    <mergeCell ref="D1398:D1406"/>
    <mergeCell ref="E1398:E1406"/>
    <mergeCell ref="F1398:F1406"/>
    <mergeCell ref="A1397"/>
    <mergeCell ref="B1397"/>
    <mergeCell ref="C1397"/>
    <mergeCell ref="D1397"/>
    <mergeCell ref="E1397"/>
    <mergeCell ref="F1397"/>
    <mergeCell ref="A1393:A1396"/>
    <mergeCell ref="B1393:B1396"/>
    <mergeCell ref="C1393:C1396"/>
    <mergeCell ref="D1393:D1396"/>
    <mergeCell ref="E1393:E1396"/>
    <mergeCell ref="F1393:F1396"/>
    <mergeCell ref="A1391:A1392"/>
    <mergeCell ref="B1391:B1392"/>
    <mergeCell ref="C1391:C1392"/>
    <mergeCell ref="D1391:D1392"/>
    <mergeCell ref="E1391:E1392"/>
    <mergeCell ref="F1391:F1392"/>
    <mergeCell ref="A1390"/>
    <mergeCell ref="B1390"/>
    <mergeCell ref="C1390"/>
    <mergeCell ref="D1390"/>
    <mergeCell ref="E1390"/>
    <mergeCell ref="F1390"/>
    <mergeCell ref="A1383:A1389"/>
    <mergeCell ref="B1383:B1389"/>
    <mergeCell ref="C1383:C1389"/>
    <mergeCell ref="D1383:D1389"/>
    <mergeCell ref="E1383:E1389"/>
    <mergeCell ref="F1383:F1389"/>
    <mergeCell ref="A1382"/>
    <mergeCell ref="B1382"/>
    <mergeCell ref="C1382"/>
    <mergeCell ref="D1382"/>
    <mergeCell ref="E1382"/>
    <mergeCell ref="F1382"/>
    <mergeCell ref="A1381"/>
    <mergeCell ref="B1381"/>
    <mergeCell ref="C1381"/>
    <mergeCell ref="D1381"/>
    <mergeCell ref="E1381"/>
    <mergeCell ref="F1381"/>
    <mergeCell ref="A1378:A1380"/>
    <mergeCell ref="B1378:B1380"/>
    <mergeCell ref="C1378:C1380"/>
    <mergeCell ref="D1378:D1380"/>
    <mergeCell ref="E1378:E1380"/>
    <mergeCell ref="F1378:F1380"/>
    <mergeCell ref="A1377"/>
    <mergeCell ref="B1377"/>
    <mergeCell ref="C1377"/>
    <mergeCell ref="D1377"/>
    <mergeCell ref="E1377"/>
    <mergeCell ref="F1377"/>
    <mergeCell ref="A1376"/>
    <mergeCell ref="B1376"/>
    <mergeCell ref="C1376"/>
    <mergeCell ref="D1376"/>
    <mergeCell ref="E1376"/>
    <mergeCell ref="F1376"/>
    <mergeCell ref="A1375"/>
    <mergeCell ref="B1375"/>
    <mergeCell ref="C1375"/>
    <mergeCell ref="D1375"/>
    <mergeCell ref="E1375"/>
    <mergeCell ref="F1375"/>
    <mergeCell ref="A1373:A1374"/>
    <mergeCell ref="B1373:B1374"/>
    <mergeCell ref="C1373:C1374"/>
    <mergeCell ref="D1373:D1374"/>
    <mergeCell ref="E1373:E1374"/>
    <mergeCell ref="F1373:F1374"/>
    <mergeCell ref="A1372"/>
    <mergeCell ref="B1372"/>
    <mergeCell ref="C1372"/>
    <mergeCell ref="D1372"/>
    <mergeCell ref="E1372"/>
    <mergeCell ref="F1372"/>
    <mergeCell ref="A1371"/>
    <mergeCell ref="B1371"/>
    <mergeCell ref="C1371"/>
    <mergeCell ref="D1371"/>
    <mergeCell ref="E1371"/>
    <mergeCell ref="F1371"/>
    <mergeCell ref="A1370"/>
    <mergeCell ref="B1370"/>
    <mergeCell ref="C1370"/>
    <mergeCell ref="D1370"/>
    <mergeCell ref="E1370"/>
    <mergeCell ref="F1370"/>
    <mergeCell ref="A1368:A1369"/>
    <mergeCell ref="B1368:B1369"/>
    <mergeCell ref="C1368:C1369"/>
    <mergeCell ref="D1368:D1369"/>
    <mergeCell ref="E1368:E1369"/>
    <mergeCell ref="F1368:F1369"/>
    <mergeCell ref="A1366:A1367"/>
    <mergeCell ref="B1366:B1367"/>
    <mergeCell ref="C1366:C1367"/>
    <mergeCell ref="D1366:D1367"/>
    <mergeCell ref="E1366:E1367"/>
    <mergeCell ref="F1366:F1367"/>
    <mergeCell ref="A1365"/>
    <mergeCell ref="B1365"/>
    <mergeCell ref="C1365"/>
    <mergeCell ref="D1365"/>
    <mergeCell ref="E1365"/>
    <mergeCell ref="F1365"/>
    <mergeCell ref="A1353:A1364"/>
    <mergeCell ref="B1353:B1364"/>
    <mergeCell ref="C1353:C1364"/>
    <mergeCell ref="D1353:D1364"/>
    <mergeCell ref="E1353:E1364"/>
    <mergeCell ref="F1353:F1364"/>
    <mergeCell ref="A1343:A1352"/>
    <mergeCell ref="B1343:B1352"/>
    <mergeCell ref="C1343:C1352"/>
    <mergeCell ref="D1343:D1352"/>
    <mergeCell ref="E1343:E1352"/>
    <mergeCell ref="F1343:F1352"/>
    <mergeCell ref="A1342"/>
    <mergeCell ref="B1342"/>
    <mergeCell ref="C1342"/>
    <mergeCell ref="D1342"/>
    <mergeCell ref="E1342"/>
    <mergeCell ref="F1342"/>
    <mergeCell ref="A1341"/>
    <mergeCell ref="B1341"/>
    <mergeCell ref="C1341"/>
    <mergeCell ref="D1341"/>
    <mergeCell ref="E1341"/>
    <mergeCell ref="F1341"/>
    <mergeCell ref="A1340"/>
    <mergeCell ref="B1340"/>
    <mergeCell ref="C1340"/>
    <mergeCell ref="D1340"/>
    <mergeCell ref="E1340"/>
    <mergeCell ref="F1340"/>
    <mergeCell ref="A1339"/>
    <mergeCell ref="B1339"/>
    <mergeCell ref="C1339"/>
    <mergeCell ref="D1339"/>
    <mergeCell ref="E1339"/>
    <mergeCell ref="F1339"/>
    <mergeCell ref="A1338"/>
    <mergeCell ref="B1338"/>
    <mergeCell ref="C1338"/>
    <mergeCell ref="D1338"/>
    <mergeCell ref="E1338"/>
    <mergeCell ref="F1338"/>
    <mergeCell ref="A1337"/>
    <mergeCell ref="B1337"/>
    <mergeCell ref="C1337"/>
    <mergeCell ref="D1337"/>
    <mergeCell ref="E1337"/>
    <mergeCell ref="F1337"/>
    <mergeCell ref="A1336"/>
    <mergeCell ref="B1336"/>
    <mergeCell ref="C1336"/>
    <mergeCell ref="D1336"/>
    <mergeCell ref="E1336"/>
    <mergeCell ref="F1336"/>
    <mergeCell ref="A1335"/>
    <mergeCell ref="B1335"/>
    <mergeCell ref="C1335"/>
    <mergeCell ref="D1335"/>
    <mergeCell ref="E1335"/>
    <mergeCell ref="F1335"/>
    <mergeCell ref="A1334"/>
    <mergeCell ref="B1334"/>
    <mergeCell ref="C1334"/>
    <mergeCell ref="D1334"/>
    <mergeCell ref="E1334"/>
    <mergeCell ref="F1334"/>
    <mergeCell ref="A1333"/>
    <mergeCell ref="B1333"/>
    <mergeCell ref="C1333"/>
    <mergeCell ref="D1333"/>
    <mergeCell ref="E1333"/>
    <mergeCell ref="F1333"/>
    <mergeCell ref="A1332"/>
    <mergeCell ref="B1332"/>
    <mergeCell ref="C1332"/>
    <mergeCell ref="D1332"/>
    <mergeCell ref="E1332"/>
    <mergeCell ref="F1332"/>
    <mergeCell ref="A1331"/>
    <mergeCell ref="B1331"/>
    <mergeCell ref="C1331"/>
    <mergeCell ref="D1331"/>
    <mergeCell ref="E1331"/>
    <mergeCell ref="F1331"/>
    <mergeCell ref="A1330"/>
    <mergeCell ref="B1330"/>
    <mergeCell ref="C1330"/>
    <mergeCell ref="D1330"/>
    <mergeCell ref="E1330"/>
    <mergeCell ref="F1330"/>
    <mergeCell ref="A1329"/>
    <mergeCell ref="B1329"/>
    <mergeCell ref="C1329"/>
    <mergeCell ref="D1329"/>
    <mergeCell ref="E1329"/>
    <mergeCell ref="F1329"/>
    <mergeCell ref="A1328"/>
    <mergeCell ref="B1328"/>
    <mergeCell ref="C1328"/>
    <mergeCell ref="D1328"/>
    <mergeCell ref="E1328"/>
    <mergeCell ref="F1328"/>
    <mergeCell ref="A1327"/>
    <mergeCell ref="B1327"/>
    <mergeCell ref="C1327"/>
    <mergeCell ref="D1327"/>
    <mergeCell ref="E1327"/>
    <mergeCell ref="F1327"/>
    <mergeCell ref="A1326"/>
    <mergeCell ref="B1326"/>
    <mergeCell ref="C1326"/>
    <mergeCell ref="D1326"/>
    <mergeCell ref="E1326"/>
    <mergeCell ref="F1326"/>
    <mergeCell ref="A1325"/>
    <mergeCell ref="B1325"/>
    <mergeCell ref="C1325"/>
    <mergeCell ref="D1325"/>
    <mergeCell ref="E1325"/>
    <mergeCell ref="F1325"/>
    <mergeCell ref="A1324"/>
    <mergeCell ref="B1324"/>
    <mergeCell ref="C1324"/>
    <mergeCell ref="D1324"/>
    <mergeCell ref="E1324"/>
    <mergeCell ref="F1324"/>
    <mergeCell ref="A1323"/>
    <mergeCell ref="B1323"/>
    <mergeCell ref="C1323"/>
    <mergeCell ref="D1323"/>
    <mergeCell ref="E1323"/>
    <mergeCell ref="F1323"/>
    <mergeCell ref="A1322"/>
    <mergeCell ref="B1322"/>
    <mergeCell ref="C1322"/>
    <mergeCell ref="D1322"/>
    <mergeCell ref="E1322"/>
    <mergeCell ref="F1322"/>
    <mergeCell ref="A1321"/>
    <mergeCell ref="B1321"/>
    <mergeCell ref="C1321"/>
    <mergeCell ref="D1321"/>
    <mergeCell ref="E1321"/>
    <mergeCell ref="F1321"/>
    <mergeCell ref="A1320"/>
    <mergeCell ref="B1320"/>
    <mergeCell ref="C1320"/>
    <mergeCell ref="D1320"/>
    <mergeCell ref="E1320"/>
    <mergeCell ref="F1320"/>
    <mergeCell ref="A1318:A1319"/>
    <mergeCell ref="B1318:B1319"/>
    <mergeCell ref="C1318:C1319"/>
    <mergeCell ref="D1318:D1319"/>
    <mergeCell ref="E1318:E1319"/>
    <mergeCell ref="F1318:F1319"/>
    <mergeCell ref="A1317"/>
    <mergeCell ref="B1317"/>
    <mergeCell ref="C1317"/>
    <mergeCell ref="D1317"/>
    <mergeCell ref="E1317"/>
    <mergeCell ref="F1317"/>
    <mergeCell ref="A1316"/>
    <mergeCell ref="B1316"/>
    <mergeCell ref="C1316"/>
    <mergeCell ref="D1316"/>
    <mergeCell ref="E1316"/>
    <mergeCell ref="F1316"/>
    <mergeCell ref="A1315"/>
    <mergeCell ref="B1315"/>
    <mergeCell ref="C1315"/>
    <mergeCell ref="D1315"/>
    <mergeCell ref="E1315"/>
    <mergeCell ref="F1315"/>
    <mergeCell ref="A1314"/>
    <mergeCell ref="B1314"/>
    <mergeCell ref="C1314"/>
    <mergeCell ref="D1314"/>
    <mergeCell ref="E1314"/>
    <mergeCell ref="F1314"/>
    <mergeCell ref="A1313"/>
    <mergeCell ref="B1313"/>
    <mergeCell ref="C1313"/>
    <mergeCell ref="D1313"/>
    <mergeCell ref="E1313"/>
    <mergeCell ref="F1313"/>
    <mergeCell ref="A1301:A1312"/>
    <mergeCell ref="B1301:B1312"/>
    <mergeCell ref="C1301:C1312"/>
    <mergeCell ref="D1301:D1312"/>
    <mergeCell ref="E1301:E1312"/>
    <mergeCell ref="F1301:F1312"/>
    <mergeCell ref="A1300"/>
    <mergeCell ref="B1300"/>
    <mergeCell ref="C1300"/>
    <mergeCell ref="D1300"/>
    <mergeCell ref="E1300"/>
    <mergeCell ref="F1300"/>
    <mergeCell ref="A1299"/>
    <mergeCell ref="B1299"/>
    <mergeCell ref="C1299"/>
    <mergeCell ref="D1299"/>
    <mergeCell ref="E1299"/>
    <mergeCell ref="F1299"/>
    <mergeCell ref="A1296:A1298"/>
    <mergeCell ref="B1296:B1298"/>
    <mergeCell ref="C1296:C1298"/>
    <mergeCell ref="D1296:D1298"/>
    <mergeCell ref="E1296:E1298"/>
    <mergeCell ref="F1296:F1298"/>
    <mergeCell ref="A1295"/>
    <mergeCell ref="B1295"/>
    <mergeCell ref="C1295"/>
    <mergeCell ref="D1295"/>
    <mergeCell ref="E1295"/>
    <mergeCell ref="F1295"/>
    <mergeCell ref="A1294"/>
    <mergeCell ref="B1294"/>
    <mergeCell ref="C1294"/>
    <mergeCell ref="D1294"/>
    <mergeCell ref="E1294"/>
    <mergeCell ref="F1294"/>
    <mergeCell ref="A1293"/>
    <mergeCell ref="B1293"/>
    <mergeCell ref="C1293"/>
    <mergeCell ref="D1293"/>
    <mergeCell ref="E1293"/>
    <mergeCell ref="F1293"/>
    <mergeCell ref="A1292"/>
    <mergeCell ref="B1292"/>
    <mergeCell ref="C1292"/>
    <mergeCell ref="D1292"/>
    <mergeCell ref="E1292"/>
    <mergeCell ref="F1292"/>
    <mergeCell ref="A1290:A1291"/>
    <mergeCell ref="B1290:B1291"/>
    <mergeCell ref="C1290:C1291"/>
    <mergeCell ref="D1290:D1291"/>
    <mergeCell ref="E1290:E1291"/>
    <mergeCell ref="F1290:F1291"/>
    <mergeCell ref="A1289"/>
    <mergeCell ref="B1289"/>
    <mergeCell ref="C1289"/>
    <mergeCell ref="D1289"/>
    <mergeCell ref="E1289"/>
    <mergeCell ref="F1289"/>
    <mergeCell ref="A1284:A1288"/>
    <mergeCell ref="B1284:B1288"/>
    <mergeCell ref="C1284:C1288"/>
    <mergeCell ref="D1284:D1288"/>
    <mergeCell ref="E1284:E1288"/>
    <mergeCell ref="F1284:F1288"/>
    <mergeCell ref="A1283"/>
    <mergeCell ref="B1283"/>
    <mergeCell ref="C1283"/>
    <mergeCell ref="D1283"/>
    <mergeCell ref="E1283"/>
    <mergeCell ref="F1283"/>
    <mergeCell ref="A1282"/>
    <mergeCell ref="B1282"/>
    <mergeCell ref="C1282"/>
    <mergeCell ref="D1282"/>
    <mergeCell ref="E1282"/>
    <mergeCell ref="F1282"/>
    <mergeCell ref="A1281"/>
    <mergeCell ref="B1281"/>
    <mergeCell ref="C1281"/>
    <mergeCell ref="D1281"/>
    <mergeCell ref="E1281"/>
    <mergeCell ref="F1281"/>
    <mergeCell ref="A1280"/>
    <mergeCell ref="B1280"/>
    <mergeCell ref="C1280"/>
    <mergeCell ref="D1280"/>
    <mergeCell ref="E1280"/>
    <mergeCell ref="F1280"/>
    <mergeCell ref="A1279"/>
    <mergeCell ref="B1279"/>
    <mergeCell ref="C1279"/>
    <mergeCell ref="D1279"/>
    <mergeCell ref="E1279"/>
    <mergeCell ref="F1279"/>
    <mergeCell ref="A1278"/>
    <mergeCell ref="B1278"/>
    <mergeCell ref="C1278"/>
    <mergeCell ref="D1278"/>
    <mergeCell ref="E1278"/>
    <mergeCell ref="F1278"/>
    <mergeCell ref="A1274:A1277"/>
    <mergeCell ref="B1274:B1277"/>
    <mergeCell ref="C1274:C1277"/>
    <mergeCell ref="D1274:D1277"/>
    <mergeCell ref="E1274:E1277"/>
    <mergeCell ref="F1274:F1277"/>
    <mergeCell ref="A1270:A1273"/>
    <mergeCell ref="B1270:B1273"/>
    <mergeCell ref="C1270:C1273"/>
    <mergeCell ref="D1270:D1273"/>
    <mergeCell ref="E1270:E1273"/>
    <mergeCell ref="F1270:F1273"/>
    <mergeCell ref="A1266:A1269"/>
    <mergeCell ref="B1266:B1269"/>
    <mergeCell ref="C1266:C1269"/>
    <mergeCell ref="D1266:D1269"/>
    <mergeCell ref="E1266:E1269"/>
    <mergeCell ref="F1266:F1269"/>
    <mergeCell ref="A1262:A1265"/>
    <mergeCell ref="B1262:B1265"/>
    <mergeCell ref="C1262:C1265"/>
    <mergeCell ref="D1262:D1265"/>
    <mergeCell ref="E1262:E1265"/>
    <mergeCell ref="F1262:F1265"/>
    <mergeCell ref="A1258:A1261"/>
    <mergeCell ref="B1258:B1261"/>
    <mergeCell ref="C1258:C1261"/>
    <mergeCell ref="D1258:D1261"/>
    <mergeCell ref="E1258:E1261"/>
    <mergeCell ref="F1258:F1261"/>
    <mergeCell ref="A1254:A1257"/>
    <mergeCell ref="B1254:B1257"/>
    <mergeCell ref="C1254:C1257"/>
    <mergeCell ref="D1254:D1257"/>
    <mergeCell ref="E1254:E1257"/>
    <mergeCell ref="F1254:F1257"/>
    <mergeCell ref="A1250:A1253"/>
    <mergeCell ref="B1250:B1253"/>
    <mergeCell ref="C1250:C1253"/>
    <mergeCell ref="D1250:D1253"/>
    <mergeCell ref="E1250:E1253"/>
    <mergeCell ref="F1250:F1253"/>
    <mergeCell ref="A1246:A1249"/>
    <mergeCell ref="B1246:B1249"/>
    <mergeCell ref="C1246:C1249"/>
    <mergeCell ref="D1246:D1249"/>
    <mergeCell ref="E1246:E1249"/>
    <mergeCell ref="F1246:F1249"/>
    <mergeCell ref="A1245"/>
    <mergeCell ref="B1245"/>
    <mergeCell ref="C1245"/>
    <mergeCell ref="D1245"/>
    <mergeCell ref="E1245"/>
    <mergeCell ref="F1245"/>
    <mergeCell ref="A1242:A1244"/>
    <mergeCell ref="B1242:B1244"/>
    <mergeCell ref="C1242:C1244"/>
    <mergeCell ref="D1242:D1244"/>
    <mergeCell ref="E1242:E1244"/>
    <mergeCell ref="F1242:F1244"/>
    <mergeCell ref="A1241"/>
    <mergeCell ref="B1241"/>
    <mergeCell ref="C1241"/>
    <mergeCell ref="D1241"/>
    <mergeCell ref="E1241"/>
    <mergeCell ref="F1241"/>
    <mergeCell ref="A1240"/>
    <mergeCell ref="B1240"/>
    <mergeCell ref="C1240"/>
    <mergeCell ref="D1240"/>
    <mergeCell ref="E1240"/>
    <mergeCell ref="F1240"/>
    <mergeCell ref="A1239"/>
    <mergeCell ref="B1239"/>
    <mergeCell ref="C1239"/>
    <mergeCell ref="D1239"/>
    <mergeCell ref="E1239"/>
    <mergeCell ref="F1239"/>
    <mergeCell ref="A1238"/>
    <mergeCell ref="B1238"/>
    <mergeCell ref="C1238"/>
    <mergeCell ref="D1238"/>
    <mergeCell ref="E1238"/>
    <mergeCell ref="F1238"/>
    <mergeCell ref="A1237"/>
    <mergeCell ref="B1237"/>
    <mergeCell ref="C1237"/>
    <mergeCell ref="D1237"/>
    <mergeCell ref="E1237"/>
    <mergeCell ref="F1237"/>
    <mergeCell ref="A1236"/>
    <mergeCell ref="B1236"/>
    <mergeCell ref="C1236"/>
    <mergeCell ref="D1236"/>
    <mergeCell ref="E1236"/>
    <mergeCell ref="F1236"/>
    <mergeCell ref="A1235"/>
    <mergeCell ref="B1235"/>
    <mergeCell ref="C1235"/>
    <mergeCell ref="D1235"/>
    <mergeCell ref="E1235"/>
    <mergeCell ref="F1235"/>
    <mergeCell ref="A1234"/>
    <mergeCell ref="B1234"/>
    <mergeCell ref="C1234"/>
    <mergeCell ref="D1234"/>
    <mergeCell ref="E1234"/>
    <mergeCell ref="F1234"/>
    <mergeCell ref="A1233"/>
    <mergeCell ref="B1233"/>
    <mergeCell ref="C1233"/>
    <mergeCell ref="D1233"/>
    <mergeCell ref="E1233"/>
    <mergeCell ref="F1233"/>
    <mergeCell ref="A1232"/>
    <mergeCell ref="B1232"/>
    <mergeCell ref="C1232"/>
    <mergeCell ref="D1232"/>
    <mergeCell ref="E1232"/>
    <mergeCell ref="F1232"/>
    <mergeCell ref="A1231"/>
    <mergeCell ref="B1231"/>
    <mergeCell ref="C1231"/>
    <mergeCell ref="D1231"/>
    <mergeCell ref="E1231"/>
    <mergeCell ref="F1231"/>
    <mergeCell ref="A1230"/>
    <mergeCell ref="B1230"/>
    <mergeCell ref="C1230"/>
    <mergeCell ref="D1230"/>
    <mergeCell ref="E1230"/>
    <mergeCell ref="F1230"/>
    <mergeCell ref="A1229"/>
    <mergeCell ref="B1229"/>
    <mergeCell ref="C1229"/>
    <mergeCell ref="D1229"/>
    <mergeCell ref="E1229"/>
    <mergeCell ref="F1229"/>
    <mergeCell ref="A1225:A1228"/>
    <mergeCell ref="B1225:B1228"/>
    <mergeCell ref="C1225:C1228"/>
    <mergeCell ref="D1225:D1228"/>
    <mergeCell ref="E1225:E1228"/>
    <mergeCell ref="F1225:F1228"/>
    <mergeCell ref="A1224"/>
    <mergeCell ref="B1224"/>
    <mergeCell ref="C1224"/>
    <mergeCell ref="D1224"/>
    <mergeCell ref="E1224"/>
    <mergeCell ref="F1224"/>
    <mergeCell ref="A1221:A1223"/>
    <mergeCell ref="B1221:B1223"/>
    <mergeCell ref="C1221:C1223"/>
    <mergeCell ref="D1221:D1223"/>
    <mergeCell ref="E1221:E1223"/>
    <mergeCell ref="F1221:F1223"/>
    <mergeCell ref="A1218:A1220"/>
    <mergeCell ref="B1218:B1220"/>
    <mergeCell ref="C1218:C1220"/>
    <mergeCell ref="D1218:D1220"/>
    <mergeCell ref="E1218:E1220"/>
    <mergeCell ref="F1218:F1220"/>
    <mergeCell ref="A1214:A1217"/>
    <mergeCell ref="B1214:B1217"/>
    <mergeCell ref="C1214:C1217"/>
    <mergeCell ref="D1214:D1217"/>
    <mergeCell ref="E1214:E1217"/>
    <mergeCell ref="F1214:F1217"/>
    <mergeCell ref="A1210:A1213"/>
    <mergeCell ref="B1210:B1213"/>
    <mergeCell ref="C1210:C1213"/>
    <mergeCell ref="D1210:D1213"/>
    <mergeCell ref="E1210:E1213"/>
    <mergeCell ref="F1210:F1213"/>
    <mergeCell ref="A1206:A1209"/>
    <mergeCell ref="B1206:B1209"/>
    <mergeCell ref="C1206:C1209"/>
    <mergeCell ref="D1206:D1209"/>
    <mergeCell ref="E1206:E1209"/>
    <mergeCell ref="F1206:F1209"/>
    <mergeCell ref="A1202:A1205"/>
    <mergeCell ref="B1202:B1205"/>
    <mergeCell ref="C1202:C1205"/>
    <mergeCell ref="D1202:D1205"/>
    <mergeCell ref="E1202:E1205"/>
    <mergeCell ref="F1202:F1205"/>
    <mergeCell ref="A1199:A1201"/>
    <mergeCell ref="B1199:B1201"/>
    <mergeCell ref="C1199:C1201"/>
    <mergeCell ref="D1199:D1201"/>
    <mergeCell ref="E1199:E1201"/>
    <mergeCell ref="F1199:F1201"/>
    <mergeCell ref="A1196:A1198"/>
    <mergeCell ref="B1196:B1198"/>
    <mergeCell ref="C1196:C1198"/>
    <mergeCell ref="D1196:D1198"/>
    <mergeCell ref="E1196:E1198"/>
    <mergeCell ref="F1196:F1198"/>
    <mergeCell ref="A1194:A1195"/>
    <mergeCell ref="B1194:B1195"/>
    <mergeCell ref="C1194:C1195"/>
    <mergeCell ref="D1194:D1195"/>
    <mergeCell ref="E1194:E1195"/>
    <mergeCell ref="F1194:F1195"/>
    <mergeCell ref="A1193"/>
    <mergeCell ref="B1193"/>
    <mergeCell ref="C1193"/>
    <mergeCell ref="D1193"/>
    <mergeCell ref="E1193"/>
    <mergeCell ref="F1193"/>
    <mergeCell ref="A1192"/>
    <mergeCell ref="B1192"/>
    <mergeCell ref="C1192"/>
    <mergeCell ref="D1192"/>
    <mergeCell ref="E1192"/>
    <mergeCell ref="F1192"/>
    <mergeCell ref="A1191"/>
    <mergeCell ref="B1191"/>
    <mergeCell ref="C1191"/>
    <mergeCell ref="D1191"/>
    <mergeCell ref="E1191"/>
    <mergeCell ref="F1191"/>
    <mergeCell ref="A1190"/>
    <mergeCell ref="B1190"/>
    <mergeCell ref="C1190"/>
    <mergeCell ref="D1190"/>
    <mergeCell ref="E1190"/>
    <mergeCell ref="F1190"/>
    <mergeCell ref="A1189"/>
    <mergeCell ref="B1189"/>
    <mergeCell ref="C1189"/>
    <mergeCell ref="D1189"/>
    <mergeCell ref="E1189"/>
    <mergeCell ref="F1189"/>
    <mergeCell ref="A1188"/>
    <mergeCell ref="B1188"/>
    <mergeCell ref="C1188"/>
    <mergeCell ref="D1188"/>
    <mergeCell ref="E1188"/>
    <mergeCell ref="F1188"/>
    <mergeCell ref="A1187"/>
    <mergeCell ref="B1187"/>
    <mergeCell ref="C1187"/>
    <mergeCell ref="D1187"/>
    <mergeCell ref="E1187"/>
    <mergeCell ref="F1187"/>
    <mergeCell ref="A1186"/>
    <mergeCell ref="B1186"/>
    <mergeCell ref="C1186"/>
    <mergeCell ref="D1186"/>
    <mergeCell ref="E1186"/>
    <mergeCell ref="F1186"/>
    <mergeCell ref="A1185"/>
    <mergeCell ref="B1185"/>
    <mergeCell ref="C1185"/>
    <mergeCell ref="D1185"/>
    <mergeCell ref="E1185"/>
    <mergeCell ref="F1185"/>
    <mergeCell ref="A1184"/>
    <mergeCell ref="B1184"/>
    <mergeCell ref="C1184"/>
    <mergeCell ref="D1184"/>
    <mergeCell ref="E1184"/>
    <mergeCell ref="F1184"/>
    <mergeCell ref="A1181:A1183"/>
    <mergeCell ref="B1181:B1183"/>
    <mergeCell ref="C1181:C1183"/>
    <mergeCell ref="D1181:D1183"/>
    <mergeCell ref="E1181:E1183"/>
    <mergeCell ref="F1181:F1183"/>
    <mergeCell ref="A1180"/>
    <mergeCell ref="B1180"/>
    <mergeCell ref="C1180"/>
    <mergeCell ref="D1180"/>
    <mergeCell ref="E1180"/>
    <mergeCell ref="F1180"/>
    <mergeCell ref="A1179"/>
    <mergeCell ref="B1179"/>
    <mergeCell ref="C1179"/>
    <mergeCell ref="D1179"/>
    <mergeCell ref="E1179"/>
    <mergeCell ref="F1179"/>
    <mergeCell ref="A1178"/>
    <mergeCell ref="B1178"/>
    <mergeCell ref="C1178"/>
    <mergeCell ref="D1178"/>
    <mergeCell ref="E1178"/>
    <mergeCell ref="F1178"/>
    <mergeCell ref="A1177"/>
    <mergeCell ref="B1177"/>
    <mergeCell ref="C1177"/>
    <mergeCell ref="D1177"/>
    <mergeCell ref="E1177"/>
    <mergeCell ref="F1177"/>
    <mergeCell ref="A1176"/>
    <mergeCell ref="B1176"/>
    <mergeCell ref="C1176"/>
    <mergeCell ref="D1176"/>
    <mergeCell ref="E1176"/>
    <mergeCell ref="F1176"/>
    <mergeCell ref="A1175"/>
    <mergeCell ref="B1175"/>
    <mergeCell ref="C1175"/>
    <mergeCell ref="D1175"/>
    <mergeCell ref="E1175"/>
    <mergeCell ref="F1175"/>
    <mergeCell ref="A1174"/>
    <mergeCell ref="B1174"/>
    <mergeCell ref="C1174"/>
    <mergeCell ref="D1174"/>
    <mergeCell ref="E1174"/>
    <mergeCell ref="F1174"/>
    <mergeCell ref="A1170:A1173"/>
    <mergeCell ref="B1170:B1173"/>
    <mergeCell ref="C1170:C1173"/>
    <mergeCell ref="D1170:D1173"/>
    <mergeCell ref="E1170:E1173"/>
    <mergeCell ref="F1170:F1173"/>
    <mergeCell ref="A1169"/>
    <mergeCell ref="B1169"/>
    <mergeCell ref="C1169"/>
    <mergeCell ref="D1169"/>
    <mergeCell ref="E1169"/>
    <mergeCell ref="F1169"/>
    <mergeCell ref="A1166:A1168"/>
    <mergeCell ref="B1166:B1168"/>
    <mergeCell ref="C1166:C1168"/>
    <mergeCell ref="D1166:D1168"/>
    <mergeCell ref="E1166:E1168"/>
    <mergeCell ref="F1166:F1168"/>
    <mergeCell ref="A1163:A1165"/>
    <mergeCell ref="B1163:B1165"/>
    <mergeCell ref="C1163:C1165"/>
    <mergeCell ref="D1163:D1165"/>
    <mergeCell ref="E1163:E1165"/>
    <mergeCell ref="F1163:F1165"/>
    <mergeCell ref="A1160:A1162"/>
    <mergeCell ref="B1160:B1162"/>
    <mergeCell ref="C1160:C1162"/>
    <mergeCell ref="D1160:D1162"/>
    <mergeCell ref="E1160:E1162"/>
    <mergeCell ref="F1160:F1162"/>
    <mergeCell ref="A1156:A1159"/>
    <mergeCell ref="B1156:B1159"/>
    <mergeCell ref="C1156:C1159"/>
    <mergeCell ref="D1156:D1159"/>
    <mergeCell ref="E1156:E1159"/>
    <mergeCell ref="F1156:F1159"/>
    <mergeCell ref="A1152:A1155"/>
    <mergeCell ref="B1152:B1155"/>
    <mergeCell ref="C1152:C1155"/>
    <mergeCell ref="D1152:D1155"/>
    <mergeCell ref="E1152:E1155"/>
    <mergeCell ref="F1152:F1155"/>
    <mergeCell ref="A1148:A1151"/>
    <mergeCell ref="B1148:B1151"/>
    <mergeCell ref="C1148:C1151"/>
    <mergeCell ref="D1148:D1151"/>
    <mergeCell ref="E1148:E1151"/>
    <mergeCell ref="F1148:F1151"/>
    <mergeCell ref="A1144:A1147"/>
    <mergeCell ref="B1144:B1147"/>
    <mergeCell ref="C1144:C1147"/>
    <mergeCell ref="D1144:D1147"/>
    <mergeCell ref="E1144:E1147"/>
    <mergeCell ref="F1144:F1147"/>
    <mergeCell ref="A1142:A1143"/>
    <mergeCell ref="B1142:B1143"/>
    <mergeCell ref="C1142:C1143"/>
    <mergeCell ref="D1142:D1143"/>
    <mergeCell ref="E1142:E1143"/>
    <mergeCell ref="F1142:F1143"/>
    <mergeCell ref="A1140:A1141"/>
    <mergeCell ref="B1140:B1141"/>
    <mergeCell ref="C1140:C1141"/>
    <mergeCell ref="D1140:D1141"/>
    <mergeCell ref="E1140:E1141"/>
    <mergeCell ref="F1140:F1141"/>
    <mergeCell ref="A1138:A1139"/>
    <mergeCell ref="B1138:B1139"/>
    <mergeCell ref="C1138:C1139"/>
    <mergeCell ref="D1138:D1139"/>
    <mergeCell ref="E1138:E1139"/>
    <mergeCell ref="F1138:F1139"/>
    <mergeCell ref="A1137"/>
    <mergeCell ref="B1137"/>
    <mergeCell ref="C1137"/>
    <mergeCell ref="D1137"/>
    <mergeCell ref="E1137"/>
    <mergeCell ref="F1137"/>
    <mergeCell ref="A1135:A1136"/>
    <mergeCell ref="B1135:B1136"/>
    <mergeCell ref="C1135:C1136"/>
    <mergeCell ref="D1135:D1136"/>
    <mergeCell ref="E1135:E1136"/>
    <mergeCell ref="F1135:F1136"/>
    <mergeCell ref="A1131:A1134"/>
    <mergeCell ref="B1131:B1134"/>
    <mergeCell ref="C1131:C1134"/>
    <mergeCell ref="D1131:D1134"/>
    <mergeCell ref="E1131:E1134"/>
    <mergeCell ref="F1131:F1134"/>
    <mergeCell ref="A1130"/>
    <mergeCell ref="B1130"/>
    <mergeCell ref="C1130"/>
    <mergeCell ref="D1130"/>
    <mergeCell ref="E1130"/>
    <mergeCell ref="F1130"/>
    <mergeCell ref="A1127:A1129"/>
    <mergeCell ref="B1127:B1129"/>
    <mergeCell ref="C1127:C1129"/>
    <mergeCell ref="D1127:D1129"/>
    <mergeCell ref="E1127:E1129"/>
    <mergeCell ref="F1127:F1129"/>
    <mergeCell ref="A1126"/>
    <mergeCell ref="B1126"/>
    <mergeCell ref="C1126"/>
    <mergeCell ref="D1126"/>
    <mergeCell ref="E1126"/>
    <mergeCell ref="F1126"/>
    <mergeCell ref="A1125"/>
    <mergeCell ref="B1125"/>
    <mergeCell ref="C1125"/>
    <mergeCell ref="D1125"/>
    <mergeCell ref="E1125"/>
    <mergeCell ref="F1125"/>
    <mergeCell ref="A1124"/>
    <mergeCell ref="B1124"/>
    <mergeCell ref="C1124"/>
    <mergeCell ref="D1124"/>
    <mergeCell ref="E1124"/>
    <mergeCell ref="F1124"/>
    <mergeCell ref="A1123"/>
    <mergeCell ref="B1123"/>
    <mergeCell ref="C1123"/>
    <mergeCell ref="D1123"/>
    <mergeCell ref="E1123"/>
    <mergeCell ref="F1123"/>
    <mergeCell ref="A1122"/>
    <mergeCell ref="B1122"/>
    <mergeCell ref="C1122"/>
    <mergeCell ref="D1122"/>
    <mergeCell ref="E1122"/>
    <mergeCell ref="F1122"/>
    <mergeCell ref="A1121"/>
    <mergeCell ref="B1121"/>
    <mergeCell ref="C1121"/>
    <mergeCell ref="D1121"/>
    <mergeCell ref="E1121"/>
    <mergeCell ref="F1121"/>
    <mergeCell ref="A1120"/>
    <mergeCell ref="B1120"/>
    <mergeCell ref="C1120"/>
    <mergeCell ref="D1120"/>
    <mergeCell ref="E1120"/>
    <mergeCell ref="F1120"/>
    <mergeCell ref="A1119"/>
    <mergeCell ref="B1119"/>
    <mergeCell ref="C1119"/>
    <mergeCell ref="D1119"/>
    <mergeCell ref="E1119"/>
    <mergeCell ref="F1119"/>
    <mergeCell ref="A1118"/>
    <mergeCell ref="B1118"/>
    <mergeCell ref="C1118"/>
    <mergeCell ref="D1118"/>
    <mergeCell ref="E1118"/>
    <mergeCell ref="F1118"/>
    <mergeCell ref="A1117"/>
    <mergeCell ref="B1117"/>
    <mergeCell ref="C1117"/>
    <mergeCell ref="D1117"/>
    <mergeCell ref="E1117"/>
    <mergeCell ref="F1117"/>
    <mergeCell ref="A1116"/>
    <mergeCell ref="B1116"/>
    <mergeCell ref="C1116"/>
    <mergeCell ref="D1116"/>
    <mergeCell ref="E1116"/>
    <mergeCell ref="F1116"/>
    <mergeCell ref="A1115"/>
    <mergeCell ref="B1115"/>
    <mergeCell ref="C1115"/>
    <mergeCell ref="D1115"/>
    <mergeCell ref="E1115"/>
    <mergeCell ref="F1115"/>
    <mergeCell ref="A1114"/>
    <mergeCell ref="B1114"/>
    <mergeCell ref="C1114"/>
    <mergeCell ref="D1114"/>
    <mergeCell ref="E1114"/>
    <mergeCell ref="F1114"/>
    <mergeCell ref="A1113"/>
    <mergeCell ref="B1113"/>
    <mergeCell ref="C1113"/>
    <mergeCell ref="D1113"/>
    <mergeCell ref="E1113"/>
    <mergeCell ref="F1113"/>
    <mergeCell ref="A1112"/>
    <mergeCell ref="B1112"/>
    <mergeCell ref="C1112"/>
    <mergeCell ref="D1112"/>
    <mergeCell ref="E1112"/>
    <mergeCell ref="F1112"/>
    <mergeCell ref="A1111"/>
    <mergeCell ref="B1111"/>
    <mergeCell ref="C1111"/>
    <mergeCell ref="D1111"/>
    <mergeCell ref="E1111"/>
    <mergeCell ref="F1111"/>
    <mergeCell ref="A1110"/>
    <mergeCell ref="B1110"/>
    <mergeCell ref="C1110"/>
    <mergeCell ref="D1110"/>
    <mergeCell ref="E1110"/>
    <mergeCell ref="F1110"/>
    <mergeCell ref="A1109"/>
    <mergeCell ref="B1109"/>
    <mergeCell ref="C1109"/>
    <mergeCell ref="D1109"/>
    <mergeCell ref="E1109"/>
    <mergeCell ref="F1109"/>
    <mergeCell ref="A1108"/>
    <mergeCell ref="B1108"/>
    <mergeCell ref="C1108"/>
    <mergeCell ref="D1108"/>
    <mergeCell ref="E1108"/>
    <mergeCell ref="F1108"/>
    <mergeCell ref="A1107"/>
    <mergeCell ref="B1107"/>
    <mergeCell ref="C1107"/>
    <mergeCell ref="D1107"/>
    <mergeCell ref="E1107"/>
    <mergeCell ref="F1107"/>
    <mergeCell ref="A1106"/>
    <mergeCell ref="B1106"/>
    <mergeCell ref="C1106"/>
    <mergeCell ref="D1106"/>
    <mergeCell ref="E1106"/>
    <mergeCell ref="F1106"/>
    <mergeCell ref="A1105"/>
    <mergeCell ref="B1105"/>
    <mergeCell ref="C1105"/>
    <mergeCell ref="D1105"/>
    <mergeCell ref="E1105"/>
    <mergeCell ref="F1105"/>
    <mergeCell ref="A1104"/>
    <mergeCell ref="B1104"/>
    <mergeCell ref="C1104"/>
    <mergeCell ref="D1104"/>
    <mergeCell ref="E1104"/>
    <mergeCell ref="F1104"/>
    <mergeCell ref="A1103"/>
    <mergeCell ref="B1103"/>
    <mergeCell ref="C1103"/>
    <mergeCell ref="D1103"/>
    <mergeCell ref="E1103"/>
    <mergeCell ref="F1103"/>
    <mergeCell ref="A1102"/>
    <mergeCell ref="B1102"/>
    <mergeCell ref="C1102"/>
    <mergeCell ref="D1102"/>
    <mergeCell ref="E1102"/>
    <mergeCell ref="F1102"/>
    <mergeCell ref="A1101"/>
    <mergeCell ref="B1101"/>
    <mergeCell ref="C1101"/>
    <mergeCell ref="D1101"/>
    <mergeCell ref="E1101"/>
    <mergeCell ref="F1101"/>
    <mergeCell ref="A1100"/>
    <mergeCell ref="B1100"/>
    <mergeCell ref="C1100"/>
    <mergeCell ref="D1100"/>
    <mergeCell ref="E1100"/>
    <mergeCell ref="F1100"/>
    <mergeCell ref="A1099"/>
    <mergeCell ref="B1099"/>
    <mergeCell ref="C1099"/>
    <mergeCell ref="D1099"/>
    <mergeCell ref="E1099"/>
    <mergeCell ref="F1099"/>
    <mergeCell ref="A1097:A1098"/>
    <mergeCell ref="B1097:B1098"/>
    <mergeCell ref="C1097:C1098"/>
    <mergeCell ref="D1097:D1098"/>
    <mergeCell ref="E1097:E1098"/>
    <mergeCell ref="F1097:F1098"/>
    <mergeCell ref="A1096"/>
    <mergeCell ref="B1096"/>
    <mergeCell ref="C1096"/>
    <mergeCell ref="D1096"/>
    <mergeCell ref="E1096"/>
    <mergeCell ref="F1096"/>
    <mergeCell ref="A1095"/>
    <mergeCell ref="B1095"/>
    <mergeCell ref="C1095"/>
    <mergeCell ref="D1095"/>
    <mergeCell ref="E1095"/>
    <mergeCell ref="F1095"/>
    <mergeCell ref="A1092:A1094"/>
    <mergeCell ref="B1092:B1094"/>
    <mergeCell ref="C1092:C1094"/>
    <mergeCell ref="D1092:D1094"/>
    <mergeCell ref="E1092:E1094"/>
    <mergeCell ref="F1092:F1094"/>
    <mergeCell ref="A1090:A1091"/>
    <mergeCell ref="B1090:B1091"/>
    <mergeCell ref="C1090:C1091"/>
    <mergeCell ref="D1090:D1091"/>
    <mergeCell ref="E1090:E1091"/>
    <mergeCell ref="F1090:F1091"/>
    <mergeCell ref="A1089"/>
    <mergeCell ref="B1089"/>
    <mergeCell ref="C1089"/>
    <mergeCell ref="D1089"/>
    <mergeCell ref="E1089"/>
    <mergeCell ref="F1089"/>
    <mergeCell ref="A1088"/>
    <mergeCell ref="B1088"/>
    <mergeCell ref="C1088"/>
    <mergeCell ref="D1088"/>
    <mergeCell ref="E1088"/>
    <mergeCell ref="F1088"/>
    <mergeCell ref="A1087"/>
    <mergeCell ref="B1087"/>
    <mergeCell ref="C1087"/>
    <mergeCell ref="D1087"/>
    <mergeCell ref="E1087"/>
    <mergeCell ref="F1087"/>
    <mergeCell ref="A1086"/>
    <mergeCell ref="B1086"/>
    <mergeCell ref="C1086"/>
    <mergeCell ref="D1086"/>
    <mergeCell ref="E1086"/>
    <mergeCell ref="F1086"/>
    <mergeCell ref="A1085"/>
    <mergeCell ref="B1085"/>
    <mergeCell ref="C1085"/>
    <mergeCell ref="D1085"/>
    <mergeCell ref="E1085"/>
    <mergeCell ref="F1085"/>
    <mergeCell ref="A1084"/>
    <mergeCell ref="B1084"/>
    <mergeCell ref="C1084"/>
    <mergeCell ref="D1084"/>
    <mergeCell ref="E1084"/>
    <mergeCell ref="F1084"/>
    <mergeCell ref="A1083"/>
    <mergeCell ref="B1083"/>
    <mergeCell ref="C1083"/>
    <mergeCell ref="D1083"/>
    <mergeCell ref="E1083"/>
    <mergeCell ref="F1083"/>
    <mergeCell ref="A1082"/>
    <mergeCell ref="B1082"/>
    <mergeCell ref="C1082"/>
    <mergeCell ref="D1082"/>
    <mergeCell ref="E1082"/>
    <mergeCell ref="F1082"/>
    <mergeCell ref="A1081"/>
    <mergeCell ref="B1081"/>
    <mergeCell ref="C1081"/>
    <mergeCell ref="D1081"/>
    <mergeCell ref="E1081"/>
    <mergeCell ref="F1081"/>
    <mergeCell ref="A1080"/>
    <mergeCell ref="B1080"/>
    <mergeCell ref="C1080"/>
    <mergeCell ref="D1080"/>
    <mergeCell ref="E1080"/>
    <mergeCell ref="F1080"/>
    <mergeCell ref="A1079"/>
    <mergeCell ref="B1079"/>
    <mergeCell ref="C1079"/>
    <mergeCell ref="D1079"/>
    <mergeCell ref="E1079"/>
    <mergeCell ref="F1079"/>
    <mergeCell ref="A1078"/>
    <mergeCell ref="B1078"/>
    <mergeCell ref="C1078"/>
    <mergeCell ref="D1078"/>
    <mergeCell ref="E1078"/>
    <mergeCell ref="F1078"/>
    <mergeCell ref="A1077"/>
    <mergeCell ref="B1077"/>
    <mergeCell ref="C1077"/>
    <mergeCell ref="D1077"/>
    <mergeCell ref="E1077"/>
    <mergeCell ref="F1077"/>
    <mergeCell ref="A1075:A1076"/>
    <mergeCell ref="B1075:B1076"/>
    <mergeCell ref="C1075:C1076"/>
    <mergeCell ref="D1075:D1076"/>
    <mergeCell ref="E1075:E1076"/>
    <mergeCell ref="F1075:F1076"/>
    <mergeCell ref="A1074"/>
    <mergeCell ref="B1074"/>
    <mergeCell ref="C1074"/>
    <mergeCell ref="D1074"/>
    <mergeCell ref="E1074"/>
    <mergeCell ref="F1074"/>
    <mergeCell ref="A1073"/>
    <mergeCell ref="B1073"/>
    <mergeCell ref="C1073"/>
    <mergeCell ref="D1073"/>
    <mergeCell ref="E1073"/>
    <mergeCell ref="F1073"/>
    <mergeCell ref="A1072"/>
    <mergeCell ref="B1072"/>
    <mergeCell ref="C1072"/>
    <mergeCell ref="D1072"/>
    <mergeCell ref="E1072"/>
    <mergeCell ref="F1072"/>
    <mergeCell ref="A1071"/>
    <mergeCell ref="B1071"/>
    <mergeCell ref="C1071"/>
    <mergeCell ref="D1071"/>
    <mergeCell ref="E1071"/>
    <mergeCell ref="F1071"/>
    <mergeCell ref="A1070"/>
    <mergeCell ref="B1070"/>
    <mergeCell ref="C1070"/>
    <mergeCell ref="D1070"/>
    <mergeCell ref="E1070"/>
    <mergeCell ref="F1070"/>
    <mergeCell ref="A1069"/>
    <mergeCell ref="B1069"/>
    <mergeCell ref="C1069"/>
    <mergeCell ref="D1069"/>
    <mergeCell ref="E1069"/>
    <mergeCell ref="F1069"/>
    <mergeCell ref="A1068"/>
    <mergeCell ref="B1068"/>
    <mergeCell ref="C1068"/>
    <mergeCell ref="D1068"/>
    <mergeCell ref="E1068"/>
    <mergeCell ref="F1068"/>
    <mergeCell ref="A1066:A1067"/>
    <mergeCell ref="B1066:B1067"/>
    <mergeCell ref="C1066:C1067"/>
    <mergeCell ref="D1066:D1067"/>
    <mergeCell ref="E1066:E1067"/>
    <mergeCell ref="F1066:F1067"/>
    <mergeCell ref="A1065"/>
    <mergeCell ref="B1065"/>
    <mergeCell ref="C1065"/>
    <mergeCell ref="D1065"/>
    <mergeCell ref="E1065"/>
    <mergeCell ref="F1065"/>
    <mergeCell ref="A1064"/>
    <mergeCell ref="B1064"/>
    <mergeCell ref="C1064"/>
    <mergeCell ref="D1064"/>
    <mergeCell ref="E1064"/>
    <mergeCell ref="F1064"/>
    <mergeCell ref="A1063"/>
    <mergeCell ref="B1063"/>
    <mergeCell ref="C1063"/>
    <mergeCell ref="D1063"/>
    <mergeCell ref="E1063"/>
    <mergeCell ref="F1063"/>
    <mergeCell ref="A1062"/>
    <mergeCell ref="B1062"/>
    <mergeCell ref="C1062"/>
    <mergeCell ref="D1062"/>
    <mergeCell ref="E1062"/>
    <mergeCell ref="F1062"/>
    <mergeCell ref="A1061"/>
    <mergeCell ref="B1061"/>
    <mergeCell ref="C1061"/>
    <mergeCell ref="D1061"/>
    <mergeCell ref="E1061"/>
    <mergeCell ref="F1061"/>
    <mergeCell ref="A1060"/>
    <mergeCell ref="B1060"/>
    <mergeCell ref="C1060"/>
    <mergeCell ref="D1060"/>
    <mergeCell ref="E1060"/>
    <mergeCell ref="F1060"/>
    <mergeCell ref="A1059"/>
    <mergeCell ref="B1059"/>
    <mergeCell ref="C1059"/>
    <mergeCell ref="D1059"/>
    <mergeCell ref="E1059"/>
    <mergeCell ref="F1059"/>
    <mergeCell ref="A1058"/>
    <mergeCell ref="B1058"/>
    <mergeCell ref="C1058"/>
    <mergeCell ref="D1058"/>
    <mergeCell ref="E1058"/>
    <mergeCell ref="F1058"/>
    <mergeCell ref="A1057"/>
    <mergeCell ref="B1057"/>
    <mergeCell ref="C1057"/>
    <mergeCell ref="D1057"/>
    <mergeCell ref="E1057"/>
    <mergeCell ref="F1057"/>
    <mergeCell ref="A1055:A1056"/>
    <mergeCell ref="B1055:B1056"/>
    <mergeCell ref="C1055:C1056"/>
    <mergeCell ref="D1055:D1056"/>
    <mergeCell ref="E1055:E1056"/>
    <mergeCell ref="F1055:F1056"/>
    <mergeCell ref="A1053:A1054"/>
    <mergeCell ref="B1053:B1054"/>
    <mergeCell ref="C1053:C1054"/>
    <mergeCell ref="D1053:D1054"/>
    <mergeCell ref="E1053:E1054"/>
    <mergeCell ref="F1053:F1054"/>
    <mergeCell ref="A1051:A1052"/>
    <mergeCell ref="B1051:B1052"/>
    <mergeCell ref="C1051:C1052"/>
    <mergeCell ref="D1051:D1052"/>
    <mergeCell ref="E1051:E1052"/>
    <mergeCell ref="F1051:F1052"/>
    <mergeCell ref="A1050"/>
    <mergeCell ref="B1050"/>
    <mergeCell ref="C1050"/>
    <mergeCell ref="D1050"/>
    <mergeCell ref="E1050"/>
    <mergeCell ref="F1050"/>
    <mergeCell ref="A1048:A1049"/>
    <mergeCell ref="B1048:B1049"/>
    <mergeCell ref="C1048:C1049"/>
    <mergeCell ref="D1048:D1049"/>
    <mergeCell ref="E1048:E1049"/>
    <mergeCell ref="F1048:F1049"/>
    <mergeCell ref="A1047"/>
    <mergeCell ref="B1047"/>
    <mergeCell ref="C1047"/>
    <mergeCell ref="D1047"/>
    <mergeCell ref="E1047"/>
    <mergeCell ref="F1047"/>
    <mergeCell ref="A1045:A1046"/>
    <mergeCell ref="B1045:B1046"/>
    <mergeCell ref="C1045:C1046"/>
    <mergeCell ref="D1045:D1046"/>
    <mergeCell ref="E1045:E1046"/>
    <mergeCell ref="F1045:F1046"/>
    <mergeCell ref="A1030:A1044"/>
    <mergeCell ref="B1030:B1044"/>
    <mergeCell ref="C1030:C1044"/>
    <mergeCell ref="D1030:D1044"/>
    <mergeCell ref="E1030:E1044"/>
    <mergeCell ref="F1030:F1044"/>
    <mergeCell ref="A1029"/>
    <mergeCell ref="B1029"/>
    <mergeCell ref="C1029"/>
    <mergeCell ref="D1029"/>
    <mergeCell ref="E1029"/>
    <mergeCell ref="F1029"/>
    <mergeCell ref="A1028"/>
    <mergeCell ref="B1028"/>
    <mergeCell ref="C1028"/>
    <mergeCell ref="D1028"/>
    <mergeCell ref="E1028"/>
    <mergeCell ref="F1028"/>
    <mergeCell ref="A1027"/>
    <mergeCell ref="B1027"/>
    <mergeCell ref="C1027"/>
    <mergeCell ref="D1027"/>
    <mergeCell ref="E1027"/>
    <mergeCell ref="F1027"/>
    <mergeCell ref="A1026"/>
    <mergeCell ref="B1026"/>
    <mergeCell ref="C1026"/>
    <mergeCell ref="D1026"/>
    <mergeCell ref="E1026"/>
    <mergeCell ref="F1026"/>
    <mergeCell ref="A1025"/>
    <mergeCell ref="B1025"/>
    <mergeCell ref="C1025"/>
    <mergeCell ref="D1025"/>
    <mergeCell ref="E1025"/>
    <mergeCell ref="F1025"/>
    <mergeCell ref="A1024"/>
    <mergeCell ref="B1024"/>
    <mergeCell ref="C1024"/>
    <mergeCell ref="D1024"/>
    <mergeCell ref="E1024"/>
    <mergeCell ref="F1024"/>
    <mergeCell ref="A1023"/>
    <mergeCell ref="B1023"/>
    <mergeCell ref="C1023"/>
    <mergeCell ref="D1023"/>
    <mergeCell ref="E1023"/>
    <mergeCell ref="F1023"/>
    <mergeCell ref="A1022"/>
    <mergeCell ref="B1022"/>
    <mergeCell ref="C1022"/>
    <mergeCell ref="D1022"/>
    <mergeCell ref="E1022"/>
    <mergeCell ref="F1022"/>
    <mergeCell ref="A1021"/>
    <mergeCell ref="B1021"/>
    <mergeCell ref="C1021"/>
    <mergeCell ref="D1021"/>
    <mergeCell ref="E1021"/>
    <mergeCell ref="F1021"/>
    <mergeCell ref="A1020"/>
    <mergeCell ref="B1020"/>
    <mergeCell ref="C1020"/>
    <mergeCell ref="D1020"/>
    <mergeCell ref="E1020"/>
    <mergeCell ref="F1020"/>
    <mergeCell ref="A1018:A1019"/>
    <mergeCell ref="B1018:B1019"/>
    <mergeCell ref="C1018:C1019"/>
    <mergeCell ref="D1018:D1019"/>
    <mergeCell ref="E1018:E1019"/>
    <mergeCell ref="F1018:F1019"/>
    <mergeCell ref="A1017"/>
    <mergeCell ref="B1017"/>
    <mergeCell ref="C1017"/>
    <mergeCell ref="D1017"/>
    <mergeCell ref="E1017"/>
    <mergeCell ref="F1017"/>
    <mergeCell ref="A1016"/>
    <mergeCell ref="B1016"/>
    <mergeCell ref="C1016"/>
    <mergeCell ref="D1016"/>
    <mergeCell ref="E1016"/>
    <mergeCell ref="F1016"/>
    <mergeCell ref="A1015"/>
    <mergeCell ref="B1015"/>
    <mergeCell ref="C1015"/>
    <mergeCell ref="D1015"/>
    <mergeCell ref="E1015"/>
    <mergeCell ref="F1015"/>
    <mergeCell ref="A1014"/>
    <mergeCell ref="B1014"/>
    <mergeCell ref="C1014"/>
    <mergeCell ref="D1014"/>
    <mergeCell ref="E1014"/>
    <mergeCell ref="F1014"/>
    <mergeCell ref="A1013"/>
    <mergeCell ref="B1013"/>
    <mergeCell ref="C1013"/>
    <mergeCell ref="D1013"/>
    <mergeCell ref="E1013"/>
    <mergeCell ref="F1013"/>
    <mergeCell ref="A1012"/>
    <mergeCell ref="B1012"/>
    <mergeCell ref="C1012"/>
    <mergeCell ref="D1012"/>
    <mergeCell ref="E1012"/>
    <mergeCell ref="F1012"/>
    <mergeCell ref="A1011"/>
    <mergeCell ref="B1011"/>
    <mergeCell ref="C1011"/>
    <mergeCell ref="D1011"/>
    <mergeCell ref="E1011"/>
    <mergeCell ref="F1011"/>
    <mergeCell ref="A1010"/>
    <mergeCell ref="B1010"/>
    <mergeCell ref="C1010"/>
    <mergeCell ref="D1010"/>
    <mergeCell ref="E1010"/>
    <mergeCell ref="F1010"/>
    <mergeCell ref="A1009"/>
    <mergeCell ref="B1009"/>
    <mergeCell ref="C1009"/>
    <mergeCell ref="D1009"/>
    <mergeCell ref="E1009"/>
    <mergeCell ref="F1009"/>
    <mergeCell ref="A1008"/>
    <mergeCell ref="B1008"/>
    <mergeCell ref="C1008"/>
    <mergeCell ref="D1008"/>
    <mergeCell ref="E1008"/>
    <mergeCell ref="F1008"/>
    <mergeCell ref="A1007"/>
    <mergeCell ref="B1007"/>
    <mergeCell ref="C1007"/>
    <mergeCell ref="D1007"/>
    <mergeCell ref="E1007"/>
    <mergeCell ref="F1007"/>
    <mergeCell ref="A1006"/>
    <mergeCell ref="B1006"/>
    <mergeCell ref="C1006"/>
    <mergeCell ref="D1006"/>
    <mergeCell ref="E1006"/>
    <mergeCell ref="F1006"/>
    <mergeCell ref="A1005"/>
    <mergeCell ref="B1005"/>
    <mergeCell ref="C1005"/>
    <mergeCell ref="D1005"/>
    <mergeCell ref="E1005"/>
    <mergeCell ref="F1005"/>
    <mergeCell ref="A1004"/>
    <mergeCell ref="B1004"/>
    <mergeCell ref="C1004"/>
    <mergeCell ref="D1004"/>
    <mergeCell ref="E1004"/>
    <mergeCell ref="F1004"/>
    <mergeCell ref="A1003"/>
    <mergeCell ref="B1003"/>
    <mergeCell ref="C1003"/>
    <mergeCell ref="D1003"/>
    <mergeCell ref="E1003"/>
    <mergeCell ref="F1003"/>
    <mergeCell ref="A1002"/>
    <mergeCell ref="B1002"/>
    <mergeCell ref="C1002"/>
    <mergeCell ref="D1002"/>
    <mergeCell ref="E1002"/>
    <mergeCell ref="F1002"/>
    <mergeCell ref="A1001"/>
    <mergeCell ref="B1001"/>
    <mergeCell ref="C1001"/>
    <mergeCell ref="D1001"/>
    <mergeCell ref="E1001"/>
    <mergeCell ref="F1001"/>
    <mergeCell ref="A1000"/>
    <mergeCell ref="B1000"/>
    <mergeCell ref="C1000"/>
    <mergeCell ref="D1000"/>
    <mergeCell ref="E1000"/>
    <mergeCell ref="F1000"/>
    <mergeCell ref="A999"/>
    <mergeCell ref="B999"/>
    <mergeCell ref="C999"/>
    <mergeCell ref="D999"/>
    <mergeCell ref="E999"/>
    <mergeCell ref="F999"/>
    <mergeCell ref="A998"/>
    <mergeCell ref="B998"/>
    <mergeCell ref="C998"/>
    <mergeCell ref="D998"/>
    <mergeCell ref="E998"/>
    <mergeCell ref="F998"/>
    <mergeCell ref="A997"/>
    <mergeCell ref="B997"/>
    <mergeCell ref="C997"/>
    <mergeCell ref="D997"/>
    <mergeCell ref="E997"/>
    <mergeCell ref="F997"/>
    <mergeCell ref="A996"/>
    <mergeCell ref="B996"/>
    <mergeCell ref="C996"/>
    <mergeCell ref="D996"/>
    <mergeCell ref="E996"/>
    <mergeCell ref="F996"/>
    <mergeCell ref="A995"/>
    <mergeCell ref="B995"/>
    <mergeCell ref="C995"/>
    <mergeCell ref="D995"/>
    <mergeCell ref="E995"/>
    <mergeCell ref="F995"/>
    <mergeCell ref="A994"/>
    <mergeCell ref="B994"/>
    <mergeCell ref="C994"/>
    <mergeCell ref="D994"/>
    <mergeCell ref="E994"/>
    <mergeCell ref="F994"/>
    <mergeCell ref="A991:A993"/>
    <mergeCell ref="B991:B993"/>
    <mergeCell ref="C991:C993"/>
    <mergeCell ref="D991:D993"/>
    <mergeCell ref="E991:E993"/>
    <mergeCell ref="F991:F993"/>
    <mergeCell ref="A990"/>
    <mergeCell ref="B990"/>
    <mergeCell ref="C990"/>
    <mergeCell ref="D990"/>
    <mergeCell ref="E990"/>
    <mergeCell ref="F990"/>
    <mergeCell ref="A989"/>
    <mergeCell ref="B989"/>
    <mergeCell ref="C989"/>
    <mergeCell ref="D989"/>
    <mergeCell ref="E989"/>
    <mergeCell ref="F989"/>
    <mergeCell ref="A988"/>
    <mergeCell ref="B988"/>
    <mergeCell ref="C988"/>
    <mergeCell ref="D988"/>
    <mergeCell ref="E988"/>
    <mergeCell ref="F988"/>
    <mergeCell ref="A987"/>
    <mergeCell ref="B987"/>
    <mergeCell ref="C987"/>
    <mergeCell ref="D987"/>
    <mergeCell ref="E987"/>
    <mergeCell ref="F987"/>
    <mergeCell ref="A986"/>
    <mergeCell ref="B986"/>
    <mergeCell ref="C986"/>
    <mergeCell ref="D986"/>
    <mergeCell ref="E986"/>
    <mergeCell ref="F986"/>
    <mergeCell ref="A985"/>
    <mergeCell ref="B985"/>
    <mergeCell ref="C985"/>
    <mergeCell ref="D985"/>
    <mergeCell ref="E985"/>
    <mergeCell ref="F985"/>
    <mergeCell ref="A984"/>
    <mergeCell ref="B984"/>
    <mergeCell ref="C984"/>
    <mergeCell ref="D984"/>
    <mergeCell ref="E984"/>
    <mergeCell ref="F984"/>
    <mergeCell ref="A983"/>
    <mergeCell ref="B983"/>
    <mergeCell ref="C983"/>
    <mergeCell ref="D983"/>
    <mergeCell ref="E983"/>
    <mergeCell ref="F983"/>
    <mergeCell ref="A982"/>
    <mergeCell ref="B982"/>
    <mergeCell ref="C982"/>
    <mergeCell ref="D982"/>
    <mergeCell ref="E982"/>
    <mergeCell ref="F982"/>
    <mergeCell ref="A981"/>
    <mergeCell ref="B981"/>
    <mergeCell ref="C981"/>
    <mergeCell ref="D981"/>
    <mergeCell ref="E981"/>
    <mergeCell ref="F981"/>
    <mergeCell ref="A980"/>
    <mergeCell ref="B980"/>
    <mergeCell ref="C980"/>
    <mergeCell ref="D980"/>
    <mergeCell ref="E980"/>
    <mergeCell ref="F980"/>
    <mergeCell ref="A979"/>
    <mergeCell ref="B979"/>
    <mergeCell ref="C979"/>
    <mergeCell ref="D979"/>
    <mergeCell ref="E979"/>
    <mergeCell ref="F979"/>
    <mergeCell ref="A978"/>
    <mergeCell ref="B978"/>
    <mergeCell ref="C978"/>
    <mergeCell ref="D978"/>
    <mergeCell ref="E978"/>
    <mergeCell ref="F978"/>
    <mergeCell ref="A977"/>
    <mergeCell ref="B977"/>
    <mergeCell ref="C977"/>
    <mergeCell ref="D977"/>
    <mergeCell ref="E977"/>
    <mergeCell ref="F977"/>
    <mergeCell ref="A976"/>
    <mergeCell ref="B976"/>
    <mergeCell ref="C976"/>
    <mergeCell ref="D976"/>
    <mergeCell ref="E976"/>
    <mergeCell ref="F976"/>
    <mergeCell ref="A975"/>
    <mergeCell ref="B975"/>
    <mergeCell ref="C975"/>
    <mergeCell ref="D975"/>
    <mergeCell ref="E975"/>
    <mergeCell ref="F975"/>
    <mergeCell ref="A974"/>
    <mergeCell ref="B974"/>
    <mergeCell ref="C974"/>
    <mergeCell ref="D974"/>
    <mergeCell ref="E974"/>
    <mergeCell ref="F974"/>
    <mergeCell ref="A973"/>
    <mergeCell ref="B973"/>
    <mergeCell ref="C973"/>
    <mergeCell ref="D973"/>
    <mergeCell ref="E973"/>
    <mergeCell ref="F973"/>
    <mergeCell ref="A972"/>
    <mergeCell ref="B972"/>
    <mergeCell ref="C972"/>
    <mergeCell ref="D972"/>
    <mergeCell ref="E972"/>
    <mergeCell ref="F972"/>
    <mergeCell ref="A971"/>
    <mergeCell ref="B971"/>
    <mergeCell ref="C971"/>
    <mergeCell ref="D971"/>
    <mergeCell ref="E971"/>
    <mergeCell ref="F971"/>
    <mergeCell ref="A970"/>
    <mergeCell ref="B970"/>
    <mergeCell ref="C970"/>
    <mergeCell ref="D970"/>
    <mergeCell ref="E970"/>
    <mergeCell ref="F970"/>
    <mergeCell ref="A969"/>
    <mergeCell ref="B969"/>
    <mergeCell ref="C969"/>
    <mergeCell ref="D969"/>
    <mergeCell ref="E969"/>
    <mergeCell ref="F969"/>
    <mergeCell ref="A968"/>
    <mergeCell ref="B968"/>
    <mergeCell ref="C968"/>
    <mergeCell ref="D968"/>
    <mergeCell ref="E968"/>
    <mergeCell ref="F968"/>
    <mergeCell ref="A967"/>
    <mergeCell ref="B967"/>
    <mergeCell ref="C967"/>
    <mergeCell ref="D967"/>
    <mergeCell ref="E967"/>
    <mergeCell ref="F967"/>
    <mergeCell ref="A964:A966"/>
    <mergeCell ref="B964:B966"/>
    <mergeCell ref="C964:C966"/>
    <mergeCell ref="D964:D966"/>
    <mergeCell ref="E964:E966"/>
    <mergeCell ref="F964:F966"/>
    <mergeCell ref="A962:A963"/>
    <mergeCell ref="B962:B963"/>
    <mergeCell ref="C962:C963"/>
    <mergeCell ref="D962:D963"/>
    <mergeCell ref="E962:E963"/>
    <mergeCell ref="F962:F963"/>
    <mergeCell ref="A961"/>
    <mergeCell ref="B961"/>
    <mergeCell ref="C961"/>
    <mergeCell ref="D961"/>
    <mergeCell ref="E961"/>
    <mergeCell ref="F961"/>
    <mergeCell ref="A960"/>
    <mergeCell ref="B960"/>
    <mergeCell ref="C960"/>
    <mergeCell ref="D960"/>
    <mergeCell ref="E960"/>
    <mergeCell ref="F960"/>
    <mergeCell ref="A959"/>
    <mergeCell ref="B959"/>
    <mergeCell ref="C959"/>
    <mergeCell ref="D959"/>
    <mergeCell ref="E959"/>
    <mergeCell ref="F959"/>
    <mergeCell ref="A958"/>
    <mergeCell ref="B958"/>
    <mergeCell ref="C958"/>
    <mergeCell ref="D958"/>
    <mergeCell ref="E958"/>
    <mergeCell ref="F958"/>
    <mergeCell ref="A957"/>
    <mergeCell ref="B957"/>
    <mergeCell ref="C957"/>
    <mergeCell ref="D957"/>
    <mergeCell ref="E957"/>
    <mergeCell ref="F957"/>
    <mergeCell ref="A955:A956"/>
    <mergeCell ref="B955:B956"/>
    <mergeCell ref="C955:C956"/>
    <mergeCell ref="D955:D956"/>
    <mergeCell ref="E955:E956"/>
    <mergeCell ref="F955:F956"/>
    <mergeCell ref="A954"/>
    <mergeCell ref="B954"/>
    <mergeCell ref="C954"/>
    <mergeCell ref="D954"/>
    <mergeCell ref="E954"/>
    <mergeCell ref="F954"/>
    <mergeCell ref="A951:A953"/>
    <mergeCell ref="B951:B953"/>
    <mergeCell ref="C951:C953"/>
    <mergeCell ref="D951:D953"/>
    <mergeCell ref="E951:E953"/>
    <mergeCell ref="F951:F953"/>
    <mergeCell ref="A949:A950"/>
    <mergeCell ref="B949:B950"/>
    <mergeCell ref="C949:C950"/>
    <mergeCell ref="D949:D950"/>
    <mergeCell ref="E949:E950"/>
    <mergeCell ref="F949:F950"/>
    <mergeCell ref="A947:A948"/>
    <mergeCell ref="B947:B948"/>
    <mergeCell ref="C947:C948"/>
    <mergeCell ref="D947:D948"/>
    <mergeCell ref="E947:E948"/>
    <mergeCell ref="F947:F948"/>
    <mergeCell ref="A946"/>
    <mergeCell ref="B946"/>
    <mergeCell ref="C946"/>
    <mergeCell ref="D946"/>
    <mergeCell ref="E946"/>
    <mergeCell ref="F946"/>
    <mergeCell ref="A945"/>
    <mergeCell ref="B945"/>
    <mergeCell ref="C945"/>
    <mergeCell ref="D945"/>
    <mergeCell ref="E945"/>
    <mergeCell ref="F945"/>
    <mergeCell ref="A944"/>
    <mergeCell ref="B944"/>
    <mergeCell ref="C944"/>
    <mergeCell ref="D944"/>
    <mergeCell ref="E944"/>
    <mergeCell ref="F944"/>
    <mergeCell ref="A943"/>
    <mergeCell ref="B943"/>
    <mergeCell ref="C943"/>
    <mergeCell ref="D943"/>
    <mergeCell ref="E943"/>
    <mergeCell ref="F943"/>
    <mergeCell ref="A942"/>
    <mergeCell ref="B942"/>
    <mergeCell ref="C942"/>
    <mergeCell ref="D942"/>
    <mergeCell ref="E942"/>
    <mergeCell ref="F942"/>
    <mergeCell ref="A941"/>
    <mergeCell ref="B941"/>
    <mergeCell ref="C941"/>
    <mergeCell ref="D941"/>
    <mergeCell ref="E941"/>
    <mergeCell ref="F941"/>
    <mergeCell ref="A940"/>
    <mergeCell ref="B940"/>
    <mergeCell ref="C940"/>
    <mergeCell ref="D940"/>
    <mergeCell ref="E940"/>
    <mergeCell ref="F940"/>
    <mergeCell ref="A939"/>
    <mergeCell ref="B939"/>
    <mergeCell ref="C939"/>
    <mergeCell ref="D939"/>
    <mergeCell ref="E939"/>
    <mergeCell ref="F939"/>
    <mergeCell ref="A938"/>
    <mergeCell ref="B938"/>
    <mergeCell ref="C938"/>
    <mergeCell ref="D938"/>
    <mergeCell ref="E938"/>
    <mergeCell ref="F938"/>
    <mergeCell ref="A937"/>
    <mergeCell ref="B937"/>
    <mergeCell ref="C937"/>
    <mergeCell ref="D937"/>
    <mergeCell ref="E937"/>
    <mergeCell ref="F937"/>
    <mergeCell ref="A936"/>
    <mergeCell ref="B936"/>
    <mergeCell ref="C936"/>
    <mergeCell ref="D936"/>
    <mergeCell ref="E936"/>
    <mergeCell ref="F936"/>
    <mergeCell ref="A934:A935"/>
    <mergeCell ref="B934:B935"/>
    <mergeCell ref="C934:C935"/>
    <mergeCell ref="D934:D935"/>
    <mergeCell ref="E934:E935"/>
    <mergeCell ref="F934:F935"/>
    <mergeCell ref="A933"/>
    <mergeCell ref="B933"/>
    <mergeCell ref="C933"/>
    <mergeCell ref="D933"/>
    <mergeCell ref="E933"/>
    <mergeCell ref="F933"/>
    <mergeCell ref="A932"/>
    <mergeCell ref="B932"/>
    <mergeCell ref="C932"/>
    <mergeCell ref="D932"/>
    <mergeCell ref="E932"/>
    <mergeCell ref="F932"/>
    <mergeCell ref="A931"/>
    <mergeCell ref="B931"/>
    <mergeCell ref="C931"/>
    <mergeCell ref="D931"/>
    <mergeCell ref="E931"/>
    <mergeCell ref="F931"/>
    <mergeCell ref="A926:A930"/>
    <mergeCell ref="B926:B930"/>
    <mergeCell ref="C926:C930"/>
    <mergeCell ref="D926:D930"/>
    <mergeCell ref="E926:E930"/>
    <mergeCell ref="F926:F930"/>
    <mergeCell ref="A925"/>
    <mergeCell ref="B925"/>
    <mergeCell ref="C925"/>
    <mergeCell ref="D925"/>
    <mergeCell ref="E925"/>
    <mergeCell ref="F925"/>
    <mergeCell ref="A923:A924"/>
    <mergeCell ref="B923:B924"/>
    <mergeCell ref="C923:C924"/>
    <mergeCell ref="D923:D924"/>
    <mergeCell ref="E923:E924"/>
    <mergeCell ref="F923:F924"/>
    <mergeCell ref="A922"/>
    <mergeCell ref="B922"/>
    <mergeCell ref="C922"/>
    <mergeCell ref="D922"/>
    <mergeCell ref="E922"/>
    <mergeCell ref="F922"/>
    <mergeCell ref="A921"/>
    <mergeCell ref="B921"/>
    <mergeCell ref="C921"/>
    <mergeCell ref="D921"/>
    <mergeCell ref="E921"/>
    <mergeCell ref="F921"/>
    <mergeCell ref="A919:A920"/>
    <mergeCell ref="B919:B920"/>
    <mergeCell ref="C919:C920"/>
    <mergeCell ref="D919:D920"/>
    <mergeCell ref="E919:E920"/>
    <mergeCell ref="F919:F920"/>
    <mergeCell ref="A918"/>
    <mergeCell ref="B918"/>
    <mergeCell ref="C918"/>
    <mergeCell ref="D918"/>
    <mergeCell ref="E918"/>
    <mergeCell ref="F918"/>
    <mergeCell ref="A917"/>
    <mergeCell ref="B917"/>
    <mergeCell ref="C917"/>
    <mergeCell ref="D917"/>
    <mergeCell ref="E917"/>
    <mergeCell ref="F917"/>
    <mergeCell ref="A916"/>
    <mergeCell ref="B916"/>
    <mergeCell ref="C916"/>
    <mergeCell ref="D916"/>
    <mergeCell ref="E916"/>
    <mergeCell ref="F916"/>
    <mergeCell ref="A915"/>
    <mergeCell ref="B915"/>
    <mergeCell ref="C915"/>
    <mergeCell ref="D915"/>
    <mergeCell ref="E915"/>
    <mergeCell ref="F915"/>
    <mergeCell ref="A914"/>
    <mergeCell ref="B914"/>
    <mergeCell ref="C914"/>
    <mergeCell ref="D914"/>
    <mergeCell ref="E914"/>
    <mergeCell ref="F914"/>
    <mergeCell ref="A912:A913"/>
    <mergeCell ref="B912:B913"/>
    <mergeCell ref="C912:C913"/>
    <mergeCell ref="D912:D913"/>
    <mergeCell ref="E912:E913"/>
    <mergeCell ref="F912:F913"/>
    <mergeCell ref="A911"/>
    <mergeCell ref="B911"/>
    <mergeCell ref="C911"/>
    <mergeCell ref="D911"/>
    <mergeCell ref="E911"/>
    <mergeCell ref="F911"/>
    <mergeCell ref="A909:A910"/>
    <mergeCell ref="B909:B910"/>
    <mergeCell ref="C909:C910"/>
    <mergeCell ref="D909:D910"/>
    <mergeCell ref="E909:E910"/>
    <mergeCell ref="F909:F910"/>
    <mergeCell ref="A908"/>
    <mergeCell ref="B908"/>
    <mergeCell ref="C908"/>
    <mergeCell ref="D908"/>
    <mergeCell ref="E908"/>
    <mergeCell ref="F908"/>
    <mergeCell ref="A907"/>
    <mergeCell ref="B907"/>
    <mergeCell ref="C907"/>
    <mergeCell ref="D907"/>
    <mergeCell ref="E907"/>
    <mergeCell ref="F907"/>
    <mergeCell ref="A906"/>
    <mergeCell ref="B906"/>
    <mergeCell ref="C906"/>
    <mergeCell ref="D906"/>
    <mergeCell ref="E906"/>
    <mergeCell ref="F906"/>
    <mergeCell ref="A905"/>
    <mergeCell ref="B905"/>
    <mergeCell ref="C905"/>
    <mergeCell ref="D905"/>
    <mergeCell ref="E905"/>
    <mergeCell ref="F905"/>
    <mergeCell ref="A904"/>
    <mergeCell ref="B904"/>
    <mergeCell ref="C904"/>
    <mergeCell ref="D904"/>
    <mergeCell ref="E904"/>
    <mergeCell ref="F904"/>
    <mergeCell ref="A902:A903"/>
    <mergeCell ref="B902:B903"/>
    <mergeCell ref="C902:C903"/>
    <mergeCell ref="D902:D903"/>
    <mergeCell ref="E902:E903"/>
    <mergeCell ref="F902:F903"/>
    <mergeCell ref="A901"/>
    <mergeCell ref="B901"/>
    <mergeCell ref="C901"/>
    <mergeCell ref="D901"/>
    <mergeCell ref="E901"/>
    <mergeCell ref="F901"/>
    <mergeCell ref="A900"/>
    <mergeCell ref="B900"/>
    <mergeCell ref="C900"/>
    <mergeCell ref="D900"/>
    <mergeCell ref="E900"/>
    <mergeCell ref="F900"/>
    <mergeCell ref="A898:A899"/>
    <mergeCell ref="B898:B899"/>
    <mergeCell ref="C898:C899"/>
    <mergeCell ref="D898:D899"/>
    <mergeCell ref="E898:E899"/>
    <mergeCell ref="F898:F899"/>
    <mergeCell ref="A896:A897"/>
    <mergeCell ref="B896:B897"/>
    <mergeCell ref="C896:C897"/>
    <mergeCell ref="D896:D897"/>
    <mergeCell ref="E896:E897"/>
    <mergeCell ref="F896:F897"/>
    <mergeCell ref="A894:A895"/>
    <mergeCell ref="B894:B895"/>
    <mergeCell ref="C894:C895"/>
    <mergeCell ref="D894:D895"/>
    <mergeCell ref="E894:E895"/>
    <mergeCell ref="F894:F895"/>
    <mergeCell ref="A892:A893"/>
    <mergeCell ref="B892:B893"/>
    <mergeCell ref="C892:C893"/>
    <mergeCell ref="D892:D893"/>
    <mergeCell ref="E892:E893"/>
    <mergeCell ref="F892:F893"/>
    <mergeCell ref="A891"/>
    <mergeCell ref="B891"/>
    <mergeCell ref="C891"/>
    <mergeCell ref="D891"/>
    <mergeCell ref="E891"/>
    <mergeCell ref="F891"/>
    <mergeCell ref="A889:A890"/>
    <mergeCell ref="B889:B890"/>
    <mergeCell ref="C889:C890"/>
    <mergeCell ref="D889:D890"/>
    <mergeCell ref="E889:E890"/>
    <mergeCell ref="F889:F890"/>
    <mergeCell ref="A884:A888"/>
    <mergeCell ref="B884:B888"/>
    <mergeCell ref="C884:C888"/>
    <mergeCell ref="D884:D888"/>
    <mergeCell ref="E884:E888"/>
    <mergeCell ref="F884:F888"/>
    <mergeCell ref="A883"/>
    <mergeCell ref="B883"/>
    <mergeCell ref="C883"/>
    <mergeCell ref="D883"/>
    <mergeCell ref="E883"/>
    <mergeCell ref="F883"/>
    <mergeCell ref="A881:A882"/>
    <mergeCell ref="B881:B882"/>
    <mergeCell ref="C881:C882"/>
    <mergeCell ref="D881:D882"/>
    <mergeCell ref="E881:E882"/>
    <mergeCell ref="F881:F882"/>
    <mergeCell ref="A880"/>
    <mergeCell ref="B880"/>
    <mergeCell ref="C880"/>
    <mergeCell ref="D880"/>
    <mergeCell ref="E880"/>
    <mergeCell ref="F880"/>
    <mergeCell ref="A879"/>
    <mergeCell ref="B879"/>
    <mergeCell ref="C879"/>
    <mergeCell ref="D879"/>
    <mergeCell ref="E879"/>
    <mergeCell ref="F879"/>
    <mergeCell ref="A878"/>
    <mergeCell ref="B878"/>
    <mergeCell ref="C878"/>
    <mergeCell ref="D878"/>
    <mergeCell ref="E878"/>
    <mergeCell ref="F878"/>
    <mergeCell ref="A877"/>
    <mergeCell ref="B877"/>
    <mergeCell ref="C877"/>
    <mergeCell ref="D877"/>
    <mergeCell ref="E877"/>
    <mergeCell ref="F877"/>
    <mergeCell ref="A876"/>
    <mergeCell ref="B876"/>
    <mergeCell ref="C876"/>
    <mergeCell ref="D876"/>
    <mergeCell ref="E876"/>
    <mergeCell ref="F876"/>
    <mergeCell ref="A875"/>
    <mergeCell ref="B875"/>
    <mergeCell ref="C875"/>
    <mergeCell ref="D875"/>
    <mergeCell ref="E875"/>
    <mergeCell ref="F875"/>
    <mergeCell ref="A874"/>
    <mergeCell ref="B874"/>
    <mergeCell ref="C874"/>
    <mergeCell ref="D874"/>
    <mergeCell ref="E874"/>
    <mergeCell ref="F874"/>
    <mergeCell ref="A873"/>
    <mergeCell ref="B873"/>
    <mergeCell ref="C873"/>
    <mergeCell ref="D873"/>
    <mergeCell ref="E873"/>
    <mergeCell ref="F873"/>
    <mergeCell ref="A872"/>
    <mergeCell ref="B872"/>
    <mergeCell ref="C872"/>
    <mergeCell ref="D872"/>
    <mergeCell ref="E872"/>
    <mergeCell ref="F872"/>
    <mergeCell ref="A871"/>
    <mergeCell ref="B871"/>
    <mergeCell ref="C871"/>
    <mergeCell ref="D871"/>
    <mergeCell ref="E871"/>
    <mergeCell ref="F871"/>
    <mergeCell ref="A870"/>
    <mergeCell ref="B870"/>
    <mergeCell ref="C870"/>
    <mergeCell ref="D870"/>
    <mergeCell ref="E870"/>
    <mergeCell ref="F870"/>
    <mergeCell ref="A869"/>
    <mergeCell ref="B869"/>
    <mergeCell ref="C869"/>
    <mergeCell ref="D869"/>
    <mergeCell ref="E869"/>
    <mergeCell ref="F869"/>
    <mergeCell ref="A868"/>
    <mergeCell ref="B868"/>
    <mergeCell ref="C868"/>
    <mergeCell ref="D868"/>
    <mergeCell ref="E868"/>
    <mergeCell ref="F868"/>
    <mergeCell ref="A867"/>
    <mergeCell ref="B867"/>
    <mergeCell ref="C867"/>
    <mergeCell ref="D867"/>
    <mergeCell ref="E867"/>
    <mergeCell ref="F867"/>
    <mergeCell ref="A866"/>
    <mergeCell ref="B866"/>
    <mergeCell ref="C866"/>
    <mergeCell ref="D866"/>
    <mergeCell ref="E866"/>
    <mergeCell ref="F866"/>
    <mergeCell ref="A865"/>
    <mergeCell ref="B865"/>
    <mergeCell ref="C865"/>
    <mergeCell ref="D865"/>
    <mergeCell ref="E865"/>
    <mergeCell ref="F865"/>
    <mergeCell ref="A864"/>
    <mergeCell ref="B864"/>
    <mergeCell ref="C864"/>
    <mergeCell ref="D864"/>
    <mergeCell ref="E864"/>
    <mergeCell ref="F864"/>
    <mergeCell ref="A863"/>
    <mergeCell ref="B863"/>
    <mergeCell ref="C863"/>
    <mergeCell ref="D863"/>
    <mergeCell ref="E863"/>
    <mergeCell ref="F863"/>
    <mergeCell ref="A862"/>
    <mergeCell ref="B862"/>
    <mergeCell ref="C862"/>
    <mergeCell ref="D862"/>
    <mergeCell ref="E862"/>
    <mergeCell ref="F862"/>
    <mergeCell ref="A860:A861"/>
    <mergeCell ref="B860:B861"/>
    <mergeCell ref="C860:C861"/>
    <mergeCell ref="D860:D861"/>
    <mergeCell ref="E860:E861"/>
    <mergeCell ref="F860:F861"/>
    <mergeCell ref="A859"/>
    <mergeCell ref="B859"/>
    <mergeCell ref="C859"/>
    <mergeCell ref="D859"/>
    <mergeCell ref="E859"/>
    <mergeCell ref="F859"/>
    <mergeCell ref="A858"/>
    <mergeCell ref="B858"/>
    <mergeCell ref="C858"/>
    <mergeCell ref="D858"/>
    <mergeCell ref="E858"/>
    <mergeCell ref="F858"/>
    <mergeCell ref="A856:A857"/>
    <mergeCell ref="B856:B857"/>
    <mergeCell ref="C856:C857"/>
    <mergeCell ref="D856:D857"/>
    <mergeCell ref="E856:E857"/>
    <mergeCell ref="F856:F857"/>
    <mergeCell ref="A855"/>
    <mergeCell ref="B855"/>
    <mergeCell ref="C855"/>
    <mergeCell ref="D855"/>
    <mergeCell ref="E855"/>
    <mergeCell ref="F855"/>
    <mergeCell ref="A854"/>
    <mergeCell ref="B854"/>
    <mergeCell ref="C854"/>
    <mergeCell ref="D854"/>
    <mergeCell ref="E854"/>
    <mergeCell ref="F854"/>
    <mergeCell ref="A853"/>
    <mergeCell ref="B853"/>
    <mergeCell ref="C853"/>
    <mergeCell ref="D853"/>
    <mergeCell ref="E853"/>
    <mergeCell ref="F853"/>
    <mergeCell ref="A852"/>
    <mergeCell ref="B852"/>
    <mergeCell ref="C852"/>
    <mergeCell ref="D852"/>
    <mergeCell ref="E852"/>
    <mergeCell ref="F852"/>
    <mergeCell ref="A851"/>
    <mergeCell ref="B851"/>
    <mergeCell ref="C851"/>
    <mergeCell ref="D851"/>
    <mergeCell ref="E851"/>
    <mergeCell ref="F851"/>
    <mergeCell ref="A850"/>
    <mergeCell ref="B850"/>
    <mergeCell ref="C850"/>
    <mergeCell ref="D850"/>
    <mergeCell ref="E850"/>
    <mergeCell ref="F850"/>
    <mergeCell ref="A849"/>
    <mergeCell ref="B849"/>
    <mergeCell ref="C849"/>
    <mergeCell ref="D849"/>
    <mergeCell ref="E849"/>
    <mergeCell ref="F849"/>
    <mergeCell ref="A848"/>
    <mergeCell ref="B848"/>
    <mergeCell ref="C848"/>
    <mergeCell ref="D848"/>
    <mergeCell ref="E848"/>
    <mergeCell ref="F848"/>
    <mergeCell ref="A847"/>
    <mergeCell ref="B847"/>
    <mergeCell ref="C847"/>
    <mergeCell ref="D847"/>
    <mergeCell ref="E847"/>
    <mergeCell ref="F847"/>
    <mergeCell ref="A846"/>
    <mergeCell ref="B846"/>
    <mergeCell ref="C846"/>
    <mergeCell ref="D846"/>
    <mergeCell ref="E846"/>
    <mergeCell ref="F846"/>
    <mergeCell ref="A845"/>
    <mergeCell ref="B845"/>
    <mergeCell ref="C845"/>
    <mergeCell ref="D845"/>
    <mergeCell ref="E845"/>
    <mergeCell ref="F845"/>
    <mergeCell ref="A844"/>
    <mergeCell ref="B844"/>
    <mergeCell ref="C844"/>
    <mergeCell ref="D844"/>
    <mergeCell ref="E844"/>
    <mergeCell ref="F844"/>
    <mergeCell ref="A843"/>
    <mergeCell ref="B843"/>
    <mergeCell ref="C843"/>
    <mergeCell ref="D843"/>
    <mergeCell ref="E843"/>
    <mergeCell ref="F843"/>
    <mergeCell ref="A842"/>
    <mergeCell ref="B842"/>
    <mergeCell ref="C842"/>
    <mergeCell ref="D842"/>
    <mergeCell ref="E842"/>
    <mergeCell ref="F842"/>
    <mergeCell ref="A841"/>
    <mergeCell ref="B841"/>
    <mergeCell ref="C841"/>
    <mergeCell ref="D841"/>
    <mergeCell ref="E841"/>
    <mergeCell ref="F841"/>
    <mergeCell ref="A840"/>
    <mergeCell ref="B840"/>
    <mergeCell ref="C840"/>
    <mergeCell ref="D840"/>
    <mergeCell ref="E840"/>
    <mergeCell ref="F840"/>
    <mergeCell ref="A839"/>
    <mergeCell ref="B839"/>
    <mergeCell ref="C839"/>
    <mergeCell ref="D839"/>
    <mergeCell ref="E839"/>
    <mergeCell ref="F839"/>
    <mergeCell ref="A838"/>
    <mergeCell ref="B838"/>
    <mergeCell ref="C838"/>
    <mergeCell ref="D838"/>
    <mergeCell ref="E838"/>
    <mergeCell ref="F838"/>
    <mergeCell ref="A837"/>
    <mergeCell ref="B837"/>
    <mergeCell ref="C837"/>
    <mergeCell ref="D837"/>
    <mergeCell ref="E837"/>
    <mergeCell ref="F837"/>
    <mergeCell ref="A836"/>
    <mergeCell ref="B836"/>
    <mergeCell ref="C836"/>
    <mergeCell ref="D836"/>
    <mergeCell ref="E836"/>
    <mergeCell ref="F836"/>
    <mergeCell ref="A835"/>
    <mergeCell ref="B835"/>
    <mergeCell ref="C835"/>
    <mergeCell ref="D835"/>
    <mergeCell ref="E835"/>
    <mergeCell ref="F835"/>
    <mergeCell ref="A834"/>
    <mergeCell ref="B834"/>
    <mergeCell ref="C834"/>
    <mergeCell ref="D834"/>
    <mergeCell ref="E834"/>
    <mergeCell ref="F834"/>
    <mergeCell ref="A833"/>
    <mergeCell ref="B833"/>
    <mergeCell ref="C833"/>
    <mergeCell ref="D833"/>
    <mergeCell ref="E833"/>
    <mergeCell ref="F833"/>
    <mergeCell ref="A832"/>
    <mergeCell ref="B832"/>
    <mergeCell ref="C832"/>
    <mergeCell ref="D832"/>
    <mergeCell ref="E832"/>
    <mergeCell ref="F832"/>
    <mergeCell ref="A831"/>
    <mergeCell ref="B831"/>
    <mergeCell ref="C831"/>
    <mergeCell ref="D831"/>
    <mergeCell ref="E831"/>
    <mergeCell ref="F831"/>
    <mergeCell ref="A830"/>
    <mergeCell ref="B830"/>
    <mergeCell ref="C830"/>
    <mergeCell ref="D830"/>
    <mergeCell ref="E830"/>
    <mergeCell ref="F830"/>
    <mergeCell ref="A829"/>
    <mergeCell ref="B829"/>
    <mergeCell ref="C829"/>
    <mergeCell ref="D829"/>
    <mergeCell ref="E829"/>
    <mergeCell ref="F829"/>
    <mergeCell ref="A828"/>
    <mergeCell ref="B828"/>
    <mergeCell ref="C828"/>
    <mergeCell ref="D828"/>
    <mergeCell ref="E828"/>
    <mergeCell ref="F828"/>
    <mergeCell ref="A827"/>
    <mergeCell ref="B827"/>
    <mergeCell ref="C827"/>
    <mergeCell ref="D827"/>
    <mergeCell ref="E827"/>
    <mergeCell ref="F827"/>
    <mergeCell ref="A826"/>
    <mergeCell ref="B826"/>
    <mergeCell ref="C826"/>
    <mergeCell ref="D826"/>
    <mergeCell ref="E826"/>
    <mergeCell ref="F826"/>
    <mergeCell ref="A823:A825"/>
    <mergeCell ref="B823:B825"/>
    <mergeCell ref="C823:C825"/>
    <mergeCell ref="D823:D825"/>
    <mergeCell ref="E823:E825"/>
    <mergeCell ref="F823:F825"/>
    <mergeCell ref="A819:A822"/>
    <mergeCell ref="B819:B822"/>
    <mergeCell ref="C819:C822"/>
    <mergeCell ref="D819:D822"/>
    <mergeCell ref="E819:E822"/>
    <mergeCell ref="F819:F822"/>
    <mergeCell ref="A817:A818"/>
    <mergeCell ref="B817:B818"/>
    <mergeCell ref="C817:C818"/>
    <mergeCell ref="D817:D818"/>
    <mergeCell ref="E817:E818"/>
    <mergeCell ref="F817:F818"/>
    <mergeCell ref="A816"/>
    <mergeCell ref="B816"/>
    <mergeCell ref="C816"/>
    <mergeCell ref="D816"/>
    <mergeCell ref="E816"/>
    <mergeCell ref="F816"/>
    <mergeCell ref="A815"/>
    <mergeCell ref="B815"/>
    <mergeCell ref="C815"/>
    <mergeCell ref="D815"/>
    <mergeCell ref="E815"/>
    <mergeCell ref="F815"/>
    <mergeCell ref="A814"/>
    <mergeCell ref="B814"/>
    <mergeCell ref="C814"/>
    <mergeCell ref="D814"/>
    <mergeCell ref="E814"/>
    <mergeCell ref="F814"/>
    <mergeCell ref="A813"/>
    <mergeCell ref="B813"/>
    <mergeCell ref="C813"/>
    <mergeCell ref="D813"/>
    <mergeCell ref="E813"/>
    <mergeCell ref="F813"/>
    <mergeCell ref="A812"/>
    <mergeCell ref="B812"/>
    <mergeCell ref="C812"/>
    <mergeCell ref="D812"/>
    <mergeCell ref="E812"/>
    <mergeCell ref="F812"/>
    <mergeCell ref="A811"/>
    <mergeCell ref="B811"/>
    <mergeCell ref="C811"/>
    <mergeCell ref="D811"/>
    <mergeCell ref="E811"/>
    <mergeCell ref="F811"/>
    <mergeCell ref="A810"/>
    <mergeCell ref="B810"/>
    <mergeCell ref="C810"/>
    <mergeCell ref="D810"/>
    <mergeCell ref="E810"/>
    <mergeCell ref="F810"/>
    <mergeCell ref="A809"/>
    <mergeCell ref="B809"/>
    <mergeCell ref="C809"/>
    <mergeCell ref="D809"/>
    <mergeCell ref="E809"/>
    <mergeCell ref="F809"/>
    <mergeCell ref="A808"/>
    <mergeCell ref="B808"/>
    <mergeCell ref="C808"/>
    <mergeCell ref="D808"/>
    <mergeCell ref="E808"/>
    <mergeCell ref="F808"/>
    <mergeCell ref="A807"/>
    <mergeCell ref="B807"/>
    <mergeCell ref="C807"/>
    <mergeCell ref="D807"/>
    <mergeCell ref="E807"/>
    <mergeCell ref="F807"/>
    <mergeCell ref="A806"/>
    <mergeCell ref="B806"/>
    <mergeCell ref="C806"/>
    <mergeCell ref="D806"/>
    <mergeCell ref="E806"/>
    <mergeCell ref="F806"/>
    <mergeCell ref="A805"/>
    <mergeCell ref="B805"/>
    <mergeCell ref="C805"/>
    <mergeCell ref="D805"/>
    <mergeCell ref="E805"/>
    <mergeCell ref="F805"/>
    <mergeCell ref="A804"/>
    <mergeCell ref="B804"/>
    <mergeCell ref="C804"/>
    <mergeCell ref="D804"/>
    <mergeCell ref="E804"/>
    <mergeCell ref="F804"/>
    <mergeCell ref="A803"/>
    <mergeCell ref="B803"/>
    <mergeCell ref="C803"/>
    <mergeCell ref="D803"/>
    <mergeCell ref="E803"/>
    <mergeCell ref="F803"/>
    <mergeCell ref="A802"/>
    <mergeCell ref="B802"/>
    <mergeCell ref="C802"/>
    <mergeCell ref="D802"/>
    <mergeCell ref="E802"/>
    <mergeCell ref="F802"/>
    <mergeCell ref="A801"/>
    <mergeCell ref="B801"/>
    <mergeCell ref="C801"/>
    <mergeCell ref="D801"/>
    <mergeCell ref="E801"/>
    <mergeCell ref="F801"/>
    <mergeCell ref="A800"/>
    <mergeCell ref="B800"/>
    <mergeCell ref="C800"/>
    <mergeCell ref="D800"/>
    <mergeCell ref="E800"/>
    <mergeCell ref="F800"/>
    <mergeCell ref="A799"/>
    <mergeCell ref="B799"/>
    <mergeCell ref="C799"/>
    <mergeCell ref="D799"/>
    <mergeCell ref="E799"/>
    <mergeCell ref="F799"/>
    <mergeCell ref="A798"/>
    <mergeCell ref="B798"/>
    <mergeCell ref="C798"/>
    <mergeCell ref="D798"/>
    <mergeCell ref="E798"/>
    <mergeCell ref="F798"/>
    <mergeCell ref="A796:A797"/>
    <mergeCell ref="B796:B797"/>
    <mergeCell ref="C796:C797"/>
    <mergeCell ref="D796:D797"/>
    <mergeCell ref="E796:E797"/>
    <mergeCell ref="F796:F797"/>
    <mergeCell ref="A795"/>
    <mergeCell ref="B795"/>
    <mergeCell ref="C795"/>
    <mergeCell ref="D795"/>
    <mergeCell ref="E795"/>
    <mergeCell ref="F795"/>
    <mergeCell ref="A794"/>
    <mergeCell ref="B794"/>
    <mergeCell ref="C794"/>
    <mergeCell ref="D794"/>
    <mergeCell ref="E794"/>
    <mergeCell ref="F794"/>
    <mergeCell ref="A793"/>
    <mergeCell ref="B793"/>
    <mergeCell ref="C793"/>
    <mergeCell ref="D793"/>
    <mergeCell ref="E793"/>
    <mergeCell ref="F793"/>
    <mergeCell ref="A792"/>
    <mergeCell ref="B792"/>
    <mergeCell ref="C792"/>
    <mergeCell ref="D792"/>
    <mergeCell ref="E792"/>
    <mergeCell ref="F792"/>
    <mergeCell ref="A791"/>
    <mergeCell ref="B791"/>
    <mergeCell ref="C791"/>
    <mergeCell ref="D791"/>
    <mergeCell ref="E791"/>
    <mergeCell ref="F791"/>
    <mergeCell ref="A790"/>
    <mergeCell ref="B790"/>
    <mergeCell ref="C790"/>
    <mergeCell ref="D790"/>
    <mergeCell ref="E790"/>
    <mergeCell ref="F790"/>
    <mergeCell ref="A789"/>
    <mergeCell ref="B789"/>
    <mergeCell ref="C789"/>
    <mergeCell ref="D789"/>
    <mergeCell ref="E789"/>
    <mergeCell ref="F789"/>
    <mergeCell ref="A788"/>
    <mergeCell ref="B788"/>
    <mergeCell ref="C788"/>
    <mergeCell ref="D788"/>
    <mergeCell ref="E788"/>
    <mergeCell ref="F788"/>
    <mergeCell ref="A787"/>
    <mergeCell ref="B787"/>
    <mergeCell ref="C787"/>
    <mergeCell ref="D787"/>
    <mergeCell ref="E787"/>
    <mergeCell ref="F787"/>
    <mergeCell ref="A786"/>
    <mergeCell ref="B786"/>
    <mergeCell ref="C786"/>
    <mergeCell ref="D786"/>
    <mergeCell ref="E786"/>
    <mergeCell ref="F786"/>
    <mergeCell ref="A785"/>
    <mergeCell ref="B785"/>
    <mergeCell ref="C785"/>
    <mergeCell ref="D785"/>
    <mergeCell ref="E785"/>
    <mergeCell ref="F785"/>
    <mergeCell ref="A784"/>
    <mergeCell ref="B784"/>
    <mergeCell ref="C784"/>
    <mergeCell ref="D784"/>
    <mergeCell ref="E784"/>
    <mergeCell ref="F784"/>
    <mergeCell ref="A783"/>
    <mergeCell ref="B783"/>
    <mergeCell ref="C783"/>
    <mergeCell ref="D783"/>
    <mergeCell ref="E783"/>
    <mergeCell ref="F783"/>
    <mergeCell ref="A782"/>
    <mergeCell ref="B782"/>
    <mergeCell ref="C782"/>
    <mergeCell ref="D782"/>
    <mergeCell ref="E782"/>
    <mergeCell ref="F782"/>
    <mergeCell ref="A781"/>
    <mergeCell ref="B781"/>
    <mergeCell ref="C781"/>
    <mergeCell ref="D781"/>
    <mergeCell ref="E781"/>
    <mergeCell ref="F781"/>
    <mergeCell ref="A780"/>
    <mergeCell ref="B780"/>
    <mergeCell ref="C780"/>
    <mergeCell ref="D780"/>
    <mergeCell ref="E780"/>
    <mergeCell ref="F780"/>
    <mergeCell ref="A779"/>
    <mergeCell ref="B779"/>
    <mergeCell ref="C779"/>
    <mergeCell ref="D779"/>
    <mergeCell ref="E779"/>
    <mergeCell ref="F779"/>
    <mergeCell ref="A778"/>
    <mergeCell ref="B778"/>
    <mergeCell ref="C778"/>
    <mergeCell ref="D778"/>
    <mergeCell ref="E778"/>
    <mergeCell ref="F778"/>
    <mergeCell ref="A777"/>
    <mergeCell ref="B777"/>
    <mergeCell ref="C777"/>
    <mergeCell ref="D777"/>
    <mergeCell ref="E777"/>
    <mergeCell ref="F777"/>
    <mergeCell ref="A774:A776"/>
    <mergeCell ref="B774:B776"/>
    <mergeCell ref="C774:C776"/>
    <mergeCell ref="D774:D776"/>
    <mergeCell ref="E774:E776"/>
    <mergeCell ref="F774:F776"/>
    <mergeCell ref="A772:A773"/>
    <mergeCell ref="B772:B773"/>
    <mergeCell ref="C772:C773"/>
    <mergeCell ref="D772:D773"/>
    <mergeCell ref="E772:E773"/>
    <mergeCell ref="F772:F773"/>
    <mergeCell ref="A771"/>
    <mergeCell ref="B771"/>
    <mergeCell ref="C771"/>
    <mergeCell ref="D771"/>
    <mergeCell ref="E771"/>
    <mergeCell ref="F771"/>
    <mergeCell ref="A770"/>
    <mergeCell ref="B770"/>
    <mergeCell ref="C770"/>
    <mergeCell ref="D770"/>
    <mergeCell ref="E770"/>
    <mergeCell ref="F770"/>
    <mergeCell ref="A769"/>
    <mergeCell ref="B769"/>
    <mergeCell ref="C769"/>
    <mergeCell ref="D769"/>
    <mergeCell ref="E769"/>
    <mergeCell ref="F769"/>
    <mergeCell ref="A768"/>
    <mergeCell ref="B768"/>
    <mergeCell ref="C768"/>
    <mergeCell ref="D768"/>
    <mergeCell ref="E768"/>
    <mergeCell ref="F768"/>
    <mergeCell ref="A767"/>
    <mergeCell ref="B767"/>
    <mergeCell ref="C767"/>
    <mergeCell ref="D767"/>
    <mergeCell ref="E767"/>
    <mergeCell ref="F767"/>
    <mergeCell ref="A766"/>
    <mergeCell ref="B766"/>
    <mergeCell ref="C766"/>
    <mergeCell ref="D766"/>
    <mergeCell ref="E766"/>
    <mergeCell ref="F766"/>
    <mergeCell ref="A765"/>
    <mergeCell ref="B765"/>
    <mergeCell ref="C765"/>
    <mergeCell ref="D765"/>
    <mergeCell ref="E765"/>
    <mergeCell ref="F765"/>
    <mergeCell ref="A764"/>
    <mergeCell ref="B764"/>
    <mergeCell ref="C764"/>
    <mergeCell ref="D764"/>
    <mergeCell ref="E764"/>
    <mergeCell ref="F764"/>
    <mergeCell ref="A761:A763"/>
    <mergeCell ref="B761:B763"/>
    <mergeCell ref="C761:C763"/>
    <mergeCell ref="D761:D763"/>
    <mergeCell ref="E761:E763"/>
    <mergeCell ref="F761:F763"/>
    <mergeCell ref="A760"/>
    <mergeCell ref="B760"/>
    <mergeCell ref="C760"/>
    <mergeCell ref="D760"/>
    <mergeCell ref="E760"/>
    <mergeCell ref="F760"/>
    <mergeCell ref="A759"/>
    <mergeCell ref="B759"/>
    <mergeCell ref="C759"/>
    <mergeCell ref="D759"/>
    <mergeCell ref="E759"/>
    <mergeCell ref="F759"/>
    <mergeCell ref="A758"/>
    <mergeCell ref="B758"/>
    <mergeCell ref="C758"/>
    <mergeCell ref="D758"/>
    <mergeCell ref="E758"/>
    <mergeCell ref="F758"/>
    <mergeCell ref="A757"/>
    <mergeCell ref="B757"/>
    <mergeCell ref="C757"/>
    <mergeCell ref="D757"/>
    <mergeCell ref="E757"/>
    <mergeCell ref="F757"/>
    <mergeCell ref="A756"/>
    <mergeCell ref="B756"/>
    <mergeCell ref="C756"/>
    <mergeCell ref="D756"/>
    <mergeCell ref="E756"/>
    <mergeCell ref="F756"/>
    <mergeCell ref="A755"/>
    <mergeCell ref="B755"/>
    <mergeCell ref="C755"/>
    <mergeCell ref="D755"/>
    <mergeCell ref="E755"/>
    <mergeCell ref="F755"/>
    <mergeCell ref="A754"/>
    <mergeCell ref="B754"/>
    <mergeCell ref="C754"/>
    <mergeCell ref="D754"/>
    <mergeCell ref="E754"/>
    <mergeCell ref="F754"/>
    <mergeCell ref="A753"/>
    <mergeCell ref="B753"/>
    <mergeCell ref="C753"/>
    <mergeCell ref="D753"/>
    <mergeCell ref="E753"/>
    <mergeCell ref="F753"/>
    <mergeCell ref="A752"/>
    <mergeCell ref="B752"/>
    <mergeCell ref="C752"/>
    <mergeCell ref="D752"/>
    <mergeCell ref="E752"/>
    <mergeCell ref="F752"/>
    <mergeCell ref="A751"/>
    <mergeCell ref="B751"/>
    <mergeCell ref="C751"/>
    <mergeCell ref="D751"/>
    <mergeCell ref="E751"/>
    <mergeCell ref="F751"/>
    <mergeCell ref="A750"/>
    <mergeCell ref="B750"/>
    <mergeCell ref="C750"/>
    <mergeCell ref="D750"/>
    <mergeCell ref="E750"/>
    <mergeCell ref="F750"/>
    <mergeCell ref="A749"/>
    <mergeCell ref="B749"/>
    <mergeCell ref="C749"/>
    <mergeCell ref="D749"/>
    <mergeCell ref="E749"/>
    <mergeCell ref="F749"/>
    <mergeCell ref="A748"/>
    <mergeCell ref="B748"/>
    <mergeCell ref="C748"/>
    <mergeCell ref="D748"/>
    <mergeCell ref="E748"/>
    <mergeCell ref="F748"/>
    <mergeCell ref="A747"/>
    <mergeCell ref="B747"/>
    <mergeCell ref="C747"/>
    <mergeCell ref="D747"/>
    <mergeCell ref="E747"/>
    <mergeCell ref="F747"/>
    <mergeCell ref="A746"/>
    <mergeCell ref="B746"/>
    <mergeCell ref="C746"/>
    <mergeCell ref="D746"/>
    <mergeCell ref="E746"/>
    <mergeCell ref="F746"/>
    <mergeCell ref="A745"/>
    <mergeCell ref="B745"/>
    <mergeCell ref="C745"/>
    <mergeCell ref="D745"/>
    <mergeCell ref="E745"/>
    <mergeCell ref="F745"/>
    <mergeCell ref="A744"/>
    <mergeCell ref="B744"/>
    <mergeCell ref="C744"/>
    <mergeCell ref="D744"/>
    <mergeCell ref="E744"/>
    <mergeCell ref="F744"/>
    <mergeCell ref="A743"/>
    <mergeCell ref="B743"/>
    <mergeCell ref="C743"/>
    <mergeCell ref="D743"/>
    <mergeCell ref="E743"/>
    <mergeCell ref="F743"/>
    <mergeCell ref="A742"/>
    <mergeCell ref="B742"/>
    <mergeCell ref="C742"/>
    <mergeCell ref="D742"/>
    <mergeCell ref="E742"/>
    <mergeCell ref="F742"/>
    <mergeCell ref="A741"/>
    <mergeCell ref="B741"/>
    <mergeCell ref="C741"/>
    <mergeCell ref="D741"/>
    <mergeCell ref="E741"/>
    <mergeCell ref="F741"/>
    <mergeCell ref="A740"/>
    <mergeCell ref="B740"/>
    <mergeCell ref="C740"/>
    <mergeCell ref="D740"/>
    <mergeCell ref="E740"/>
    <mergeCell ref="F740"/>
    <mergeCell ref="A739"/>
    <mergeCell ref="B739"/>
    <mergeCell ref="C739"/>
    <mergeCell ref="D739"/>
    <mergeCell ref="E739"/>
    <mergeCell ref="F739"/>
    <mergeCell ref="A738"/>
    <mergeCell ref="B738"/>
    <mergeCell ref="C738"/>
    <mergeCell ref="D738"/>
    <mergeCell ref="E738"/>
    <mergeCell ref="F738"/>
    <mergeCell ref="A727:A737"/>
    <mergeCell ref="B727:B737"/>
    <mergeCell ref="C727:C737"/>
    <mergeCell ref="D727:D737"/>
    <mergeCell ref="E727:E737"/>
    <mergeCell ref="F727:F737"/>
    <mergeCell ref="A726"/>
    <mergeCell ref="B726"/>
    <mergeCell ref="C726"/>
    <mergeCell ref="D726"/>
    <mergeCell ref="E726"/>
    <mergeCell ref="F726"/>
    <mergeCell ref="A725"/>
    <mergeCell ref="B725"/>
    <mergeCell ref="C725"/>
    <mergeCell ref="D725"/>
    <mergeCell ref="E725"/>
    <mergeCell ref="F725"/>
    <mergeCell ref="A723:A724"/>
    <mergeCell ref="B723:B724"/>
    <mergeCell ref="C723:C724"/>
    <mergeCell ref="D723:D724"/>
    <mergeCell ref="E723:E724"/>
    <mergeCell ref="F723:F724"/>
    <mergeCell ref="A722"/>
    <mergeCell ref="B722"/>
    <mergeCell ref="C722"/>
    <mergeCell ref="D722"/>
    <mergeCell ref="E722"/>
    <mergeCell ref="F722"/>
    <mergeCell ref="A721"/>
    <mergeCell ref="B721"/>
    <mergeCell ref="C721"/>
    <mergeCell ref="D721"/>
    <mergeCell ref="E721"/>
    <mergeCell ref="F721"/>
    <mergeCell ref="A720"/>
    <mergeCell ref="B720"/>
    <mergeCell ref="C720"/>
    <mergeCell ref="D720"/>
    <mergeCell ref="E720"/>
    <mergeCell ref="F720"/>
    <mergeCell ref="A719"/>
    <mergeCell ref="B719"/>
    <mergeCell ref="C719"/>
    <mergeCell ref="D719"/>
    <mergeCell ref="E719"/>
    <mergeCell ref="F719"/>
    <mergeCell ref="A718"/>
    <mergeCell ref="B718"/>
    <mergeCell ref="C718"/>
    <mergeCell ref="D718"/>
    <mergeCell ref="E718"/>
    <mergeCell ref="F718"/>
    <mergeCell ref="A717"/>
    <mergeCell ref="B717"/>
    <mergeCell ref="C717"/>
    <mergeCell ref="D717"/>
    <mergeCell ref="E717"/>
    <mergeCell ref="F717"/>
    <mergeCell ref="A713:A716"/>
    <mergeCell ref="B713:B716"/>
    <mergeCell ref="C713:C716"/>
    <mergeCell ref="D713:D716"/>
    <mergeCell ref="E713:E716"/>
    <mergeCell ref="F713:F716"/>
    <mergeCell ref="A712"/>
    <mergeCell ref="B712"/>
    <mergeCell ref="C712"/>
    <mergeCell ref="D712"/>
    <mergeCell ref="E712"/>
    <mergeCell ref="F712"/>
    <mergeCell ref="A710:A711"/>
    <mergeCell ref="B710:B711"/>
    <mergeCell ref="C710:C711"/>
    <mergeCell ref="D710:D711"/>
    <mergeCell ref="E710:E711"/>
    <mergeCell ref="F710:F711"/>
    <mergeCell ref="A709"/>
    <mergeCell ref="B709"/>
    <mergeCell ref="C709"/>
    <mergeCell ref="D709"/>
    <mergeCell ref="E709"/>
    <mergeCell ref="F709"/>
    <mergeCell ref="A708"/>
    <mergeCell ref="B708"/>
    <mergeCell ref="C708"/>
    <mergeCell ref="D708"/>
    <mergeCell ref="E708"/>
    <mergeCell ref="F708"/>
    <mergeCell ref="A707"/>
    <mergeCell ref="B707"/>
    <mergeCell ref="C707"/>
    <mergeCell ref="D707"/>
    <mergeCell ref="E707"/>
    <mergeCell ref="F707"/>
    <mergeCell ref="A706"/>
    <mergeCell ref="B706"/>
    <mergeCell ref="C706"/>
    <mergeCell ref="D706"/>
    <mergeCell ref="E706"/>
    <mergeCell ref="F706"/>
    <mergeCell ref="A704:A705"/>
    <mergeCell ref="B704:B705"/>
    <mergeCell ref="C704:C705"/>
    <mergeCell ref="D704:D705"/>
    <mergeCell ref="E704:E705"/>
    <mergeCell ref="F704:F705"/>
    <mergeCell ref="A698:A703"/>
    <mergeCell ref="B698:B703"/>
    <mergeCell ref="C698:C703"/>
    <mergeCell ref="D698:D703"/>
    <mergeCell ref="E698:E703"/>
    <mergeCell ref="F698:F703"/>
    <mergeCell ref="A694:A697"/>
    <mergeCell ref="B694:B697"/>
    <mergeCell ref="C694:C697"/>
    <mergeCell ref="D694:D697"/>
    <mergeCell ref="E694:E697"/>
    <mergeCell ref="F694:F697"/>
    <mergeCell ref="A692:A693"/>
    <mergeCell ref="B692:B693"/>
    <mergeCell ref="C692:C693"/>
    <mergeCell ref="D692:D693"/>
    <mergeCell ref="E692:E693"/>
    <mergeCell ref="F692:F693"/>
    <mergeCell ref="A690:A691"/>
    <mergeCell ref="B690:B691"/>
    <mergeCell ref="C690:C691"/>
    <mergeCell ref="D690:D691"/>
    <mergeCell ref="E690:E691"/>
    <mergeCell ref="F690:F691"/>
    <mergeCell ref="A689"/>
    <mergeCell ref="B689"/>
    <mergeCell ref="C689"/>
    <mergeCell ref="D689"/>
    <mergeCell ref="E689"/>
    <mergeCell ref="F689"/>
    <mergeCell ref="A688"/>
    <mergeCell ref="B688"/>
    <mergeCell ref="C688"/>
    <mergeCell ref="D688"/>
    <mergeCell ref="E688"/>
    <mergeCell ref="F688"/>
    <mergeCell ref="A687"/>
    <mergeCell ref="B687"/>
    <mergeCell ref="C687"/>
    <mergeCell ref="D687"/>
    <mergeCell ref="E687"/>
    <mergeCell ref="F687"/>
    <mergeCell ref="A685:A686"/>
    <mergeCell ref="B685:B686"/>
    <mergeCell ref="C685:C686"/>
    <mergeCell ref="D685:D686"/>
    <mergeCell ref="E685:E686"/>
    <mergeCell ref="F685:F686"/>
    <mergeCell ref="A680:A684"/>
    <mergeCell ref="B680:B684"/>
    <mergeCell ref="C680:C684"/>
    <mergeCell ref="D680:D684"/>
    <mergeCell ref="E680:E684"/>
    <mergeCell ref="F680:F684"/>
    <mergeCell ref="A679"/>
    <mergeCell ref="B679"/>
    <mergeCell ref="C679"/>
    <mergeCell ref="D679"/>
    <mergeCell ref="E679"/>
    <mergeCell ref="F679"/>
    <mergeCell ref="A678"/>
    <mergeCell ref="B678"/>
    <mergeCell ref="C678"/>
    <mergeCell ref="D678"/>
    <mergeCell ref="E678"/>
    <mergeCell ref="F678"/>
    <mergeCell ref="A676:A677"/>
    <mergeCell ref="B676:B677"/>
    <mergeCell ref="C676:C677"/>
    <mergeCell ref="D676:D677"/>
    <mergeCell ref="E676:E677"/>
    <mergeCell ref="F676:F677"/>
    <mergeCell ref="A675"/>
    <mergeCell ref="B675"/>
    <mergeCell ref="C675"/>
    <mergeCell ref="D675"/>
    <mergeCell ref="E675"/>
    <mergeCell ref="F675"/>
    <mergeCell ref="A674"/>
    <mergeCell ref="B674"/>
    <mergeCell ref="C674"/>
    <mergeCell ref="D674"/>
    <mergeCell ref="E674"/>
    <mergeCell ref="F674"/>
    <mergeCell ref="A673"/>
    <mergeCell ref="B673"/>
    <mergeCell ref="C673"/>
    <mergeCell ref="D673"/>
    <mergeCell ref="E673"/>
    <mergeCell ref="F673"/>
    <mergeCell ref="A672"/>
    <mergeCell ref="B672"/>
    <mergeCell ref="C672"/>
    <mergeCell ref="D672"/>
    <mergeCell ref="E672"/>
    <mergeCell ref="F672"/>
    <mergeCell ref="A671"/>
    <mergeCell ref="B671"/>
    <mergeCell ref="C671"/>
    <mergeCell ref="D671"/>
    <mergeCell ref="E671"/>
    <mergeCell ref="F671"/>
    <mergeCell ref="A670"/>
    <mergeCell ref="B670"/>
    <mergeCell ref="C670"/>
    <mergeCell ref="D670"/>
    <mergeCell ref="E670"/>
    <mergeCell ref="F670"/>
    <mergeCell ref="A669"/>
    <mergeCell ref="B669"/>
    <mergeCell ref="C669"/>
    <mergeCell ref="D669"/>
    <mergeCell ref="E669"/>
    <mergeCell ref="F669"/>
    <mergeCell ref="A668"/>
    <mergeCell ref="B668"/>
    <mergeCell ref="C668"/>
    <mergeCell ref="D668"/>
    <mergeCell ref="E668"/>
    <mergeCell ref="F668"/>
    <mergeCell ref="A667"/>
    <mergeCell ref="B667"/>
    <mergeCell ref="C667"/>
    <mergeCell ref="D667"/>
    <mergeCell ref="E667"/>
    <mergeCell ref="F667"/>
    <mergeCell ref="A666"/>
    <mergeCell ref="B666"/>
    <mergeCell ref="C666"/>
    <mergeCell ref="D666"/>
    <mergeCell ref="E666"/>
    <mergeCell ref="F666"/>
    <mergeCell ref="A665"/>
    <mergeCell ref="B665"/>
    <mergeCell ref="C665"/>
    <mergeCell ref="D665"/>
    <mergeCell ref="E665"/>
    <mergeCell ref="F665"/>
    <mergeCell ref="A664"/>
    <mergeCell ref="B664"/>
    <mergeCell ref="C664"/>
    <mergeCell ref="D664"/>
    <mergeCell ref="E664"/>
    <mergeCell ref="F664"/>
    <mergeCell ref="A663"/>
    <mergeCell ref="B663"/>
    <mergeCell ref="C663"/>
    <mergeCell ref="D663"/>
    <mergeCell ref="E663"/>
    <mergeCell ref="F663"/>
    <mergeCell ref="A662"/>
    <mergeCell ref="B662"/>
    <mergeCell ref="C662"/>
    <mergeCell ref="D662"/>
    <mergeCell ref="E662"/>
    <mergeCell ref="F662"/>
    <mergeCell ref="A661"/>
    <mergeCell ref="B661"/>
    <mergeCell ref="C661"/>
    <mergeCell ref="D661"/>
    <mergeCell ref="E661"/>
    <mergeCell ref="F661"/>
    <mergeCell ref="A660"/>
    <mergeCell ref="B660"/>
    <mergeCell ref="C660"/>
    <mergeCell ref="D660"/>
    <mergeCell ref="E660"/>
    <mergeCell ref="F660"/>
    <mergeCell ref="A659"/>
    <mergeCell ref="B659"/>
    <mergeCell ref="C659"/>
    <mergeCell ref="D659"/>
    <mergeCell ref="E659"/>
    <mergeCell ref="F659"/>
    <mergeCell ref="A658"/>
    <mergeCell ref="B658"/>
    <mergeCell ref="C658"/>
    <mergeCell ref="D658"/>
    <mergeCell ref="E658"/>
    <mergeCell ref="F658"/>
    <mergeCell ref="A657"/>
    <mergeCell ref="B657"/>
    <mergeCell ref="C657"/>
    <mergeCell ref="D657"/>
    <mergeCell ref="E657"/>
    <mergeCell ref="F657"/>
    <mergeCell ref="A656"/>
    <mergeCell ref="B656"/>
    <mergeCell ref="C656"/>
    <mergeCell ref="D656"/>
    <mergeCell ref="E656"/>
    <mergeCell ref="F656"/>
    <mergeCell ref="A655"/>
    <mergeCell ref="B655"/>
    <mergeCell ref="C655"/>
    <mergeCell ref="D655"/>
    <mergeCell ref="E655"/>
    <mergeCell ref="F655"/>
    <mergeCell ref="A654"/>
    <mergeCell ref="B654"/>
    <mergeCell ref="C654"/>
    <mergeCell ref="D654"/>
    <mergeCell ref="E654"/>
    <mergeCell ref="F654"/>
    <mergeCell ref="A653"/>
    <mergeCell ref="B653"/>
    <mergeCell ref="C653"/>
    <mergeCell ref="D653"/>
    <mergeCell ref="E653"/>
    <mergeCell ref="F653"/>
    <mergeCell ref="A652"/>
    <mergeCell ref="B652"/>
    <mergeCell ref="C652"/>
    <mergeCell ref="D652"/>
    <mergeCell ref="E652"/>
    <mergeCell ref="F652"/>
    <mergeCell ref="A651"/>
    <mergeCell ref="B651"/>
    <mergeCell ref="C651"/>
    <mergeCell ref="D651"/>
    <mergeCell ref="E651"/>
    <mergeCell ref="F651"/>
    <mergeCell ref="A650"/>
    <mergeCell ref="B650"/>
    <mergeCell ref="C650"/>
    <mergeCell ref="D650"/>
    <mergeCell ref="E650"/>
    <mergeCell ref="F650"/>
    <mergeCell ref="A649"/>
    <mergeCell ref="B649"/>
    <mergeCell ref="C649"/>
    <mergeCell ref="D649"/>
    <mergeCell ref="E649"/>
    <mergeCell ref="F649"/>
    <mergeCell ref="A648"/>
    <mergeCell ref="B648"/>
    <mergeCell ref="C648"/>
    <mergeCell ref="D648"/>
    <mergeCell ref="E648"/>
    <mergeCell ref="F648"/>
    <mergeCell ref="A647"/>
    <mergeCell ref="B647"/>
    <mergeCell ref="C647"/>
    <mergeCell ref="D647"/>
    <mergeCell ref="E647"/>
    <mergeCell ref="F647"/>
    <mergeCell ref="A646"/>
    <mergeCell ref="B646"/>
    <mergeCell ref="C646"/>
    <mergeCell ref="D646"/>
    <mergeCell ref="E646"/>
    <mergeCell ref="F646"/>
    <mergeCell ref="A645"/>
    <mergeCell ref="B645"/>
    <mergeCell ref="C645"/>
    <mergeCell ref="D645"/>
    <mergeCell ref="E645"/>
    <mergeCell ref="F645"/>
    <mergeCell ref="A644"/>
    <mergeCell ref="B644"/>
    <mergeCell ref="C644"/>
    <mergeCell ref="D644"/>
    <mergeCell ref="E644"/>
    <mergeCell ref="F644"/>
    <mergeCell ref="A643"/>
    <mergeCell ref="B643"/>
    <mergeCell ref="C643"/>
    <mergeCell ref="D643"/>
    <mergeCell ref="E643"/>
    <mergeCell ref="F643"/>
    <mergeCell ref="A642"/>
    <mergeCell ref="B642"/>
    <mergeCell ref="C642"/>
    <mergeCell ref="D642"/>
    <mergeCell ref="E642"/>
    <mergeCell ref="F642"/>
    <mergeCell ref="A641"/>
    <mergeCell ref="B641"/>
    <mergeCell ref="C641"/>
    <mergeCell ref="D641"/>
    <mergeCell ref="E641"/>
    <mergeCell ref="F641"/>
    <mergeCell ref="A640"/>
    <mergeCell ref="B640"/>
    <mergeCell ref="C640"/>
    <mergeCell ref="D640"/>
    <mergeCell ref="E640"/>
    <mergeCell ref="F640"/>
    <mergeCell ref="A639"/>
    <mergeCell ref="B639"/>
    <mergeCell ref="C639"/>
    <mergeCell ref="D639"/>
    <mergeCell ref="E639"/>
    <mergeCell ref="F639"/>
    <mergeCell ref="A638"/>
    <mergeCell ref="B638"/>
    <mergeCell ref="C638"/>
    <mergeCell ref="D638"/>
    <mergeCell ref="E638"/>
    <mergeCell ref="F638"/>
    <mergeCell ref="A637"/>
    <mergeCell ref="B637"/>
    <mergeCell ref="C637"/>
    <mergeCell ref="D637"/>
    <mergeCell ref="E637"/>
    <mergeCell ref="F637"/>
    <mergeCell ref="A636"/>
    <mergeCell ref="B636"/>
    <mergeCell ref="C636"/>
    <mergeCell ref="D636"/>
    <mergeCell ref="E636"/>
    <mergeCell ref="F636"/>
    <mergeCell ref="A635"/>
    <mergeCell ref="B635"/>
    <mergeCell ref="C635"/>
    <mergeCell ref="D635"/>
    <mergeCell ref="E635"/>
    <mergeCell ref="F635"/>
    <mergeCell ref="A634"/>
    <mergeCell ref="B634"/>
    <mergeCell ref="C634"/>
    <mergeCell ref="D634"/>
    <mergeCell ref="E634"/>
    <mergeCell ref="F634"/>
    <mergeCell ref="A633"/>
    <mergeCell ref="B633"/>
    <mergeCell ref="C633"/>
    <mergeCell ref="D633"/>
    <mergeCell ref="E633"/>
    <mergeCell ref="F633"/>
    <mergeCell ref="A632"/>
    <mergeCell ref="B632"/>
    <mergeCell ref="C632"/>
    <mergeCell ref="D632"/>
    <mergeCell ref="E632"/>
    <mergeCell ref="F632"/>
    <mergeCell ref="A631"/>
    <mergeCell ref="B631"/>
    <mergeCell ref="C631"/>
    <mergeCell ref="D631"/>
    <mergeCell ref="E631"/>
    <mergeCell ref="F631"/>
    <mergeCell ref="A630"/>
    <mergeCell ref="B630"/>
    <mergeCell ref="C630"/>
    <mergeCell ref="D630"/>
    <mergeCell ref="E630"/>
    <mergeCell ref="F630"/>
    <mergeCell ref="A629"/>
    <mergeCell ref="B629"/>
    <mergeCell ref="C629"/>
    <mergeCell ref="D629"/>
    <mergeCell ref="E629"/>
    <mergeCell ref="F629"/>
    <mergeCell ref="A628"/>
    <mergeCell ref="B628"/>
    <mergeCell ref="C628"/>
    <mergeCell ref="D628"/>
    <mergeCell ref="E628"/>
    <mergeCell ref="F628"/>
    <mergeCell ref="A627"/>
    <mergeCell ref="B627"/>
    <mergeCell ref="C627"/>
    <mergeCell ref="D627"/>
    <mergeCell ref="E627"/>
    <mergeCell ref="F627"/>
    <mergeCell ref="A626"/>
    <mergeCell ref="B626"/>
    <mergeCell ref="C626"/>
    <mergeCell ref="D626"/>
    <mergeCell ref="E626"/>
    <mergeCell ref="F626"/>
    <mergeCell ref="A625"/>
    <mergeCell ref="B625"/>
    <mergeCell ref="C625"/>
    <mergeCell ref="D625"/>
    <mergeCell ref="E625"/>
    <mergeCell ref="F625"/>
    <mergeCell ref="A624"/>
    <mergeCell ref="B624"/>
    <mergeCell ref="C624"/>
    <mergeCell ref="D624"/>
    <mergeCell ref="E624"/>
    <mergeCell ref="F624"/>
    <mergeCell ref="A623"/>
    <mergeCell ref="B623"/>
    <mergeCell ref="C623"/>
    <mergeCell ref="D623"/>
    <mergeCell ref="E623"/>
    <mergeCell ref="F623"/>
    <mergeCell ref="A622"/>
    <mergeCell ref="B622"/>
    <mergeCell ref="C622"/>
    <mergeCell ref="D622"/>
    <mergeCell ref="E622"/>
    <mergeCell ref="F622"/>
    <mergeCell ref="A621"/>
    <mergeCell ref="B621"/>
    <mergeCell ref="C621"/>
    <mergeCell ref="D621"/>
    <mergeCell ref="E621"/>
    <mergeCell ref="F621"/>
    <mergeCell ref="A620"/>
    <mergeCell ref="B620"/>
    <mergeCell ref="C620"/>
    <mergeCell ref="D620"/>
    <mergeCell ref="E620"/>
    <mergeCell ref="F620"/>
    <mergeCell ref="A619"/>
    <mergeCell ref="B619"/>
    <mergeCell ref="C619"/>
    <mergeCell ref="D619"/>
    <mergeCell ref="E619"/>
    <mergeCell ref="F619"/>
    <mergeCell ref="A618"/>
    <mergeCell ref="B618"/>
    <mergeCell ref="C618"/>
    <mergeCell ref="D618"/>
    <mergeCell ref="E618"/>
    <mergeCell ref="F618"/>
    <mergeCell ref="A617"/>
    <mergeCell ref="B617"/>
    <mergeCell ref="C617"/>
    <mergeCell ref="D617"/>
    <mergeCell ref="E617"/>
    <mergeCell ref="F617"/>
    <mergeCell ref="A616"/>
    <mergeCell ref="B616"/>
    <mergeCell ref="C616"/>
    <mergeCell ref="D616"/>
    <mergeCell ref="E616"/>
    <mergeCell ref="F616"/>
    <mergeCell ref="A615"/>
    <mergeCell ref="B615"/>
    <mergeCell ref="C615"/>
    <mergeCell ref="D615"/>
    <mergeCell ref="E615"/>
    <mergeCell ref="F615"/>
    <mergeCell ref="A614"/>
    <mergeCell ref="B614"/>
    <mergeCell ref="C614"/>
    <mergeCell ref="D614"/>
    <mergeCell ref="E614"/>
    <mergeCell ref="F614"/>
    <mergeCell ref="A613"/>
    <mergeCell ref="B613"/>
    <mergeCell ref="C613"/>
    <mergeCell ref="D613"/>
    <mergeCell ref="E613"/>
    <mergeCell ref="F613"/>
    <mergeCell ref="A612"/>
    <mergeCell ref="B612"/>
    <mergeCell ref="C612"/>
    <mergeCell ref="D612"/>
    <mergeCell ref="E612"/>
    <mergeCell ref="F612"/>
    <mergeCell ref="A611"/>
    <mergeCell ref="B611"/>
    <mergeCell ref="C611"/>
    <mergeCell ref="D611"/>
    <mergeCell ref="E611"/>
    <mergeCell ref="F611"/>
    <mergeCell ref="A610"/>
    <mergeCell ref="B610"/>
    <mergeCell ref="C610"/>
    <mergeCell ref="D610"/>
    <mergeCell ref="E610"/>
    <mergeCell ref="F610"/>
    <mergeCell ref="A609"/>
    <mergeCell ref="B609"/>
    <mergeCell ref="C609"/>
    <mergeCell ref="D609"/>
    <mergeCell ref="E609"/>
    <mergeCell ref="F609"/>
    <mergeCell ref="A608"/>
    <mergeCell ref="B608"/>
    <mergeCell ref="C608"/>
    <mergeCell ref="D608"/>
    <mergeCell ref="E608"/>
    <mergeCell ref="F608"/>
    <mergeCell ref="A607"/>
    <mergeCell ref="B607"/>
    <mergeCell ref="C607"/>
    <mergeCell ref="D607"/>
    <mergeCell ref="E607"/>
    <mergeCell ref="F607"/>
    <mergeCell ref="A606"/>
    <mergeCell ref="B606"/>
    <mergeCell ref="C606"/>
    <mergeCell ref="D606"/>
    <mergeCell ref="E606"/>
    <mergeCell ref="F606"/>
    <mergeCell ref="A605"/>
    <mergeCell ref="B605"/>
    <mergeCell ref="C605"/>
    <mergeCell ref="D605"/>
    <mergeCell ref="E605"/>
    <mergeCell ref="F605"/>
    <mergeCell ref="A604"/>
    <mergeCell ref="B604"/>
    <mergeCell ref="C604"/>
    <mergeCell ref="D604"/>
    <mergeCell ref="E604"/>
    <mergeCell ref="F604"/>
    <mergeCell ref="A603"/>
    <mergeCell ref="B603"/>
    <mergeCell ref="C603"/>
    <mergeCell ref="D603"/>
    <mergeCell ref="E603"/>
    <mergeCell ref="F603"/>
    <mergeCell ref="A602"/>
    <mergeCell ref="B602"/>
    <mergeCell ref="C602"/>
    <mergeCell ref="D602"/>
    <mergeCell ref="E602"/>
    <mergeCell ref="F602"/>
    <mergeCell ref="A601"/>
    <mergeCell ref="B601"/>
    <mergeCell ref="C601"/>
    <mergeCell ref="D601"/>
    <mergeCell ref="E601"/>
    <mergeCell ref="F601"/>
    <mergeCell ref="A600"/>
    <mergeCell ref="B600"/>
    <mergeCell ref="C600"/>
    <mergeCell ref="D600"/>
    <mergeCell ref="E600"/>
    <mergeCell ref="F600"/>
    <mergeCell ref="A599"/>
    <mergeCell ref="B599"/>
    <mergeCell ref="C599"/>
    <mergeCell ref="D599"/>
    <mergeCell ref="E599"/>
    <mergeCell ref="F599"/>
    <mergeCell ref="A598"/>
    <mergeCell ref="B598"/>
    <mergeCell ref="C598"/>
    <mergeCell ref="D598"/>
    <mergeCell ref="E598"/>
    <mergeCell ref="F598"/>
    <mergeCell ref="A597"/>
    <mergeCell ref="B597"/>
    <mergeCell ref="C597"/>
    <mergeCell ref="D597"/>
    <mergeCell ref="E597"/>
    <mergeCell ref="F597"/>
    <mergeCell ref="A596"/>
    <mergeCell ref="B596"/>
    <mergeCell ref="C596"/>
    <mergeCell ref="D596"/>
    <mergeCell ref="E596"/>
    <mergeCell ref="F596"/>
    <mergeCell ref="A590:A595"/>
    <mergeCell ref="B590:B595"/>
    <mergeCell ref="C590:C595"/>
    <mergeCell ref="D590:D595"/>
    <mergeCell ref="E590:E595"/>
    <mergeCell ref="F590:F595"/>
    <mergeCell ref="A585:A589"/>
    <mergeCell ref="B585:B589"/>
    <mergeCell ref="C585:C589"/>
    <mergeCell ref="D585:D589"/>
    <mergeCell ref="E585:E589"/>
    <mergeCell ref="F585:F589"/>
    <mergeCell ref="A580:A584"/>
    <mergeCell ref="B580:B584"/>
    <mergeCell ref="C580:C584"/>
    <mergeCell ref="D580:D584"/>
    <mergeCell ref="E580:E584"/>
    <mergeCell ref="F580:F584"/>
    <mergeCell ref="A579"/>
    <mergeCell ref="B579"/>
    <mergeCell ref="C579"/>
    <mergeCell ref="D579"/>
    <mergeCell ref="E579"/>
    <mergeCell ref="F579"/>
    <mergeCell ref="A578"/>
    <mergeCell ref="B578"/>
    <mergeCell ref="C578"/>
    <mergeCell ref="D578"/>
    <mergeCell ref="E578"/>
    <mergeCell ref="F578"/>
    <mergeCell ref="A577"/>
    <mergeCell ref="B577"/>
    <mergeCell ref="C577"/>
    <mergeCell ref="D577"/>
    <mergeCell ref="E577"/>
    <mergeCell ref="F577"/>
    <mergeCell ref="A576"/>
    <mergeCell ref="B576"/>
    <mergeCell ref="C576"/>
    <mergeCell ref="D576"/>
    <mergeCell ref="E576"/>
    <mergeCell ref="F576"/>
    <mergeCell ref="A575"/>
    <mergeCell ref="B575"/>
    <mergeCell ref="C575"/>
    <mergeCell ref="D575"/>
    <mergeCell ref="E575"/>
    <mergeCell ref="F575"/>
    <mergeCell ref="A574"/>
    <mergeCell ref="B574"/>
    <mergeCell ref="C574"/>
    <mergeCell ref="D574"/>
    <mergeCell ref="E574"/>
    <mergeCell ref="F574"/>
    <mergeCell ref="A573"/>
    <mergeCell ref="B573"/>
    <mergeCell ref="C573"/>
    <mergeCell ref="D573"/>
    <mergeCell ref="E573"/>
    <mergeCell ref="F573"/>
    <mergeCell ref="A572"/>
    <mergeCell ref="B572"/>
    <mergeCell ref="C572"/>
    <mergeCell ref="D572"/>
    <mergeCell ref="E572"/>
    <mergeCell ref="F572"/>
    <mergeCell ref="A571"/>
    <mergeCell ref="B571"/>
    <mergeCell ref="C571"/>
    <mergeCell ref="D571"/>
    <mergeCell ref="E571"/>
    <mergeCell ref="F571"/>
    <mergeCell ref="A570"/>
    <mergeCell ref="B570"/>
    <mergeCell ref="C570"/>
    <mergeCell ref="D570"/>
    <mergeCell ref="E570"/>
    <mergeCell ref="F570"/>
    <mergeCell ref="A569"/>
    <mergeCell ref="B569"/>
    <mergeCell ref="C569"/>
    <mergeCell ref="D569"/>
    <mergeCell ref="E569"/>
    <mergeCell ref="F569"/>
    <mergeCell ref="A568"/>
    <mergeCell ref="B568"/>
    <mergeCell ref="C568"/>
    <mergeCell ref="D568"/>
    <mergeCell ref="E568"/>
    <mergeCell ref="F568"/>
    <mergeCell ref="A566:A567"/>
    <mergeCell ref="B566:B567"/>
    <mergeCell ref="C566:C567"/>
    <mergeCell ref="D566:D567"/>
    <mergeCell ref="E566:E567"/>
    <mergeCell ref="F566:F567"/>
    <mergeCell ref="A565"/>
    <mergeCell ref="B565"/>
    <mergeCell ref="C565"/>
    <mergeCell ref="D565"/>
    <mergeCell ref="E565"/>
    <mergeCell ref="F565"/>
    <mergeCell ref="A564"/>
    <mergeCell ref="B564"/>
    <mergeCell ref="C564"/>
    <mergeCell ref="D564"/>
    <mergeCell ref="E564"/>
    <mergeCell ref="F564"/>
    <mergeCell ref="A562:A563"/>
    <mergeCell ref="B562:B563"/>
    <mergeCell ref="C562:C563"/>
    <mergeCell ref="D562:D563"/>
    <mergeCell ref="E562:E563"/>
    <mergeCell ref="F562:F563"/>
    <mergeCell ref="A561"/>
    <mergeCell ref="B561"/>
    <mergeCell ref="C561"/>
    <mergeCell ref="D561"/>
    <mergeCell ref="E561"/>
    <mergeCell ref="F561"/>
    <mergeCell ref="A560"/>
    <mergeCell ref="B560"/>
    <mergeCell ref="C560"/>
    <mergeCell ref="D560"/>
    <mergeCell ref="E560"/>
    <mergeCell ref="F560"/>
    <mergeCell ref="A559"/>
    <mergeCell ref="B559"/>
    <mergeCell ref="C559"/>
    <mergeCell ref="D559"/>
    <mergeCell ref="E559"/>
    <mergeCell ref="F559"/>
    <mergeCell ref="A558"/>
    <mergeCell ref="B558"/>
    <mergeCell ref="C558"/>
    <mergeCell ref="D558"/>
    <mergeCell ref="E558"/>
    <mergeCell ref="F558"/>
    <mergeCell ref="A557"/>
    <mergeCell ref="B557"/>
    <mergeCell ref="C557"/>
    <mergeCell ref="D557"/>
    <mergeCell ref="E557"/>
    <mergeCell ref="F557"/>
    <mergeCell ref="A556"/>
    <mergeCell ref="B556"/>
    <mergeCell ref="C556"/>
    <mergeCell ref="D556"/>
    <mergeCell ref="E556"/>
    <mergeCell ref="F556"/>
    <mergeCell ref="A555"/>
    <mergeCell ref="B555"/>
    <mergeCell ref="C555"/>
    <mergeCell ref="D555"/>
    <mergeCell ref="E555"/>
    <mergeCell ref="F555"/>
    <mergeCell ref="A554"/>
    <mergeCell ref="B554"/>
    <mergeCell ref="C554"/>
    <mergeCell ref="D554"/>
    <mergeCell ref="E554"/>
    <mergeCell ref="F554"/>
    <mergeCell ref="A552:A553"/>
    <mergeCell ref="B552:B553"/>
    <mergeCell ref="C552:C553"/>
    <mergeCell ref="D552:D553"/>
    <mergeCell ref="E552:E553"/>
    <mergeCell ref="F552:F553"/>
    <mergeCell ref="A551"/>
    <mergeCell ref="B551"/>
    <mergeCell ref="C551"/>
    <mergeCell ref="D551"/>
    <mergeCell ref="E551"/>
    <mergeCell ref="F551"/>
    <mergeCell ref="A550"/>
    <mergeCell ref="B550"/>
    <mergeCell ref="C550"/>
    <mergeCell ref="D550"/>
    <mergeCell ref="E550"/>
    <mergeCell ref="F550"/>
    <mergeCell ref="A549"/>
    <mergeCell ref="B549"/>
    <mergeCell ref="C549"/>
    <mergeCell ref="D549"/>
    <mergeCell ref="E549"/>
    <mergeCell ref="F549"/>
    <mergeCell ref="A544:A548"/>
    <mergeCell ref="B544:B548"/>
    <mergeCell ref="C544:C548"/>
    <mergeCell ref="D544:D548"/>
    <mergeCell ref="E544:E548"/>
    <mergeCell ref="F544:F548"/>
    <mergeCell ref="A542:A543"/>
    <mergeCell ref="B542:B543"/>
    <mergeCell ref="C542:C543"/>
    <mergeCell ref="D542:D543"/>
    <mergeCell ref="E542:E543"/>
    <mergeCell ref="F542:F543"/>
    <mergeCell ref="A541"/>
    <mergeCell ref="B541"/>
    <mergeCell ref="C541"/>
    <mergeCell ref="D541"/>
    <mergeCell ref="E541"/>
    <mergeCell ref="F541"/>
    <mergeCell ref="A540"/>
    <mergeCell ref="B540"/>
    <mergeCell ref="C540"/>
    <mergeCell ref="D540"/>
    <mergeCell ref="E540"/>
    <mergeCell ref="F540"/>
    <mergeCell ref="A539"/>
    <mergeCell ref="B539"/>
    <mergeCell ref="C539"/>
    <mergeCell ref="D539"/>
    <mergeCell ref="E539"/>
    <mergeCell ref="F539"/>
    <mergeCell ref="A538"/>
    <mergeCell ref="B538"/>
    <mergeCell ref="C538"/>
    <mergeCell ref="D538"/>
    <mergeCell ref="E538"/>
    <mergeCell ref="F538"/>
    <mergeCell ref="A537"/>
    <mergeCell ref="B537"/>
    <mergeCell ref="C537"/>
    <mergeCell ref="D537"/>
    <mergeCell ref="E537"/>
    <mergeCell ref="F537"/>
    <mergeCell ref="A536"/>
    <mergeCell ref="B536"/>
    <mergeCell ref="C536"/>
    <mergeCell ref="D536"/>
    <mergeCell ref="E536"/>
    <mergeCell ref="F536"/>
    <mergeCell ref="A535"/>
    <mergeCell ref="B535"/>
    <mergeCell ref="C535"/>
    <mergeCell ref="D535"/>
    <mergeCell ref="E535"/>
    <mergeCell ref="F535"/>
    <mergeCell ref="A534"/>
    <mergeCell ref="B534"/>
    <mergeCell ref="C534"/>
    <mergeCell ref="D534"/>
    <mergeCell ref="E534"/>
    <mergeCell ref="F534"/>
    <mergeCell ref="A533"/>
    <mergeCell ref="B533"/>
    <mergeCell ref="C533"/>
    <mergeCell ref="D533"/>
    <mergeCell ref="E533"/>
    <mergeCell ref="F533"/>
    <mergeCell ref="A532"/>
    <mergeCell ref="B532"/>
    <mergeCell ref="C532"/>
    <mergeCell ref="D532"/>
    <mergeCell ref="E532"/>
    <mergeCell ref="F532"/>
    <mergeCell ref="A531"/>
    <mergeCell ref="B531"/>
    <mergeCell ref="C531"/>
    <mergeCell ref="D531"/>
    <mergeCell ref="E531"/>
    <mergeCell ref="F531"/>
    <mergeCell ref="A530"/>
    <mergeCell ref="B530"/>
    <mergeCell ref="C530"/>
    <mergeCell ref="D530"/>
    <mergeCell ref="E530"/>
    <mergeCell ref="F530"/>
    <mergeCell ref="A529"/>
    <mergeCell ref="B529"/>
    <mergeCell ref="C529"/>
    <mergeCell ref="D529"/>
    <mergeCell ref="E529"/>
    <mergeCell ref="F529"/>
    <mergeCell ref="A528"/>
    <mergeCell ref="B528"/>
    <mergeCell ref="C528"/>
    <mergeCell ref="D528"/>
    <mergeCell ref="E528"/>
    <mergeCell ref="F528"/>
    <mergeCell ref="A527"/>
    <mergeCell ref="B527"/>
    <mergeCell ref="C527"/>
    <mergeCell ref="D527"/>
    <mergeCell ref="E527"/>
    <mergeCell ref="F527"/>
    <mergeCell ref="A526"/>
    <mergeCell ref="B526"/>
    <mergeCell ref="C526"/>
    <mergeCell ref="D526"/>
    <mergeCell ref="E526"/>
    <mergeCell ref="F526"/>
    <mergeCell ref="A524:A525"/>
    <mergeCell ref="B524:B525"/>
    <mergeCell ref="C524:C525"/>
    <mergeCell ref="D524:D525"/>
    <mergeCell ref="E524:E525"/>
    <mergeCell ref="F524:F525"/>
    <mergeCell ref="A523"/>
    <mergeCell ref="B523"/>
    <mergeCell ref="C523"/>
    <mergeCell ref="D523"/>
    <mergeCell ref="E523"/>
    <mergeCell ref="F523"/>
    <mergeCell ref="A522"/>
    <mergeCell ref="B522"/>
    <mergeCell ref="C522"/>
    <mergeCell ref="D522"/>
    <mergeCell ref="E522"/>
    <mergeCell ref="F522"/>
    <mergeCell ref="A521"/>
    <mergeCell ref="B521"/>
    <mergeCell ref="C521"/>
    <mergeCell ref="D521"/>
    <mergeCell ref="E521"/>
    <mergeCell ref="F521"/>
    <mergeCell ref="A520"/>
    <mergeCell ref="B520"/>
    <mergeCell ref="C520"/>
    <mergeCell ref="D520"/>
    <mergeCell ref="E520"/>
    <mergeCell ref="F520"/>
    <mergeCell ref="A519"/>
    <mergeCell ref="B519"/>
    <mergeCell ref="C519"/>
    <mergeCell ref="D519"/>
    <mergeCell ref="E519"/>
    <mergeCell ref="F519"/>
    <mergeCell ref="A518"/>
    <mergeCell ref="B518"/>
    <mergeCell ref="C518"/>
    <mergeCell ref="D518"/>
    <mergeCell ref="E518"/>
    <mergeCell ref="F518"/>
    <mergeCell ref="A515:A517"/>
    <mergeCell ref="B515:B517"/>
    <mergeCell ref="C515:C517"/>
    <mergeCell ref="D515:D517"/>
    <mergeCell ref="E515:E517"/>
    <mergeCell ref="F515:F517"/>
    <mergeCell ref="A514"/>
    <mergeCell ref="B514"/>
    <mergeCell ref="C514"/>
    <mergeCell ref="D514"/>
    <mergeCell ref="E514"/>
    <mergeCell ref="F514"/>
    <mergeCell ref="A513"/>
    <mergeCell ref="B513"/>
    <mergeCell ref="C513"/>
    <mergeCell ref="D513"/>
    <mergeCell ref="E513"/>
    <mergeCell ref="F513"/>
    <mergeCell ref="A512"/>
    <mergeCell ref="B512"/>
    <mergeCell ref="C512"/>
    <mergeCell ref="D512"/>
    <mergeCell ref="E512"/>
    <mergeCell ref="F512"/>
    <mergeCell ref="A511"/>
    <mergeCell ref="B511"/>
    <mergeCell ref="C511"/>
    <mergeCell ref="D511"/>
    <mergeCell ref="E511"/>
    <mergeCell ref="F511"/>
    <mergeCell ref="A510"/>
    <mergeCell ref="B510"/>
    <mergeCell ref="C510"/>
    <mergeCell ref="D510"/>
    <mergeCell ref="E510"/>
    <mergeCell ref="F510"/>
    <mergeCell ref="A509"/>
    <mergeCell ref="B509"/>
    <mergeCell ref="C509"/>
    <mergeCell ref="D509"/>
    <mergeCell ref="E509"/>
    <mergeCell ref="F509"/>
    <mergeCell ref="A508"/>
    <mergeCell ref="B508"/>
    <mergeCell ref="C508"/>
    <mergeCell ref="D508"/>
    <mergeCell ref="E508"/>
    <mergeCell ref="F508"/>
    <mergeCell ref="A507"/>
    <mergeCell ref="B507"/>
    <mergeCell ref="C507"/>
    <mergeCell ref="D507"/>
    <mergeCell ref="E507"/>
    <mergeCell ref="F507"/>
    <mergeCell ref="A506"/>
    <mergeCell ref="B506"/>
    <mergeCell ref="C506"/>
    <mergeCell ref="D506"/>
    <mergeCell ref="E506"/>
    <mergeCell ref="F506"/>
    <mergeCell ref="A505"/>
    <mergeCell ref="B505"/>
    <mergeCell ref="C505"/>
    <mergeCell ref="D505"/>
    <mergeCell ref="E505"/>
    <mergeCell ref="F505"/>
    <mergeCell ref="A504"/>
    <mergeCell ref="B504"/>
    <mergeCell ref="C504"/>
    <mergeCell ref="D504"/>
    <mergeCell ref="E504"/>
    <mergeCell ref="F504"/>
    <mergeCell ref="A503"/>
    <mergeCell ref="B503"/>
    <mergeCell ref="C503"/>
    <mergeCell ref="D503"/>
    <mergeCell ref="E503"/>
    <mergeCell ref="F503"/>
    <mergeCell ref="A501:A502"/>
    <mergeCell ref="B501:B502"/>
    <mergeCell ref="C501:C502"/>
    <mergeCell ref="D501:D502"/>
    <mergeCell ref="E501:E502"/>
    <mergeCell ref="F501:F502"/>
    <mergeCell ref="A499:A500"/>
    <mergeCell ref="B499:B500"/>
    <mergeCell ref="C499:C500"/>
    <mergeCell ref="D499:D500"/>
    <mergeCell ref="E499:E500"/>
    <mergeCell ref="F499:F500"/>
    <mergeCell ref="A459:A498"/>
    <mergeCell ref="B459:B498"/>
    <mergeCell ref="C459:C498"/>
    <mergeCell ref="D459:D498"/>
    <mergeCell ref="E459:E498"/>
    <mergeCell ref="F459:F498"/>
    <mergeCell ref="A457:A458"/>
    <mergeCell ref="B457:B458"/>
    <mergeCell ref="C457:C458"/>
    <mergeCell ref="D457:D458"/>
    <mergeCell ref="E457:E458"/>
    <mergeCell ref="F457:F458"/>
    <mergeCell ref="A451:A456"/>
    <mergeCell ref="B451:B456"/>
    <mergeCell ref="C451:C456"/>
    <mergeCell ref="D451:D456"/>
    <mergeCell ref="E451:E456"/>
    <mergeCell ref="F451:F456"/>
    <mergeCell ref="A436:A450"/>
    <mergeCell ref="B436:B450"/>
    <mergeCell ref="C436:C450"/>
    <mergeCell ref="D436:D450"/>
    <mergeCell ref="E436:E450"/>
    <mergeCell ref="F436:F450"/>
    <mergeCell ref="A427:A435"/>
    <mergeCell ref="B427:B435"/>
    <mergeCell ref="C427:C435"/>
    <mergeCell ref="D427:D435"/>
    <mergeCell ref="E427:E435"/>
    <mergeCell ref="F427:F435"/>
    <mergeCell ref="A418:A426"/>
    <mergeCell ref="B418:B426"/>
    <mergeCell ref="C418:C426"/>
    <mergeCell ref="D418:D426"/>
    <mergeCell ref="E418:E426"/>
    <mergeCell ref="F418:F426"/>
    <mergeCell ref="A417"/>
    <mergeCell ref="B417"/>
    <mergeCell ref="C417"/>
    <mergeCell ref="D417"/>
    <mergeCell ref="E417"/>
    <mergeCell ref="F417"/>
    <mergeCell ref="A416"/>
    <mergeCell ref="B416"/>
    <mergeCell ref="C416"/>
    <mergeCell ref="D416"/>
    <mergeCell ref="E416"/>
    <mergeCell ref="F416"/>
    <mergeCell ref="A400:A415"/>
    <mergeCell ref="B400:B415"/>
    <mergeCell ref="C400:C415"/>
    <mergeCell ref="D400:D415"/>
    <mergeCell ref="E400:E415"/>
    <mergeCell ref="F400:F415"/>
    <mergeCell ref="A369:A399"/>
    <mergeCell ref="B369:B399"/>
    <mergeCell ref="C369:C399"/>
    <mergeCell ref="D369:D399"/>
    <mergeCell ref="E369:E399"/>
    <mergeCell ref="F369:F399"/>
    <mergeCell ref="A303:A368"/>
    <mergeCell ref="B303:B368"/>
    <mergeCell ref="C303:C368"/>
    <mergeCell ref="D303:D368"/>
    <mergeCell ref="E303:E368"/>
    <mergeCell ref="F303:F368"/>
    <mergeCell ref="A301:A302"/>
    <mergeCell ref="B301:B302"/>
    <mergeCell ref="C301:C302"/>
    <mergeCell ref="D301:D302"/>
    <mergeCell ref="E301:E302"/>
    <mergeCell ref="F301:F302"/>
    <mergeCell ref="A299:A300"/>
    <mergeCell ref="B299:B300"/>
    <mergeCell ref="C299:C300"/>
    <mergeCell ref="D299:D300"/>
    <mergeCell ref="E299:E300"/>
    <mergeCell ref="F299:F300"/>
    <mergeCell ref="A298"/>
    <mergeCell ref="B298"/>
    <mergeCell ref="C298"/>
    <mergeCell ref="D298"/>
    <mergeCell ref="E298"/>
    <mergeCell ref="F298"/>
    <mergeCell ref="A292:A297"/>
    <mergeCell ref="B292:B297"/>
    <mergeCell ref="C292:C297"/>
    <mergeCell ref="D292:D297"/>
    <mergeCell ref="E292:E297"/>
    <mergeCell ref="F292:F297"/>
    <mergeCell ref="A288:A291"/>
    <mergeCell ref="B288:B291"/>
    <mergeCell ref="C288:C291"/>
    <mergeCell ref="D288:D291"/>
    <mergeCell ref="E288:E291"/>
    <mergeCell ref="F288:F291"/>
    <mergeCell ref="A287"/>
    <mergeCell ref="B287"/>
    <mergeCell ref="C287"/>
    <mergeCell ref="D287"/>
    <mergeCell ref="E287"/>
    <mergeCell ref="F287"/>
    <mergeCell ref="A286"/>
    <mergeCell ref="B286"/>
    <mergeCell ref="C286"/>
    <mergeCell ref="D286"/>
    <mergeCell ref="E286"/>
    <mergeCell ref="F286"/>
    <mergeCell ref="A283:A285"/>
    <mergeCell ref="B283:B285"/>
    <mergeCell ref="C283:C285"/>
    <mergeCell ref="D283:D285"/>
    <mergeCell ref="E283:E285"/>
    <mergeCell ref="F283:F285"/>
    <mergeCell ref="A277:A282"/>
    <mergeCell ref="B277:B282"/>
    <mergeCell ref="C277:C282"/>
    <mergeCell ref="D277:D282"/>
    <mergeCell ref="E277:E282"/>
    <mergeCell ref="F277:F282"/>
    <mergeCell ref="A273:A276"/>
    <mergeCell ref="B273:B276"/>
    <mergeCell ref="C273:C276"/>
    <mergeCell ref="D273:D276"/>
    <mergeCell ref="E273:E276"/>
    <mergeCell ref="F273:F276"/>
    <mergeCell ref="A255:A272"/>
    <mergeCell ref="B255:B272"/>
    <mergeCell ref="C255:C272"/>
    <mergeCell ref="D255:D272"/>
    <mergeCell ref="E255:E272"/>
    <mergeCell ref="F255:F272"/>
    <mergeCell ref="A253:A254"/>
    <mergeCell ref="B253:B254"/>
    <mergeCell ref="C253:C254"/>
    <mergeCell ref="D253:D254"/>
    <mergeCell ref="E253:E254"/>
    <mergeCell ref="F253:F254"/>
    <mergeCell ref="A249:A252"/>
    <mergeCell ref="B249:B252"/>
    <mergeCell ref="C249:C252"/>
    <mergeCell ref="D249:D252"/>
    <mergeCell ref="E249:E252"/>
    <mergeCell ref="F249:F252"/>
    <mergeCell ref="A240:A248"/>
    <mergeCell ref="B240:B248"/>
    <mergeCell ref="C240:C248"/>
    <mergeCell ref="D240:D248"/>
    <mergeCell ref="E240:E248"/>
    <mergeCell ref="F240:F248"/>
    <mergeCell ref="A196:A239"/>
    <mergeCell ref="B196:B239"/>
    <mergeCell ref="C196:C239"/>
    <mergeCell ref="D196:D239"/>
    <mergeCell ref="E196:E239"/>
    <mergeCell ref="F196:F239"/>
    <mergeCell ref="A168:A195"/>
    <mergeCell ref="B168:B195"/>
    <mergeCell ref="C168:C195"/>
    <mergeCell ref="D168:D195"/>
    <mergeCell ref="E168:E195"/>
    <mergeCell ref="F168:F195"/>
    <mergeCell ref="A162:A167"/>
    <mergeCell ref="B162:B167"/>
    <mergeCell ref="C162:C167"/>
    <mergeCell ref="D162:D167"/>
    <mergeCell ref="E162:E167"/>
    <mergeCell ref="F162:F167"/>
    <mergeCell ref="A84:A161"/>
    <mergeCell ref="B84:B161"/>
    <mergeCell ref="C84:C161"/>
    <mergeCell ref="D84:D161"/>
    <mergeCell ref="E84:E161"/>
    <mergeCell ref="F84:F161"/>
    <mergeCell ref="A81:A83"/>
    <mergeCell ref="B81:B83"/>
    <mergeCell ref="C81:C83"/>
    <mergeCell ref="D81:D83"/>
    <mergeCell ref="E81:E83"/>
    <mergeCell ref="F81:F83"/>
    <mergeCell ref="A76:A80"/>
    <mergeCell ref="B76:B80"/>
    <mergeCell ref="C76:C80"/>
    <mergeCell ref="D76:D80"/>
    <mergeCell ref="E76:E80"/>
    <mergeCell ref="F76:F80"/>
    <mergeCell ref="A69:A75"/>
    <mergeCell ref="B69:B75"/>
    <mergeCell ref="C69:C75"/>
    <mergeCell ref="D69:D75"/>
    <mergeCell ref="E69:E75"/>
    <mergeCell ref="F69:F75"/>
    <mergeCell ref="A68"/>
    <mergeCell ref="B68"/>
    <mergeCell ref="C68"/>
    <mergeCell ref="D68"/>
    <mergeCell ref="E68"/>
    <mergeCell ref="F68"/>
    <mergeCell ref="A67"/>
    <mergeCell ref="B67"/>
    <mergeCell ref="C67"/>
    <mergeCell ref="D67"/>
    <mergeCell ref="E67"/>
    <mergeCell ref="F67"/>
    <mergeCell ref="A64:A66"/>
    <mergeCell ref="B64:B66"/>
    <mergeCell ref="C64:C66"/>
    <mergeCell ref="D64:D66"/>
    <mergeCell ref="E64:E66"/>
    <mergeCell ref="F64:F66"/>
    <mergeCell ref="A53:A63"/>
    <mergeCell ref="B53:B63"/>
    <mergeCell ref="C53:C63"/>
    <mergeCell ref="D53:D63"/>
    <mergeCell ref="E53:E63"/>
    <mergeCell ref="F53:F63"/>
    <mergeCell ref="A52"/>
    <mergeCell ref="B52"/>
    <mergeCell ref="C52"/>
    <mergeCell ref="D52"/>
    <mergeCell ref="E52"/>
    <mergeCell ref="F52"/>
    <mergeCell ref="A51"/>
    <mergeCell ref="B51"/>
    <mergeCell ref="C51"/>
    <mergeCell ref="D51"/>
    <mergeCell ref="E51"/>
    <mergeCell ref="F51"/>
    <mergeCell ref="A50"/>
    <mergeCell ref="B50"/>
    <mergeCell ref="C50"/>
    <mergeCell ref="D50"/>
    <mergeCell ref="E50"/>
    <mergeCell ref="F50"/>
    <mergeCell ref="A49"/>
    <mergeCell ref="B49"/>
    <mergeCell ref="C49"/>
    <mergeCell ref="D49"/>
    <mergeCell ref="E49"/>
    <mergeCell ref="F49"/>
    <mergeCell ref="A48"/>
    <mergeCell ref="B48"/>
    <mergeCell ref="C48"/>
    <mergeCell ref="D48"/>
    <mergeCell ref="E48"/>
    <mergeCell ref="F48"/>
    <mergeCell ref="A47"/>
    <mergeCell ref="B47"/>
    <mergeCell ref="C47"/>
    <mergeCell ref="D47"/>
    <mergeCell ref="E47"/>
    <mergeCell ref="F47"/>
    <mergeCell ref="A46"/>
    <mergeCell ref="B46"/>
    <mergeCell ref="C46"/>
    <mergeCell ref="D46"/>
    <mergeCell ref="E46"/>
    <mergeCell ref="F46"/>
    <mergeCell ref="A45"/>
    <mergeCell ref="B45"/>
    <mergeCell ref="C45"/>
    <mergeCell ref="D45"/>
    <mergeCell ref="E45"/>
    <mergeCell ref="F45"/>
    <mergeCell ref="A44"/>
    <mergeCell ref="B44"/>
    <mergeCell ref="C44"/>
    <mergeCell ref="D44"/>
    <mergeCell ref="E44"/>
    <mergeCell ref="F44"/>
    <mergeCell ref="A43"/>
    <mergeCell ref="B43"/>
    <mergeCell ref="C43"/>
    <mergeCell ref="D43"/>
    <mergeCell ref="E43"/>
    <mergeCell ref="F43"/>
    <mergeCell ref="A42"/>
    <mergeCell ref="B42"/>
    <mergeCell ref="C42"/>
    <mergeCell ref="D42"/>
    <mergeCell ref="E42"/>
    <mergeCell ref="F42"/>
    <mergeCell ref="A41"/>
    <mergeCell ref="B41"/>
    <mergeCell ref="C41"/>
    <mergeCell ref="D41"/>
    <mergeCell ref="E41"/>
    <mergeCell ref="F41"/>
    <mergeCell ref="A31:A40"/>
    <mergeCell ref="B31:B40"/>
    <mergeCell ref="C31:C40"/>
    <mergeCell ref="D31:D40"/>
    <mergeCell ref="E31:E40"/>
    <mergeCell ref="F31:F40"/>
    <mergeCell ref="A30"/>
    <mergeCell ref="B30"/>
    <mergeCell ref="C30"/>
    <mergeCell ref="D30"/>
    <mergeCell ref="E30"/>
    <mergeCell ref="F30"/>
    <mergeCell ref="A29"/>
    <mergeCell ref="B29"/>
    <mergeCell ref="C29"/>
    <mergeCell ref="D29"/>
    <mergeCell ref="E29"/>
    <mergeCell ref="F29"/>
    <mergeCell ref="A28"/>
    <mergeCell ref="B28"/>
    <mergeCell ref="C28"/>
    <mergeCell ref="D28"/>
    <mergeCell ref="E28"/>
    <mergeCell ref="F28"/>
    <mergeCell ref="A27"/>
    <mergeCell ref="B27"/>
    <mergeCell ref="C27"/>
    <mergeCell ref="D27"/>
    <mergeCell ref="E27"/>
    <mergeCell ref="F27"/>
    <mergeCell ref="A26"/>
    <mergeCell ref="B26"/>
    <mergeCell ref="C26"/>
    <mergeCell ref="D26"/>
    <mergeCell ref="E26"/>
    <mergeCell ref="F26"/>
    <mergeCell ref="A25"/>
    <mergeCell ref="B25"/>
    <mergeCell ref="C25"/>
    <mergeCell ref="D25"/>
    <mergeCell ref="E25"/>
    <mergeCell ref="F25"/>
    <mergeCell ref="A24"/>
    <mergeCell ref="B24"/>
    <mergeCell ref="C24"/>
    <mergeCell ref="D24"/>
    <mergeCell ref="E24"/>
    <mergeCell ref="F24"/>
    <mergeCell ref="A23"/>
    <mergeCell ref="B23"/>
    <mergeCell ref="C23"/>
    <mergeCell ref="D23"/>
    <mergeCell ref="E23"/>
    <mergeCell ref="F23"/>
    <mergeCell ref="A22"/>
    <mergeCell ref="B22"/>
    <mergeCell ref="C22"/>
    <mergeCell ref="D22"/>
    <mergeCell ref="E22"/>
    <mergeCell ref="F22"/>
    <mergeCell ref="A21"/>
    <mergeCell ref="B21"/>
    <mergeCell ref="C21"/>
    <mergeCell ref="D21"/>
    <mergeCell ref="E21"/>
    <mergeCell ref="F21"/>
    <mergeCell ref="A20"/>
    <mergeCell ref="B20"/>
    <mergeCell ref="C20"/>
    <mergeCell ref="D20"/>
    <mergeCell ref="E20"/>
    <mergeCell ref="F20"/>
    <mergeCell ref="A19"/>
    <mergeCell ref="B19"/>
    <mergeCell ref="C19"/>
    <mergeCell ref="D19"/>
    <mergeCell ref="E19"/>
    <mergeCell ref="F19"/>
    <mergeCell ref="A17:A18"/>
    <mergeCell ref="B17:B18"/>
    <mergeCell ref="C17:C18"/>
    <mergeCell ref="D17:D18"/>
    <mergeCell ref="E17:E18"/>
    <mergeCell ref="F17:F18"/>
    <mergeCell ref="A16"/>
    <mergeCell ref="B16"/>
    <mergeCell ref="C16"/>
    <mergeCell ref="D16"/>
    <mergeCell ref="E16"/>
    <mergeCell ref="F16"/>
    <mergeCell ref="A15"/>
    <mergeCell ref="B15"/>
    <mergeCell ref="C15"/>
    <mergeCell ref="D15"/>
    <mergeCell ref="E15"/>
    <mergeCell ref="F15"/>
    <mergeCell ref="A14"/>
    <mergeCell ref="B14"/>
    <mergeCell ref="C14"/>
    <mergeCell ref="D14"/>
    <mergeCell ref="E14"/>
    <mergeCell ref="F14"/>
    <mergeCell ref="A13"/>
    <mergeCell ref="B13"/>
    <mergeCell ref="C13"/>
    <mergeCell ref="D13"/>
    <mergeCell ref="E13"/>
    <mergeCell ref="F13"/>
    <mergeCell ref="A12"/>
    <mergeCell ref="B12"/>
    <mergeCell ref="C12"/>
    <mergeCell ref="D12"/>
    <mergeCell ref="E12"/>
    <mergeCell ref="F12"/>
    <mergeCell ref="A11"/>
    <mergeCell ref="B11"/>
    <mergeCell ref="C11"/>
    <mergeCell ref="D11"/>
    <mergeCell ref="E11"/>
    <mergeCell ref="F11"/>
    <mergeCell ref="A10"/>
    <mergeCell ref="B10"/>
    <mergeCell ref="C10"/>
    <mergeCell ref="D10"/>
    <mergeCell ref="E10"/>
    <mergeCell ref="F10"/>
    <mergeCell ref="A9"/>
    <mergeCell ref="B9"/>
    <mergeCell ref="C9"/>
    <mergeCell ref="D9"/>
    <mergeCell ref="E9"/>
    <mergeCell ref="F9"/>
    <mergeCell ref="A8"/>
    <mergeCell ref="B8"/>
    <mergeCell ref="C8"/>
    <mergeCell ref="D8"/>
    <mergeCell ref="E8"/>
    <mergeCell ref="F8"/>
    <mergeCell ref="A6:A7"/>
    <mergeCell ref="B6:B7"/>
    <mergeCell ref="C6:C7"/>
    <mergeCell ref="D6:D7"/>
    <mergeCell ref="E6:E7"/>
    <mergeCell ref="F6:F7"/>
    <mergeCell ref="A5"/>
    <mergeCell ref="B5"/>
    <mergeCell ref="C5"/>
    <mergeCell ref="D5"/>
    <mergeCell ref="E5"/>
    <mergeCell ref="F5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  <mergeCell ref="F3"/>
    <mergeCell ref="A2"/>
    <mergeCell ref="B2"/>
    <mergeCell ref="C2"/>
    <mergeCell ref="D2"/>
    <mergeCell ref="E2"/>
    <mergeCell ref="F2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2021-07-15T03:02:33Z</dcterms:created>
  <dcterms:modified xsi:type="dcterms:W3CDTF">2021-07-15T03:02:34Z</dcterms:modified>
</cp:coreProperties>
</file>