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86AFC7C2-F879-4708-AC32-1AB72793AF1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G19" i="3"/>
  <c r="G20" i="3"/>
  <c r="G18" i="3"/>
  <c r="N3" i="3"/>
  <c r="L4" i="3"/>
  <c r="L5" i="3"/>
  <c r="L6" i="3"/>
  <c r="L7" i="3"/>
  <c r="L8" i="3"/>
  <c r="L9" i="3"/>
  <c r="L10" i="3"/>
  <c r="L11" i="3"/>
  <c r="L12" i="3"/>
  <c r="L13" i="3"/>
  <c r="L14" i="3"/>
  <c r="L3" i="3"/>
  <c r="N5" i="3"/>
  <c r="K3" i="3"/>
  <c r="K4" i="3"/>
  <c r="K5" i="3"/>
  <c r="K6" i="3"/>
  <c r="K7" i="3"/>
  <c r="K8" i="3"/>
  <c r="K9" i="3"/>
  <c r="K10" i="3"/>
  <c r="K11" i="3"/>
  <c r="K12" i="3"/>
  <c r="K13" i="3"/>
  <c r="K14" i="3"/>
  <c r="J4" i="3"/>
  <c r="J5" i="3"/>
  <c r="J6" i="3"/>
  <c r="J7" i="3"/>
  <c r="J8" i="3"/>
  <c r="J9" i="3"/>
  <c r="J10" i="3"/>
  <c r="J11" i="3"/>
  <c r="J12" i="3"/>
  <c r="J13" i="3"/>
  <c r="J14" i="3"/>
  <c r="J3" i="3"/>
  <c r="I4" i="3"/>
  <c r="I5" i="3"/>
  <c r="I6" i="3"/>
  <c r="I7" i="3"/>
  <c r="I8" i="3"/>
  <c r="I9" i="3"/>
  <c r="I10" i="3"/>
  <c r="I11" i="3"/>
  <c r="I12" i="3"/>
  <c r="I13" i="3"/>
  <c r="I14" i="3"/>
  <c r="I3" i="3"/>
  <c r="H4" i="3"/>
  <c r="H5" i="3"/>
  <c r="H6" i="3"/>
  <c r="H7" i="3"/>
  <c r="H8" i="3"/>
  <c r="H9" i="3"/>
  <c r="H10" i="3"/>
  <c r="H11" i="3"/>
  <c r="H12" i="3"/>
  <c r="H13" i="3"/>
  <c r="H14" i="3"/>
  <c r="H3" i="3"/>
  <c r="G4" i="3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</calcChain>
</file>

<file path=xl/sharedStrings.xml><?xml version="1.0" encoding="utf-8"?>
<sst xmlns="http://schemas.openxmlformats.org/spreadsheetml/2006/main" count="74" uniqueCount="66">
  <si>
    <t>NO</t>
  </si>
  <si>
    <t>BULAN</t>
  </si>
  <si>
    <t>JUMLAH</t>
  </si>
  <si>
    <t>LOKASI</t>
  </si>
  <si>
    <t>TYPE RUMAH</t>
  </si>
  <si>
    <t>DISCOUNT</t>
  </si>
  <si>
    <t>JANUARI</t>
  </si>
  <si>
    <t>FEBRUARI</t>
  </si>
  <si>
    <t>MARET</t>
  </si>
  <si>
    <t>APRIL</t>
  </si>
  <si>
    <t>MEI</t>
  </si>
  <si>
    <t xml:space="preserve"> JUNI</t>
  </si>
  <si>
    <t>JULI</t>
  </si>
  <si>
    <t>AGUSTUS</t>
  </si>
  <si>
    <t>SEPTEMBER</t>
  </si>
  <si>
    <t>OKTOBER</t>
  </si>
  <si>
    <t xml:space="preserve">NOVEMBER </t>
  </si>
  <si>
    <t>DESEMBER</t>
  </si>
  <si>
    <t>A4775K</t>
  </si>
  <si>
    <t>C2960C</t>
  </si>
  <si>
    <t>CARA BELI</t>
  </si>
  <si>
    <t>STATISTIK TOTAL BAYAR</t>
  </si>
  <si>
    <t>TOTAL</t>
  </si>
  <si>
    <t>RATA-RATA</t>
  </si>
  <si>
    <t>TERTINGGI</t>
  </si>
  <si>
    <t>TERENDAH</t>
  </si>
  <si>
    <t>TABEL LOKASI</t>
  </si>
  <si>
    <t>KODE</t>
  </si>
  <si>
    <t>A</t>
  </si>
  <si>
    <t>B</t>
  </si>
  <si>
    <t>C</t>
  </si>
  <si>
    <t>TABEL TIPE dan HARGA</t>
  </si>
  <si>
    <t>TIPE</t>
  </si>
  <si>
    <t>Tipe 321</t>
  </si>
  <si>
    <t>2960</t>
  </si>
  <si>
    <t>3672</t>
  </si>
  <si>
    <t>4590</t>
  </si>
  <si>
    <t>5416</t>
  </si>
  <si>
    <t>4775</t>
  </si>
  <si>
    <t>B3672C</t>
  </si>
  <si>
    <t>A2960K</t>
  </si>
  <si>
    <t>A4590K</t>
  </si>
  <si>
    <t>B5416K</t>
  </si>
  <si>
    <t>C3672K</t>
  </si>
  <si>
    <t>A5416K</t>
  </si>
  <si>
    <t>B3672K</t>
  </si>
  <si>
    <t>C4775C</t>
  </si>
  <si>
    <t>C5416C</t>
  </si>
  <si>
    <t>A4590C</t>
  </si>
  <si>
    <t>STATISTIK</t>
  </si>
  <si>
    <t>Lokasi</t>
  </si>
  <si>
    <t>Total Pendapatan</t>
  </si>
  <si>
    <t>KODE 
BELI</t>
  </si>
  <si>
    <t>HARGA 
SATUAN</t>
  </si>
  <si>
    <t>BIAYA 
GARANSI</t>
  </si>
  <si>
    <t>TOTAL 
BAYAR</t>
  </si>
  <si>
    <t>Tipe Optima 60</t>
  </si>
  <si>
    <t>Tipe Shafir</t>
  </si>
  <si>
    <t>Tipe Diamond</t>
  </si>
  <si>
    <t>Tipe Town House</t>
  </si>
  <si>
    <t>LAPORAN PENJUALAN RUMAH</t>
  </si>
  <si>
    <t>PIK 1</t>
  </si>
  <si>
    <t>PIK 2</t>
  </si>
  <si>
    <t>PIK 3</t>
  </si>
  <si>
    <t>Video Pembahasan</t>
  </si>
  <si>
    <t>https://youtu.be/ivICECG7sSY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</si>
</sst>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mmmm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2"/>
      <name val="Yu Gothic UI Semibold"/>
      <family val="2"/>
    </font>
    <font>
      <b/>
      <sz val="12"/>
      <name val="Yu Gothic UI Semibold"/>
      <family val="2"/>
    </font>
    <font>
      <b/>
      <sz val="12"/>
      <color theme="0"/>
      <name val="Yu Gothic UI Semibold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center"/>
    </xf>
    <xf numFmtId="0" fontId="3" fillId="0" borderId="1" xfId="2" applyNumberFormat="1" applyFont="1" applyFill="1" applyBorder="1"/>
    <xf numFmtId="41" fontId="3" fillId="0" borderId="1" xfId="2" applyFont="1" applyFill="1" applyBorder="1"/>
    <xf numFmtId="0" fontId="5" fillId="3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2" applyNumberFormat="1" applyFont="1" applyFill="1" applyBorder="1" applyAlignment="1">
      <alignment horizontal="left"/>
    </xf>
    <xf numFmtId="165" fontId="3" fillId="0" borderId="1" xfId="4" applyNumberFormat="1" applyFont="1" applyFill="1" applyBorder="1" applyAlignment="1">
      <alignment horizontal="left"/>
    </xf>
    <xf numFmtId="165" fontId="3" fillId="0" borderId="1" xfId="2" applyNumberFormat="1" applyFont="1" applyFill="1" applyBorder="1" applyAlignment="1">
      <alignment horizontal="left"/>
    </xf>
    <xf numFmtId="9" fontId="3" fillId="0" borderId="1" xfId="5" applyFont="1" applyFill="1" applyBorder="1" applyAlignment="1">
      <alignment horizontal="left"/>
    </xf>
    <xf numFmtId="165" fontId="3" fillId="0" borderId="0" xfId="0" applyNumberFormat="1" applyFont="1"/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3" applyAlignment="1">
      <alignment horizontal="center"/>
    </xf>
    <xf numFmtId="165" fontId="3" fillId="0" borderId="1" xfId="0" applyNumberFormat="1" applyFont="1" applyBorder="1" applyAlignment="1">
      <alignment horizontal="left"/>
    </xf>
  </cellXfs>
  <cellStyles count="6">
    <cellStyle name="Comma" xfId="4" builtinId="3"/>
    <cellStyle name="Comma [0]" xfId="2" builtinId="6"/>
    <cellStyle name="Hyperlink" xfId="3" builtinId="8"/>
    <cellStyle name="Normal" xfId="0" builtinId="0"/>
    <cellStyle name="Percent" xfId="5" builtinId="5"/>
    <cellStyle name="Title" xfId="1" builtinId="1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180975</xdr:rowOff>
    </xdr:from>
    <xdr:to>
      <xdr:col>8</xdr:col>
      <xdr:colOff>714375</xdr:colOff>
      <xdr:row>40</xdr:row>
      <xdr:rowOff>123419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336C4A-A45D-469E-9EEF-FE17E99C7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029450"/>
          <a:ext cx="7772400" cy="2342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ivICECG7sS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E324-8E25-47A3-86AC-88C390D86E8E}">
  <sheetPr>
    <tabColor theme="0"/>
  </sheetPr>
  <dimension ref="B1:N28"/>
  <sheetViews>
    <sheetView tabSelected="1" topLeftCell="A2" zoomScale="75" zoomScaleNormal="75" workbookViewId="0">
      <selection activeCell="D21" sqref="D21"/>
    </sheetView>
  </sheetViews>
  <sheetFormatPr defaultRowHeight="17.25" x14ac:dyDescent="0.3"/>
  <cols>
    <col min="1" max="1" width="1.5703125" style="4" customWidth="1"/>
    <col min="2" max="2" width="4.7109375" style="4" bestFit="1" customWidth="1"/>
    <col min="3" max="3" width="14.140625" style="4" bestFit="1" customWidth="1"/>
    <col min="4" max="4" width="21.140625" style="4" customWidth="1"/>
    <col min="5" max="5" width="11.42578125" style="4" customWidth="1"/>
    <col min="6" max="6" width="16.28515625" style="4" customWidth="1"/>
    <col min="7" max="7" width="24" style="4" customWidth="1"/>
    <col min="8" max="8" width="18.85546875" style="4" bestFit="1" customWidth="1"/>
    <col min="9" max="9" width="21.28515625" style="4" bestFit="1" customWidth="1"/>
    <col min="10" max="10" width="18.7109375" style="4" customWidth="1"/>
    <col min="11" max="11" width="15.42578125" style="4" customWidth="1"/>
    <col min="12" max="12" width="20.42578125" style="4" customWidth="1"/>
    <col min="13" max="13" width="9.140625" style="4"/>
    <col min="14" max="14" width="18.42578125" style="4" bestFit="1" customWidth="1"/>
    <col min="15" max="16384" width="9.140625" style="4"/>
  </cols>
  <sheetData>
    <row r="1" spans="2:14" ht="29.25" customHeight="1" x14ac:dyDescent="0.3">
      <c r="B1" s="21" t="s">
        <v>60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4" s="5" customFormat="1" ht="34.5" customHeight="1" x14ac:dyDescent="0.25">
      <c r="B2" s="6" t="s">
        <v>0</v>
      </c>
      <c r="C2" s="6" t="s">
        <v>1</v>
      </c>
      <c r="D2" s="7" t="s">
        <v>52</v>
      </c>
      <c r="E2" s="6" t="s">
        <v>2</v>
      </c>
      <c r="F2" s="6" t="s">
        <v>3</v>
      </c>
      <c r="G2" s="6" t="s">
        <v>4</v>
      </c>
      <c r="H2" s="6" t="s">
        <v>20</v>
      </c>
      <c r="I2" s="7" t="s">
        <v>53</v>
      </c>
      <c r="J2" s="7" t="s">
        <v>54</v>
      </c>
      <c r="K2" s="6" t="s">
        <v>5</v>
      </c>
      <c r="L2" s="7" t="s">
        <v>55</v>
      </c>
    </row>
    <row r="3" spans="2:14" ht="19.5" customHeight="1" x14ac:dyDescent="0.3">
      <c r="B3" s="3">
        <v>1</v>
      </c>
      <c r="C3" s="1" t="s">
        <v>6</v>
      </c>
      <c r="D3" s="2" t="s">
        <v>18</v>
      </c>
      <c r="E3" s="3">
        <v>2</v>
      </c>
      <c r="F3" s="13" t="str">
        <f>VLOOKUP(LEFT(D3,1),$C$23:$D$26,2,0)</f>
        <v>PIK 1</v>
      </c>
      <c r="G3" s="13" t="str">
        <f>_xlfn.XLOOKUP(MID(D3,2,4),$F$23:$F$28,$G$23:$G$28)</f>
        <v>Tipe Town House</v>
      </c>
      <c r="H3" s="13" t="str">
        <f>IF(RIGHT(D3,1)="K","Kredit","Cash")</f>
        <v>Kredit</v>
      </c>
      <c r="I3" s="15">
        <f>INDEX($H$24:$J$28,MATCH(G3,$G$24:$G$28,0),MATCH(F3,$H$23:$J$23,0))</f>
        <v>1750000000</v>
      </c>
      <c r="J3" s="16">
        <f>I3*7%</f>
        <v>122500000.00000001</v>
      </c>
      <c r="K3" s="17">
        <f>IF(F3="PIK 3",8%,0%)</f>
        <v>0</v>
      </c>
      <c r="L3" s="16">
        <f>(I3*E3+J3)-(I3*K3)</f>
        <v>3622500000</v>
      </c>
      <c r="N3" s="18">
        <f>I4*E4+J4-N5</f>
        <v>997500000</v>
      </c>
    </row>
    <row r="4" spans="2:14" ht="19.5" customHeight="1" x14ac:dyDescent="0.3">
      <c r="B4" s="3">
        <v>2</v>
      </c>
      <c r="C4" s="1" t="s">
        <v>7</v>
      </c>
      <c r="D4" s="2" t="s">
        <v>19</v>
      </c>
      <c r="E4" s="3">
        <v>4</v>
      </c>
      <c r="F4" s="13" t="str">
        <f t="shared" ref="F4:F14" si="0">VLOOKUP(LEFT(D4,1),$C$23:$D$26,2,0)</f>
        <v>PIK 3</v>
      </c>
      <c r="G4" s="13" t="str">
        <f t="shared" ref="G4:G14" si="1">_xlfn.XLOOKUP(MID(D4,2,4),$F$23:$F$28,$G$23:$G$28)</f>
        <v>Tipe 321</v>
      </c>
      <c r="H4" s="13" t="str">
        <f t="shared" ref="H4:H14" si="2">IF(RIGHT(D4,1)="K","Kredit","Cash")</f>
        <v>Cash</v>
      </c>
      <c r="I4" s="15">
        <f t="shared" ref="I4:I14" si="3">INDEX($H$24:$J$28,MATCH(G4,$G$24:$G$28,0),MATCH(F4,$H$23:$J$23,0))</f>
        <v>250000000</v>
      </c>
      <c r="J4" s="16">
        <f t="shared" ref="J4:J14" si="4">I4*7%</f>
        <v>17500000</v>
      </c>
      <c r="K4" s="17">
        <f t="shared" ref="K4:K14" si="5">IF(F4="PIK 3",8%,0%)</f>
        <v>0.08</v>
      </c>
      <c r="L4" s="16">
        <f>(I4*E4+J4)-(I4*K4)</f>
        <v>997500000</v>
      </c>
    </row>
    <row r="5" spans="2:14" ht="19.5" customHeight="1" x14ac:dyDescent="0.3">
      <c r="B5" s="3">
        <v>3</v>
      </c>
      <c r="C5" s="1" t="s">
        <v>8</v>
      </c>
      <c r="D5" s="2" t="s">
        <v>39</v>
      </c>
      <c r="E5" s="3">
        <v>6</v>
      </c>
      <c r="F5" s="13" t="str">
        <f t="shared" si="0"/>
        <v>PIK 2</v>
      </c>
      <c r="G5" s="13" t="str">
        <f t="shared" si="1"/>
        <v>Tipe Optima 60</v>
      </c>
      <c r="H5" s="13" t="str">
        <f t="shared" si="2"/>
        <v>Cash</v>
      </c>
      <c r="I5" s="15">
        <f t="shared" si="3"/>
        <v>850000000</v>
      </c>
      <c r="J5" s="16">
        <f t="shared" si="4"/>
        <v>59500000.000000007</v>
      </c>
      <c r="K5" s="17">
        <f t="shared" si="5"/>
        <v>0</v>
      </c>
      <c r="L5" s="16">
        <f t="shared" ref="L5:L14" si="6">(I5*E5+J5)-(I5*K5)</f>
        <v>5159500000</v>
      </c>
      <c r="N5" s="18">
        <f>I4*K4</f>
        <v>20000000</v>
      </c>
    </row>
    <row r="6" spans="2:14" ht="19.5" customHeight="1" x14ac:dyDescent="0.3">
      <c r="B6" s="3">
        <v>4</v>
      </c>
      <c r="C6" s="1" t="s">
        <v>9</v>
      </c>
      <c r="D6" s="2" t="s">
        <v>40</v>
      </c>
      <c r="E6" s="3">
        <v>3</v>
      </c>
      <c r="F6" s="13" t="str">
        <f t="shared" si="0"/>
        <v>PIK 1</v>
      </c>
      <c r="G6" s="13" t="str">
        <f t="shared" si="1"/>
        <v>Tipe 321</v>
      </c>
      <c r="H6" s="13" t="str">
        <f t="shared" si="2"/>
        <v>Kredit</v>
      </c>
      <c r="I6" s="15">
        <f t="shared" si="3"/>
        <v>750000000</v>
      </c>
      <c r="J6" s="16">
        <f t="shared" si="4"/>
        <v>52500000.000000007</v>
      </c>
      <c r="K6" s="17">
        <f t="shared" si="5"/>
        <v>0</v>
      </c>
      <c r="L6" s="16">
        <f t="shared" si="6"/>
        <v>2302500000</v>
      </c>
    </row>
    <row r="7" spans="2:14" ht="19.5" customHeight="1" x14ac:dyDescent="0.3">
      <c r="B7" s="3">
        <v>5</v>
      </c>
      <c r="C7" s="1" t="s">
        <v>10</v>
      </c>
      <c r="D7" s="2" t="s">
        <v>41</v>
      </c>
      <c r="E7" s="3">
        <v>5</v>
      </c>
      <c r="F7" s="13" t="str">
        <f t="shared" si="0"/>
        <v>PIK 1</v>
      </c>
      <c r="G7" s="13" t="str">
        <f t="shared" si="1"/>
        <v>Tipe Shafir</v>
      </c>
      <c r="H7" s="13" t="str">
        <f t="shared" si="2"/>
        <v>Kredit</v>
      </c>
      <c r="I7" s="15">
        <f t="shared" si="3"/>
        <v>1250000000</v>
      </c>
      <c r="J7" s="16">
        <f t="shared" si="4"/>
        <v>87500000.000000015</v>
      </c>
      <c r="K7" s="17">
        <f t="shared" si="5"/>
        <v>0</v>
      </c>
      <c r="L7" s="16">
        <f t="shared" si="6"/>
        <v>6337500000</v>
      </c>
    </row>
    <row r="8" spans="2:14" ht="19.5" customHeight="1" x14ac:dyDescent="0.3">
      <c r="B8" s="3">
        <v>6</v>
      </c>
      <c r="C8" s="1" t="s">
        <v>11</v>
      </c>
      <c r="D8" s="2" t="s">
        <v>42</v>
      </c>
      <c r="E8" s="3">
        <v>2</v>
      </c>
      <c r="F8" s="13" t="str">
        <f t="shared" si="0"/>
        <v>PIK 2</v>
      </c>
      <c r="G8" s="13" t="str">
        <f t="shared" si="1"/>
        <v>Tipe Diamond</v>
      </c>
      <c r="H8" s="13" t="str">
        <f t="shared" si="2"/>
        <v>Kredit</v>
      </c>
      <c r="I8" s="15">
        <f t="shared" si="3"/>
        <v>1250000000</v>
      </c>
      <c r="J8" s="16">
        <f t="shared" si="4"/>
        <v>87500000.000000015</v>
      </c>
      <c r="K8" s="17">
        <f t="shared" si="5"/>
        <v>0</v>
      </c>
      <c r="L8" s="16">
        <f t="shared" si="6"/>
        <v>2587500000</v>
      </c>
    </row>
    <row r="9" spans="2:14" ht="19.5" customHeight="1" x14ac:dyDescent="0.3">
      <c r="B9" s="3">
        <v>7</v>
      </c>
      <c r="C9" s="1" t="s">
        <v>12</v>
      </c>
      <c r="D9" s="2" t="s">
        <v>43</v>
      </c>
      <c r="E9" s="3">
        <v>7</v>
      </c>
      <c r="F9" s="13" t="str">
        <f t="shared" si="0"/>
        <v>PIK 3</v>
      </c>
      <c r="G9" s="13" t="str">
        <f t="shared" si="1"/>
        <v>Tipe Optima 60</v>
      </c>
      <c r="H9" s="13" t="str">
        <f t="shared" si="2"/>
        <v>Kredit</v>
      </c>
      <c r="I9" s="15">
        <f t="shared" si="3"/>
        <v>500000000</v>
      </c>
      <c r="J9" s="16">
        <f t="shared" si="4"/>
        <v>35000000</v>
      </c>
      <c r="K9" s="17">
        <f t="shared" si="5"/>
        <v>0.08</v>
      </c>
      <c r="L9" s="16">
        <f t="shared" si="6"/>
        <v>3495000000</v>
      </c>
    </row>
    <row r="10" spans="2:14" ht="19.5" customHeight="1" x14ac:dyDescent="0.3">
      <c r="B10" s="3">
        <v>8</v>
      </c>
      <c r="C10" s="1" t="s">
        <v>13</v>
      </c>
      <c r="D10" s="2" t="s">
        <v>44</v>
      </c>
      <c r="E10" s="3">
        <v>4</v>
      </c>
      <c r="F10" s="13" t="str">
        <f t="shared" si="0"/>
        <v>PIK 1</v>
      </c>
      <c r="G10" s="13" t="str">
        <f t="shared" si="1"/>
        <v>Tipe Diamond</v>
      </c>
      <c r="H10" s="13" t="str">
        <f t="shared" si="2"/>
        <v>Kredit</v>
      </c>
      <c r="I10" s="15">
        <f t="shared" si="3"/>
        <v>1500000000</v>
      </c>
      <c r="J10" s="16">
        <f t="shared" si="4"/>
        <v>105000000.00000001</v>
      </c>
      <c r="K10" s="17">
        <f t="shared" si="5"/>
        <v>0</v>
      </c>
      <c r="L10" s="16">
        <f t="shared" si="6"/>
        <v>6105000000</v>
      </c>
    </row>
    <row r="11" spans="2:14" ht="19.5" customHeight="1" x14ac:dyDescent="0.3">
      <c r="B11" s="3">
        <v>9</v>
      </c>
      <c r="C11" s="1" t="s">
        <v>14</v>
      </c>
      <c r="D11" s="2" t="s">
        <v>45</v>
      </c>
      <c r="E11" s="3">
        <v>2</v>
      </c>
      <c r="F11" s="13" t="str">
        <f t="shared" si="0"/>
        <v>PIK 2</v>
      </c>
      <c r="G11" s="13" t="str">
        <f t="shared" si="1"/>
        <v>Tipe Optima 60</v>
      </c>
      <c r="H11" s="13" t="str">
        <f t="shared" si="2"/>
        <v>Kredit</v>
      </c>
      <c r="I11" s="15">
        <f t="shared" si="3"/>
        <v>850000000</v>
      </c>
      <c r="J11" s="16">
        <f t="shared" si="4"/>
        <v>59500000.000000007</v>
      </c>
      <c r="K11" s="17">
        <f t="shared" si="5"/>
        <v>0</v>
      </c>
      <c r="L11" s="16">
        <f t="shared" si="6"/>
        <v>1759500000</v>
      </c>
    </row>
    <row r="12" spans="2:14" ht="19.5" customHeight="1" x14ac:dyDescent="0.3">
      <c r="B12" s="3">
        <v>10</v>
      </c>
      <c r="C12" s="1" t="s">
        <v>15</v>
      </c>
      <c r="D12" s="2" t="s">
        <v>46</v>
      </c>
      <c r="E12" s="3">
        <v>1</v>
      </c>
      <c r="F12" s="13" t="str">
        <f t="shared" si="0"/>
        <v>PIK 3</v>
      </c>
      <c r="G12" s="13" t="str">
        <f t="shared" si="1"/>
        <v>Tipe Town House</v>
      </c>
      <c r="H12" s="13" t="str">
        <f t="shared" si="2"/>
        <v>Cash</v>
      </c>
      <c r="I12" s="15">
        <f t="shared" si="3"/>
        <v>1250000000</v>
      </c>
      <c r="J12" s="16">
        <f t="shared" si="4"/>
        <v>87500000.000000015</v>
      </c>
      <c r="K12" s="17">
        <f t="shared" si="5"/>
        <v>0.08</v>
      </c>
      <c r="L12" s="16">
        <f t="shared" si="6"/>
        <v>1237500000</v>
      </c>
    </row>
    <row r="13" spans="2:14" ht="19.5" customHeight="1" x14ac:dyDescent="0.3">
      <c r="B13" s="3">
        <v>11</v>
      </c>
      <c r="C13" s="1" t="s">
        <v>16</v>
      </c>
      <c r="D13" s="2" t="s">
        <v>47</v>
      </c>
      <c r="E13" s="3">
        <v>5</v>
      </c>
      <c r="F13" s="13" t="str">
        <f t="shared" si="0"/>
        <v>PIK 3</v>
      </c>
      <c r="G13" s="13" t="str">
        <f t="shared" si="1"/>
        <v>Tipe Diamond</v>
      </c>
      <c r="H13" s="13" t="str">
        <f t="shared" si="2"/>
        <v>Cash</v>
      </c>
      <c r="I13" s="15">
        <f t="shared" si="3"/>
        <v>1000000000</v>
      </c>
      <c r="J13" s="16">
        <f t="shared" si="4"/>
        <v>70000000</v>
      </c>
      <c r="K13" s="17">
        <f t="shared" si="5"/>
        <v>0.08</v>
      </c>
      <c r="L13" s="16">
        <f t="shared" si="6"/>
        <v>4990000000</v>
      </c>
    </row>
    <row r="14" spans="2:14" ht="19.5" customHeight="1" x14ac:dyDescent="0.3">
      <c r="B14" s="3">
        <v>12</v>
      </c>
      <c r="C14" s="1" t="s">
        <v>17</v>
      </c>
      <c r="D14" s="2" t="s">
        <v>48</v>
      </c>
      <c r="E14" s="3">
        <v>2</v>
      </c>
      <c r="F14" s="13" t="str">
        <f t="shared" si="0"/>
        <v>PIK 1</v>
      </c>
      <c r="G14" s="13" t="str">
        <f t="shared" si="1"/>
        <v>Tipe Shafir</v>
      </c>
      <c r="H14" s="13" t="str">
        <f t="shared" si="2"/>
        <v>Cash</v>
      </c>
      <c r="I14" s="15">
        <f t="shared" si="3"/>
        <v>1250000000</v>
      </c>
      <c r="J14" s="16">
        <f t="shared" si="4"/>
        <v>87500000.000000015</v>
      </c>
      <c r="K14" s="17">
        <f t="shared" si="5"/>
        <v>0</v>
      </c>
      <c r="L14" s="16">
        <f t="shared" si="6"/>
        <v>2587500000</v>
      </c>
    </row>
    <row r="16" spans="2:14" x14ac:dyDescent="0.3">
      <c r="B16" s="22" t="s">
        <v>21</v>
      </c>
      <c r="C16" s="22"/>
      <c r="D16" s="22"/>
      <c r="F16" s="23" t="s">
        <v>49</v>
      </c>
      <c r="G16" s="23"/>
      <c r="I16" s="4" t="s">
        <v>64</v>
      </c>
    </row>
    <row r="17" spans="2:10" x14ac:dyDescent="0.3">
      <c r="B17" s="19" t="s">
        <v>22</v>
      </c>
      <c r="C17" s="19"/>
      <c r="D17" s="25">
        <f>SUM(L3:L14)</f>
        <v>41181500000</v>
      </c>
      <c r="F17" s="6" t="s">
        <v>50</v>
      </c>
      <c r="G17" s="6" t="s">
        <v>51</v>
      </c>
      <c r="I17" s="24" t="s">
        <v>65</v>
      </c>
      <c r="J17" s="23"/>
    </row>
    <row r="18" spans="2:10" x14ac:dyDescent="0.3">
      <c r="B18" s="19" t="s">
        <v>23</v>
      </c>
      <c r="C18" s="19"/>
      <c r="D18" s="25">
        <f>AVERAGE(L3:L14)</f>
        <v>3431791666.6666665</v>
      </c>
      <c r="F18" s="2" t="s">
        <v>61</v>
      </c>
      <c r="G18" s="14">
        <f>SUMIF($F$3:$F$14,F18,$L$3:$L$14)</f>
        <v>20955000000</v>
      </c>
    </row>
    <row r="19" spans="2:10" x14ac:dyDescent="0.3">
      <c r="B19" s="19" t="s">
        <v>24</v>
      </c>
      <c r="C19" s="19"/>
      <c r="D19" s="25">
        <f>MAX(L3:L14)</f>
        <v>6337500000</v>
      </c>
      <c r="F19" s="2" t="s">
        <v>62</v>
      </c>
      <c r="G19" s="14">
        <f t="shared" ref="G19:G20" si="7">SUMIF($F$3:$F$14,F19,$L$3:$L$14)</f>
        <v>9506500000</v>
      </c>
    </row>
    <row r="20" spans="2:10" x14ac:dyDescent="0.3">
      <c r="B20" s="19" t="s">
        <v>25</v>
      </c>
      <c r="C20" s="19"/>
      <c r="D20" s="25">
        <f>MIN(L3:L14)</f>
        <v>997500000</v>
      </c>
      <c r="F20" s="2" t="s">
        <v>63</v>
      </c>
      <c r="G20" s="14">
        <f t="shared" si="7"/>
        <v>10720000000</v>
      </c>
    </row>
    <row r="22" spans="2:10" x14ac:dyDescent="0.3">
      <c r="C22" s="20" t="s">
        <v>26</v>
      </c>
      <c r="D22" s="20"/>
      <c r="F22" s="20" t="s">
        <v>31</v>
      </c>
      <c r="G22" s="20"/>
    </row>
    <row r="23" spans="2:10" x14ac:dyDescent="0.3">
      <c r="C23" s="8" t="s">
        <v>27</v>
      </c>
      <c r="D23" s="8" t="s">
        <v>3</v>
      </c>
      <c r="F23" s="12" t="s">
        <v>27</v>
      </c>
      <c r="G23" s="12" t="s">
        <v>32</v>
      </c>
      <c r="H23" s="12" t="s">
        <v>61</v>
      </c>
      <c r="I23" s="12" t="s">
        <v>62</v>
      </c>
      <c r="J23" s="12" t="s">
        <v>63</v>
      </c>
    </row>
    <row r="24" spans="2:10" x14ac:dyDescent="0.3">
      <c r="C24" s="2" t="s">
        <v>28</v>
      </c>
      <c r="D24" s="2" t="s">
        <v>61</v>
      </c>
      <c r="F24" s="9" t="s">
        <v>34</v>
      </c>
      <c r="G24" s="10" t="s">
        <v>33</v>
      </c>
      <c r="H24" s="11">
        <v>750000000</v>
      </c>
      <c r="I24" s="11">
        <v>500000000</v>
      </c>
      <c r="J24" s="11">
        <v>250000000</v>
      </c>
    </row>
    <row r="25" spans="2:10" x14ac:dyDescent="0.3">
      <c r="C25" s="2" t="s">
        <v>29</v>
      </c>
      <c r="D25" s="2" t="s">
        <v>62</v>
      </c>
      <c r="F25" s="9" t="s">
        <v>35</v>
      </c>
      <c r="G25" s="10" t="s">
        <v>56</v>
      </c>
      <c r="H25" s="11">
        <v>1000000000</v>
      </c>
      <c r="I25" s="11">
        <v>850000000</v>
      </c>
      <c r="J25" s="11">
        <v>500000000</v>
      </c>
    </row>
    <row r="26" spans="2:10" x14ac:dyDescent="0.3">
      <c r="C26" s="2" t="s">
        <v>30</v>
      </c>
      <c r="D26" s="2" t="s">
        <v>63</v>
      </c>
      <c r="F26" s="9" t="s">
        <v>36</v>
      </c>
      <c r="G26" s="10" t="s">
        <v>57</v>
      </c>
      <c r="H26" s="11">
        <v>1250000000</v>
      </c>
      <c r="I26" s="11">
        <v>1200000000</v>
      </c>
      <c r="J26" s="11">
        <v>1150000000</v>
      </c>
    </row>
    <row r="27" spans="2:10" x14ac:dyDescent="0.3">
      <c r="F27" s="9" t="s">
        <v>37</v>
      </c>
      <c r="G27" s="10" t="s">
        <v>58</v>
      </c>
      <c r="H27" s="11">
        <v>1500000000</v>
      </c>
      <c r="I27" s="11">
        <v>1250000000</v>
      </c>
      <c r="J27" s="11">
        <v>1000000000</v>
      </c>
    </row>
    <row r="28" spans="2:10" x14ac:dyDescent="0.3">
      <c r="F28" s="9" t="s">
        <v>38</v>
      </c>
      <c r="G28" s="10" t="s">
        <v>59</v>
      </c>
      <c r="H28" s="11">
        <v>1750000000</v>
      </c>
      <c r="I28" s="11">
        <v>1500000000</v>
      </c>
      <c r="J28" s="11">
        <v>1250000000</v>
      </c>
    </row>
  </sheetData>
  <mergeCells count="10">
    <mergeCell ref="B20:C20"/>
    <mergeCell ref="C22:D22"/>
    <mergeCell ref="F22:G22"/>
    <mergeCell ref="B1:L1"/>
    <mergeCell ref="B16:D16"/>
    <mergeCell ref="F16:G16"/>
    <mergeCell ref="B17:C17"/>
    <mergeCell ref="B18:C18"/>
    <mergeCell ref="B19:C19"/>
    <mergeCell ref="I17:J17"/>
  </mergeCells>
  <hyperlinks>
    <hyperlink ref="I17" r:id="rId1" xr:uid="{0750BAA2-2B3C-45C4-9ABB-4971B6BEBBA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Client1</dc:creator>
  <cp:lastModifiedBy>T480-PC</cp:lastModifiedBy>
  <cp:lastPrinted>2018-05-28T08:23:52Z</cp:lastPrinted>
  <dcterms:created xsi:type="dcterms:W3CDTF">2018-05-28T00:44:17Z</dcterms:created>
  <dcterms:modified xsi:type="dcterms:W3CDTF">2024-10-16T06:05:19Z</dcterms:modified>
</cp:coreProperties>
</file>